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27AA4875-BFE1-AE41-989A-02E775482D4F}" xr6:coauthVersionLast="47" xr6:coauthVersionMax="47" xr10:uidLastSave="{00000000-0000-0000-0000-000000000000}"/>
  <bookViews>
    <workbookView xWindow="35300" yWindow="-120" windowWidth="29520" windowHeight="18880" firstSheet="19" activeTab="26" xr2:uid="{00000000-000D-0000-FFFF-FFFF00000000}"/>
  </bookViews>
  <sheets>
    <sheet name="Readmefirst" sheetId="24" r:id="rId1"/>
    <sheet name="vehicles specifications" sheetId="1" r:id="rId2"/>
    <sheet name="LCIA results" sheetId="51" r:id="rId3"/>
    <sheet name="ei names mapping" sheetId="7" r:id="rId4"/>
    <sheet name="EoL and shipping" sheetId="25" r:id="rId5"/>
    <sheet name="abrasion emissions" sheetId="5" r:id="rId6"/>
    <sheet name="energy battery" sheetId="3" r:id="rId7"/>
    <sheet name="fuels and tailpipe emissions" sheetId="2" r:id="rId8"/>
    <sheet name="lci-kick scooter - NMC" sheetId="6" r:id="rId9"/>
    <sheet name="lci-motorbikes&lt;4kW - NMC" sheetId="19" r:id="rId10"/>
    <sheet name="lci-motorbikes-4-11kW - NMC" sheetId="20" r:id="rId11"/>
    <sheet name="lci-motorbikes-11-35kW - NMC" sheetId="21" r:id="rId12"/>
    <sheet name="lci-motorbikes&gt;35kW - NMC" sheetId="22" r:id="rId13"/>
    <sheet name="lci-motorbikes-gas-4-11kW" sheetId="16" r:id="rId14"/>
    <sheet name="lci-motorbikes-gas-11-35kW" sheetId="17" r:id="rId15"/>
    <sheet name="lci-motorbikes-gas-&gt;35kW" sheetId="18" r:id="rId16"/>
    <sheet name="lci-scooter&lt;4kW" sheetId="28" r:id="rId17"/>
    <sheet name="lci-scooter-4-11kW" sheetId="14" r:id="rId18"/>
    <sheet name="lci-scooter-electric&lt;4kW - NMC" sheetId="29" r:id="rId19"/>
    <sheet name="lci-scooter-elec-4-11kW - NMC" sheetId="15" r:id="rId20"/>
    <sheet name="lci-moped" sheetId="13" r:id="rId21"/>
    <sheet name="lci-bicycle" sheetId="8" r:id="rId22"/>
    <sheet name="lci-elec-bicycle-25kmh - NMC" sheetId="9" r:id="rId23"/>
    <sheet name="lci-elec-bicycle-45kmh - NMC" sheetId="10" r:id="rId24"/>
    <sheet name="lci-elec-bicycle-cargo - NMC" sheetId="11" r:id="rId25"/>
    <sheet name="lci-tram" sheetId="12" r:id="rId26"/>
    <sheet name="lci-others" sheetId="23" r:id="rId27"/>
  </sheets>
  <definedNames>
    <definedName name="_xlnm._FilterDatabase" localSheetId="26" hidden="1">'lci-others'!$A$1:$N$133</definedName>
    <definedName name="_xlnm._FilterDatabase" localSheetId="2" hidden="1">'LCIA results'!$A$2:$BA$275</definedName>
    <definedName name="_xlnm._FilterDatabase" localSheetId="1" hidden="1">'vehicles specifications'!$A$2:$CW$166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58" i="1" l="1"/>
  <c r="V157" i="1"/>
  <c r="V156" i="1"/>
  <c r="V155" i="1"/>
  <c r="V142" i="1"/>
  <c r="V141" i="1"/>
  <c r="V140" i="1"/>
  <c r="V139" i="1"/>
  <c r="V124" i="1"/>
  <c r="V125" i="1"/>
  <c r="V126" i="1"/>
  <c r="V123" i="1"/>
  <c r="CK4" i="1"/>
  <c r="CL4" i="1"/>
  <c r="CM4" i="1"/>
  <c r="CK5" i="1"/>
  <c r="CL5" i="1"/>
  <c r="CM5" i="1"/>
  <c r="CK6" i="1"/>
  <c r="CL6" i="1"/>
  <c r="CM6" i="1"/>
  <c r="CK7" i="1"/>
  <c r="CL7" i="1"/>
  <c r="CM7" i="1"/>
  <c r="CK8" i="1"/>
  <c r="CL8" i="1"/>
  <c r="CM8" i="1"/>
  <c r="CK9" i="1"/>
  <c r="CL9" i="1"/>
  <c r="CM9" i="1"/>
  <c r="CK10" i="1"/>
  <c r="CL10" i="1"/>
  <c r="CM10" i="1"/>
  <c r="CK11" i="1"/>
  <c r="CL11" i="1"/>
  <c r="CM11" i="1"/>
  <c r="CK12" i="1"/>
  <c r="CL12" i="1"/>
  <c r="CM12" i="1"/>
  <c r="CK13" i="1"/>
  <c r="CL13" i="1"/>
  <c r="CM13" i="1"/>
  <c r="CK14" i="1"/>
  <c r="CL14" i="1"/>
  <c r="CM14" i="1"/>
  <c r="CK15" i="1"/>
  <c r="CL15" i="1"/>
  <c r="CM15" i="1"/>
  <c r="CK16" i="1"/>
  <c r="CL16" i="1"/>
  <c r="CM16" i="1"/>
  <c r="CK17" i="1"/>
  <c r="CL17" i="1"/>
  <c r="CM17" i="1"/>
  <c r="CK18" i="1"/>
  <c r="CL18" i="1"/>
  <c r="CM18" i="1"/>
  <c r="CK19" i="1"/>
  <c r="CL19" i="1"/>
  <c r="CM19" i="1"/>
  <c r="CK20" i="1"/>
  <c r="CL20" i="1"/>
  <c r="CM20" i="1"/>
  <c r="CK21" i="1"/>
  <c r="CL21" i="1"/>
  <c r="CM21" i="1"/>
  <c r="CK22" i="1"/>
  <c r="CL22" i="1"/>
  <c r="CM22" i="1"/>
  <c r="CK23" i="1"/>
  <c r="CL23" i="1"/>
  <c r="CM23" i="1"/>
  <c r="CK24" i="1"/>
  <c r="CL24" i="1"/>
  <c r="CM24" i="1"/>
  <c r="CK25" i="1"/>
  <c r="CL25" i="1"/>
  <c r="CM25" i="1"/>
  <c r="CK26" i="1"/>
  <c r="CL26" i="1"/>
  <c r="CM26" i="1"/>
  <c r="CK27" i="1"/>
  <c r="CL27" i="1"/>
  <c r="CM27" i="1"/>
  <c r="CK28" i="1"/>
  <c r="CL28" i="1"/>
  <c r="CM28" i="1"/>
  <c r="CK29" i="1"/>
  <c r="CL29" i="1"/>
  <c r="CM29" i="1"/>
  <c r="CK30" i="1"/>
  <c r="CL30" i="1"/>
  <c r="CM30" i="1"/>
  <c r="CK31" i="1"/>
  <c r="CL31" i="1"/>
  <c r="CM31" i="1"/>
  <c r="CK32" i="1"/>
  <c r="CL32" i="1"/>
  <c r="CM32" i="1"/>
  <c r="CK33" i="1"/>
  <c r="CL33" i="1"/>
  <c r="CM33" i="1"/>
  <c r="CK34" i="1"/>
  <c r="CL34" i="1"/>
  <c r="CM34" i="1"/>
  <c r="CK35" i="1"/>
  <c r="CL35" i="1"/>
  <c r="CM35" i="1"/>
  <c r="CK36" i="1"/>
  <c r="CL36" i="1"/>
  <c r="CM36" i="1"/>
  <c r="CK37" i="1"/>
  <c r="CL37" i="1"/>
  <c r="CM37" i="1"/>
  <c r="CK38" i="1"/>
  <c r="CL38" i="1"/>
  <c r="CM38" i="1"/>
  <c r="CK39" i="1"/>
  <c r="CL39" i="1"/>
  <c r="CM39" i="1"/>
  <c r="CK40" i="1"/>
  <c r="CL40" i="1"/>
  <c r="CM40" i="1"/>
  <c r="CK41" i="1"/>
  <c r="CL41" i="1"/>
  <c r="CM41" i="1"/>
  <c r="CK42" i="1"/>
  <c r="CL42" i="1"/>
  <c r="CM42" i="1"/>
  <c r="CK43" i="1"/>
  <c r="CL43" i="1"/>
  <c r="CM43" i="1"/>
  <c r="CK44" i="1"/>
  <c r="CL44" i="1"/>
  <c r="CM44" i="1"/>
  <c r="CK45" i="1"/>
  <c r="CL45" i="1"/>
  <c r="CM45" i="1"/>
  <c r="CK46" i="1"/>
  <c r="CL46" i="1"/>
  <c r="CM46" i="1"/>
  <c r="CK47" i="1"/>
  <c r="CL47" i="1"/>
  <c r="CM47" i="1"/>
  <c r="CK48" i="1"/>
  <c r="CL48" i="1"/>
  <c r="CM48" i="1"/>
  <c r="CK49" i="1"/>
  <c r="CL49" i="1"/>
  <c r="CM49" i="1"/>
  <c r="CK50" i="1"/>
  <c r="CL50" i="1"/>
  <c r="CM50" i="1"/>
  <c r="CK51" i="1"/>
  <c r="CL51" i="1"/>
  <c r="CM51" i="1"/>
  <c r="CK52" i="1"/>
  <c r="CL52" i="1"/>
  <c r="CM52" i="1"/>
  <c r="CK53" i="1"/>
  <c r="CL53" i="1"/>
  <c r="CM53" i="1"/>
  <c r="CK54" i="1"/>
  <c r="CL54" i="1"/>
  <c r="CM54" i="1"/>
  <c r="CK55" i="1"/>
  <c r="CL55" i="1"/>
  <c r="CM55" i="1"/>
  <c r="CK56" i="1"/>
  <c r="CL56" i="1"/>
  <c r="CM56" i="1"/>
  <c r="CK57" i="1"/>
  <c r="CL57" i="1"/>
  <c r="CM57" i="1"/>
  <c r="CK58" i="1"/>
  <c r="CL58" i="1"/>
  <c r="CM58" i="1"/>
  <c r="CK59" i="1"/>
  <c r="CL59" i="1"/>
  <c r="CM59" i="1"/>
  <c r="CK60" i="1"/>
  <c r="CL60" i="1"/>
  <c r="CM60" i="1"/>
  <c r="CK61" i="1"/>
  <c r="CL61" i="1"/>
  <c r="CM61" i="1"/>
  <c r="CK62" i="1"/>
  <c r="CL62" i="1"/>
  <c r="CM62" i="1"/>
  <c r="CK63" i="1"/>
  <c r="CL63" i="1"/>
  <c r="CM63" i="1"/>
  <c r="CK64" i="1"/>
  <c r="CL64" i="1"/>
  <c r="CM64" i="1"/>
  <c r="CK65" i="1"/>
  <c r="CL65" i="1"/>
  <c r="CM65" i="1"/>
  <c r="CK66" i="1"/>
  <c r="CL66" i="1"/>
  <c r="CM66" i="1"/>
  <c r="CK67" i="1"/>
  <c r="CL67" i="1"/>
  <c r="CM67" i="1"/>
  <c r="CK68" i="1"/>
  <c r="CL68" i="1"/>
  <c r="CM68" i="1"/>
  <c r="CK69" i="1"/>
  <c r="CL69" i="1"/>
  <c r="CM69" i="1"/>
  <c r="CK70" i="1"/>
  <c r="CL70" i="1"/>
  <c r="CM70" i="1"/>
  <c r="CK71" i="1"/>
  <c r="CL71" i="1"/>
  <c r="CM71" i="1"/>
  <c r="CK72" i="1"/>
  <c r="CL72" i="1"/>
  <c r="CM72" i="1"/>
  <c r="CK73" i="1"/>
  <c r="CL73" i="1"/>
  <c r="CM73" i="1"/>
  <c r="CK74" i="1"/>
  <c r="CL74" i="1"/>
  <c r="CM74" i="1"/>
  <c r="CK75" i="1"/>
  <c r="CL75" i="1"/>
  <c r="CM75" i="1"/>
  <c r="CK76" i="1"/>
  <c r="CL76" i="1"/>
  <c r="CM76" i="1"/>
  <c r="CK77" i="1"/>
  <c r="CL77" i="1"/>
  <c r="CM77" i="1"/>
  <c r="CK78" i="1"/>
  <c r="CL78" i="1"/>
  <c r="CM78" i="1"/>
  <c r="CK79" i="1"/>
  <c r="CL79" i="1"/>
  <c r="CM79" i="1"/>
  <c r="CK80" i="1"/>
  <c r="CL80" i="1"/>
  <c r="CM80" i="1"/>
  <c r="CK81" i="1"/>
  <c r="CL81" i="1"/>
  <c r="CM81" i="1"/>
  <c r="CK82" i="1"/>
  <c r="CL82" i="1"/>
  <c r="CM82" i="1"/>
  <c r="CK83" i="1"/>
  <c r="CL83" i="1"/>
  <c r="CM83" i="1"/>
  <c r="CK84" i="1"/>
  <c r="CL84" i="1"/>
  <c r="CM84" i="1"/>
  <c r="CK85" i="1"/>
  <c r="CL85" i="1"/>
  <c r="CM85" i="1"/>
  <c r="CK86" i="1"/>
  <c r="CL86" i="1"/>
  <c r="CM86" i="1"/>
  <c r="CK87" i="1"/>
  <c r="CL87" i="1"/>
  <c r="CM87" i="1"/>
  <c r="CK88" i="1"/>
  <c r="CL88" i="1"/>
  <c r="CM88" i="1"/>
  <c r="CK89" i="1"/>
  <c r="CL89" i="1"/>
  <c r="CM89" i="1"/>
  <c r="CK90" i="1"/>
  <c r="CL90" i="1"/>
  <c r="CM90" i="1"/>
  <c r="CK91" i="1"/>
  <c r="CL91" i="1"/>
  <c r="CM91" i="1"/>
  <c r="CK92" i="1"/>
  <c r="CL92" i="1"/>
  <c r="CM92" i="1"/>
  <c r="CK93" i="1"/>
  <c r="CL93" i="1"/>
  <c r="CM93" i="1"/>
  <c r="CK94" i="1"/>
  <c r="CL94" i="1"/>
  <c r="CM94" i="1"/>
  <c r="CK95" i="1"/>
  <c r="CL95" i="1"/>
  <c r="CM95" i="1"/>
  <c r="CK96" i="1"/>
  <c r="CL96" i="1"/>
  <c r="CM96" i="1"/>
  <c r="CK97" i="1"/>
  <c r="CL97" i="1"/>
  <c r="CM97" i="1"/>
  <c r="CK98" i="1"/>
  <c r="CL98" i="1"/>
  <c r="CM98" i="1"/>
  <c r="CK99" i="1"/>
  <c r="CL99" i="1"/>
  <c r="CM99" i="1"/>
  <c r="CK100" i="1"/>
  <c r="CL100" i="1"/>
  <c r="CM100" i="1"/>
  <c r="CK101" i="1"/>
  <c r="CL101" i="1"/>
  <c r="CM101" i="1"/>
  <c r="CK102" i="1"/>
  <c r="CL102" i="1"/>
  <c r="CM102" i="1"/>
  <c r="CK103" i="1"/>
  <c r="CL103" i="1"/>
  <c r="CM103" i="1"/>
  <c r="CK104" i="1"/>
  <c r="CL104" i="1"/>
  <c r="CM104" i="1"/>
  <c r="CK105" i="1"/>
  <c r="CL105" i="1"/>
  <c r="CM105" i="1"/>
  <c r="CK106" i="1"/>
  <c r="CL106" i="1"/>
  <c r="CM106" i="1"/>
  <c r="CK107" i="1"/>
  <c r="CL107" i="1"/>
  <c r="CM107" i="1"/>
  <c r="CK108" i="1"/>
  <c r="CL108" i="1"/>
  <c r="CM108" i="1"/>
  <c r="CK109" i="1"/>
  <c r="CL109" i="1"/>
  <c r="CM109" i="1"/>
  <c r="CK110" i="1"/>
  <c r="CL110" i="1"/>
  <c r="CM110" i="1"/>
  <c r="CK111" i="1"/>
  <c r="CL111" i="1"/>
  <c r="CM111" i="1"/>
  <c r="CK112" i="1"/>
  <c r="CL112" i="1"/>
  <c r="CM112" i="1"/>
  <c r="CK113" i="1"/>
  <c r="CL113" i="1"/>
  <c r="CM113" i="1"/>
  <c r="CK114" i="1"/>
  <c r="CL114" i="1"/>
  <c r="CM114" i="1"/>
  <c r="CK115" i="1"/>
  <c r="CL115" i="1"/>
  <c r="CM115" i="1"/>
  <c r="CK116" i="1"/>
  <c r="CL116" i="1"/>
  <c r="CM116" i="1"/>
  <c r="CK117" i="1"/>
  <c r="CL117" i="1"/>
  <c r="CM117" i="1"/>
  <c r="CK118" i="1"/>
  <c r="CL118" i="1"/>
  <c r="CM118" i="1"/>
  <c r="CK119" i="1"/>
  <c r="CL119" i="1"/>
  <c r="CM119" i="1"/>
  <c r="CK120" i="1"/>
  <c r="CL120" i="1"/>
  <c r="CM120" i="1"/>
  <c r="CK121" i="1"/>
  <c r="CL121" i="1"/>
  <c r="CM121" i="1"/>
  <c r="CK122" i="1"/>
  <c r="CL122" i="1"/>
  <c r="CM122" i="1"/>
  <c r="CK123" i="1"/>
  <c r="CL123" i="1"/>
  <c r="CM123" i="1"/>
  <c r="CK124" i="1"/>
  <c r="CL124" i="1"/>
  <c r="CM124" i="1"/>
  <c r="CK125" i="1"/>
  <c r="CL125" i="1"/>
  <c r="CM125" i="1"/>
  <c r="CK126" i="1"/>
  <c r="CL126" i="1"/>
  <c r="CM126" i="1"/>
  <c r="CK127" i="1"/>
  <c r="CL127" i="1"/>
  <c r="CM127" i="1"/>
  <c r="CK128" i="1"/>
  <c r="CL128" i="1"/>
  <c r="CM128" i="1"/>
  <c r="CK129" i="1"/>
  <c r="CL129" i="1"/>
  <c r="CM129" i="1"/>
  <c r="CK130" i="1"/>
  <c r="CL130" i="1"/>
  <c r="CM130" i="1"/>
  <c r="CK131" i="1"/>
  <c r="CL131" i="1"/>
  <c r="CM131" i="1"/>
  <c r="CK132" i="1"/>
  <c r="CL132" i="1"/>
  <c r="CM132" i="1"/>
  <c r="CK133" i="1"/>
  <c r="CL133" i="1"/>
  <c r="CM133" i="1"/>
  <c r="CK134" i="1"/>
  <c r="CL134" i="1"/>
  <c r="CM134" i="1"/>
  <c r="CK135" i="1"/>
  <c r="CL135" i="1"/>
  <c r="CM135" i="1"/>
  <c r="CK136" i="1"/>
  <c r="CL136" i="1"/>
  <c r="CM136" i="1"/>
  <c r="CK137" i="1"/>
  <c r="CL137" i="1"/>
  <c r="CM137" i="1"/>
  <c r="CK138" i="1"/>
  <c r="CL138" i="1"/>
  <c r="CM138" i="1"/>
  <c r="CK139" i="1"/>
  <c r="CL139" i="1"/>
  <c r="CM139" i="1"/>
  <c r="CK140" i="1"/>
  <c r="CL140" i="1"/>
  <c r="CM140" i="1"/>
  <c r="CK141" i="1"/>
  <c r="CL141" i="1"/>
  <c r="CM141" i="1"/>
  <c r="CK142" i="1"/>
  <c r="CL142" i="1"/>
  <c r="CM142" i="1"/>
  <c r="CK143" i="1"/>
  <c r="CL143" i="1"/>
  <c r="CM143" i="1"/>
  <c r="CK144" i="1"/>
  <c r="CL144" i="1"/>
  <c r="CM144" i="1"/>
  <c r="CK145" i="1"/>
  <c r="CL145" i="1"/>
  <c r="CM145" i="1"/>
  <c r="CK146" i="1"/>
  <c r="CL146" i="1"/>
  <c r="CM146" i="1"/>
  <c r="CK147" i="1"/>
  <c r="CL147" i="1"/>
  <c r="CM147" i="1"/>
  <c r="CK148" i="1"/>
  <c r="CL148" i="1"/>
  <c r="CM148" i="1"/>
  <c r="CK149" i="1"/>
  <c r="CL149" i="1"/>
  <c r="CM149" i="1"/>
  <c r="CK150" i="1"/>
  <c r="CL150" i="1"/>
  <c r="CM150" i="1"/>
  <c r="CK151" i="1"/>
  <c r="CL151" i="1"/>
  <c r="CM151" i="1"/>
  <c r="CK152" i="1"/>
  <c r="CL152" i="1"/>
  <c r="CM152" i="1"/>
  <c r="CK153" i="1"/>
  <c r="CL153" i="1"/>
  <c r="CM153" i="1"/>
  <c r="CK154" i="1"/>
  <c r="CL154" i="1"/>
  <c r="CM154" i="1"/>
  <c r="CK155" i="1"/>
  <c r="CL155" i="1"/>
  <c r="CM155" i="1"/>
  <c r="CK156" i="1"/>
  <c r="CL156" i="1"/>
  <c r="CM156" i="1"/>
  <c r="CK157" i="1"/>
  <c r="CL157" i="1"/>
  <c r="CM157" i="1"/>
  <c r="CK158" i="1"/>
  <c r="CL158" i="1"/>
  <c r="CM158" i="1"/>
  <c r="CK159" i="1"/>
  <c r="CL159" i="1"/>
  <c r="CM159" i="1"/>
  <c r="CK160" i="1"/>
  <c r="CL160" i="1"/>
  <c r="CM160" i="1"/>
  <c r="CK161" i="1"/>
  <c r="CL161" i="1"/>
  <c r="CM161" i="1"/>
  <c r="CK162" i="1"/>
  <c r="CL162" i="1"/>
  <c r="CM162" i="1"/>
  <c r="CK163" i="1"/>
  <c r="CL163" i="1"/>
  <c r="CM163" i="1"/>
  <c r="CK164" i="1"/>
  <c r="CL164" i="1"/>
  <c r="CM164" i="1"/>
  <c r="CK165" i="1"/>
  <c r="CL165" i="1"/>
  <c r="CM165" i="1"/>
  <c r="CK166" i="1"/>
  <c r="CL166" i="1"/>
  <c r="CM166" i="1"/>
  <c r="CM3" i="1"/>
  <c r="CL3" i="1"/>
  <c r="CK3" i="1"/>
  <c r="BG4" i="51"/>
  <c r="BG5" i="51"/>
  <c r="BG6" i="51"/>
  <c r="BG7" i="51"/>
  <c r="BG8" i="51"/>
  <c r="BG9" i="51"/>
  <c r="BG10" i="51"/>
  <c r="BG11" i="51"/>
  <c r="BG12" i="51"/>
  <c r="BG13" i="51"/>
  <c r="BG14" i="51"/>
  <c r="BG15" i="51"/>
  <c r="BG16" i="51"/>
  <c r="BG17" i="51"/>
  <c r="BG18" i="51"/>
  <c r="BG19" i="51"/>
  <c r="BG20" i="51"/>
  <c r="BG21" i="51"/>
  <c r="BG22" i="51"/>
  <c r="BG23" i="51"/>
  <c r="BG24" i="51"/>
  <c r="BG25" i="51"/>
  <c r="BG26" i="51"/>
  <c r="BG27" i="51"/>
  <c r="BG28" i="51"/>
  <c r="BG29" i="51"/>
  <c r="BG30" i="51"/>
  <c r="BG31" i="51"/>
  <c r="BG32" i="51"/>
  <c r="BG33" i="51"/>
  <c r="BG34" i="51"/>
  <c r="BG35" i="51"/>
  <c r="BG36" i="51"/>
  <c r="BG37" i="51"/>
  <c r="BG38" i="51"/>
  <c r="BG39" i="51"/>
  <c r="BG40" i="51"/>
  <c r="BG41" i="51"/>
  <c r="BG42" i="51"/>
  <c r="BG43" i="51"/>
  <c r="BG44" i="51"/>
  <c r="BG45" i="51"/>
  <c r="BG46" i="51"/>
  <c r="BG47" i="51"/>
  <c r="BG48" i="51"/>
  <c r="BG49" i="51"/>
  <c r="BG50" i="51"/>
  <c r="BG51" i="51"/>
  <c r="BG52" i="51"/>
  <c r="BG53" i="51"/>
  <c r="BG54" i="51"/>
  <c r="BG55" i="51"/>
  <c r="BG56" i="51"/>
  <c r="BG57" i="51"/>
  <c r="BG58" i="51"/>
  <c r="BG59" i="51"/>
  <c r="BG60" i="51"/>
  <c r="BG61" i="51"/>
  <c r="BG62" i="51"/>
  <c r="BG63" i="51"/>
  <c r="BG64" i="51"/>
  <c r="BG65" i="51"/>
  <c r="BG66" i="51"/>
  <c r="BG67" i="51"/>
  <c r="BG68" i="51"/>
  <c r="BG69" i="51"/>
  <c r="BG70" i="51"/>
  <c r="BG71" i="51"/>
  <c r="BG72" i="51"/>
  <c r="BG73" i="51"/>
  <c r="BG74" i="51"/>
  <c r="BG75" i="51"/>
  <c r="BG76" i="51"/>
  <c r="BG77" i="51"/>
  <c r="BG78" i="51"/>
  <c r="BG79" i="51"/>
  <c r="BG80" i="51"/>
  <c r="BG81" i="51"/>
  <c r="BG82" i="51"/>
  <c r="BG83" i="51"/>
  <c r="BG84" i="51"/>
  <c r="BG85" i="51"/>
  <c r="BG86" i="51"/>
  <c r="BG87" i="51"/>
  <c r="BG88" i="51"/>
  <c r="BG89" i="51"/>
  <c r="BG90" i="51"/>
  <c r="BG95" i="51"/>
  <c r="BG96" i="51"/>
  <c r="BG97" i="51"/>
  <c r="BG98" i="51"/>
  <c r="BG99" i="51"/>
  <c r="BG100" i="51"/>
  <c r="BG101" i="51"/>
  <c r="BG102" i="51"/>
  <c r="BG103" i="51"/>
  <c r="BG104" i="51"/>
  <c r="BG105" i="51"/>
  <c r="BG106" i="51"/>
  <c r="BG107" i="51"/>
  <c r="BG108" i="51"/>
  <c r="BG109" i="51"/>
  <c r="BG110" i="51"/>
  <c r="BG111" i="51"/>
  <c r="BG112" i="51"/>
  <c r="BG113" i="51"/>
  <c r="BG114" i="51"/>
  <c r="BG115" i="51"/>
  <c r="BG116" i="51"/>
  <c r="BG117" i="51"/>
  <c r="BG118" i="51"/>
  <c r="BG119" i="51"/>
  <c r="BG120" i="51"/>
  <c r="BG121" i="51"/>
  <c r="BG122" i="51"/>
  <c r="BG123" i="51"/>
  <c r="BG124" i="51"/>
  <c r="BG125" i="51"/>
  <c r="BG126" i="51"/>
  <c r="BG127" i="51"/>
  <c r="BG128" i="51"/>
  <c r="BG129" i="51"/>
  <c r="BG130" i="51"/>
  <c r="BG131" i="51"/>
  <c r="BG132" i="51"/>
  <c r="BG133" i="51"/>
  <c r="BG134" i="51"/>
  <c r="BG135" i="51"/>
  <c r="BG136" i="51"/>
  <c r="BG137" i="51"/>
  <c r="BG138" i="51"/>
  <c r="BG139" i="51"/>
  <c r="BG140" i="51"/>
  <c r="BG141" i="51"/>
  <c r="BG142" i="51"/>
  <c r="BG143" i="51"/>
  <c r="BG144" i="51"/>
  <c r="BG145" i="51"/>
  <c r="BG146" i="51"/>
  <c r="BG147" i="51"/>
  <c r="BG148" i="51"/>
  <c r="BG149" i="51"/>
  <c r="BG150" i="51"/>
  <c r="BG151" i="51"/>
  <c r="BG152" i="51"/>
  <c r="BG153" i="51"/>
  <c r="BG154" i="51"/>
  <c r="BG155" i="51"/>
  <c r="BG156" i="51"/>
  <c r="BG157" i="51"/>
  <c r="BG158" i="51"/>
  <c r="BG159" i="51"/>
  <c r="BG160" i="51"/>
  <c r="BG161" i="51"/>
  <c r="BG162" i="51"/>
  <c r="BG163" i="51"/>
  <c r="BG164" i="51"/>
  <c r="BG165" i="51"/>
  <c r="BG166" i="51"/>
  <c r="BG167" i="51"/>
  <c r="BG168" i="51"/>
  <c r="BG169" i="51"/>
  <c r="BG170" i="51"/>
  <c r="BG171" i="51"/>
  <c r="BG172" i="51"/>
  <c r="BG173" i="51"/>
  <c r="BG174" i="51"/>
  <c r="BG175" i="51"/>
  <c r="BG176" i="51"/>
  <c r="BG177" i="51"/>
  <c r="BG178" i="51"/>
  <c r="BG179" i="51"/>
  <c r="BG180" i="51"/>
  <c r="BG181" i="51"/>
  <c r="BG182" i="51"/>
  <c r="BG183" i="51"/>
  <c r="BG184" i="51"/>
  <c r="BG185" i="51"/>
  <c r="BG186" i="51"/>
  <c r="BG187" i="51"/>
  <c r="BG188" i="51"/>
  <c r="BG189" i="51"/>
  <c r="BG190" i="51"/>
  <c r="BG191" i="51"/>
  <c r="BG192" i="51"/>
  <c r="BG193" i="51"/>
  <c r="BG194" i="51"/>
  <c r="BG195" i="51"/>
  <c r="BG196" i="51"/>
  <c r="BG197" i="51"/>
  <c r="BG198" i="51"/>
  <c r="BG199" i="51"/>
  <c r="BG200" i="51"/>
  <c r="BG201" i="51"/>
  <c r="BG202" i="51"/>
  <c r="BG203" i="51"/>
  <c r="BG204" i="51"/>
  <c r="BG205" i="51"/>
  <c r="BG206" i="51"/>
  <c r="BG207" i="51"/>
  <c r="BG208" i="51"/>
  <c r="BG209" i="51"/>
  <c r="BG210" i="51"/>
  <c r="BG211" i="51"/>
  <c r="BG212" i="51"/>
  <c r="BG213" i="51"/>
  <c r="BG214" i="51"/>
  <c r="BG215" i="51"/>
  <c r="BG216" i="51"/>
  <c r="BG217" i="51"/>
  <c r="BG218" i="51"/>
  <c r="BG219" i="51"/>
  <c r="BG220" i="51"/>
  <c r="BG221" i="51"/>
  <c r="BG222" i="51"/>
  <c r="BG223" i="51"/>
  <c r="BG224" i="51"/>
  <c r="BG225" i="51"/>
  <c r="BG226" i="51"/>
  <c r="BG227" i="51"/>
  <c r="BG228" i="51"/>
  <c r="BG229" i="51"/>
  <c r="BG230" i="51"/>
  <c r="BG231" i="51"/>
  <c r="BG232" i="51"/>
  <c r="BG233" i="51"/>
  <c r="BG234" i="51"/>
  <c r="BG235" i="51"/>
  <c r="BG236" i="51"/>
  <c r="BG237" i="51"/>
  <c r="BG238" i="51"/>
  <c r="BG239" i="51"/>
  <c r="BG240" i="51"/>
  <c r="BG241" i="51"/>
  <c r="BG242" i="51"/>
  <c r="BG243" i="51"/>
  <c r="BG244" i="51"/>
  <c r="BG245" i="51"/>
  <c r="BG246" i="51"/>
  <c r="BG247" i="51"/>
  <c r="BG248" i="51"/>
  <c r="BG249" i="51"/>
  <c r="BG250" i="51"/>
  <c r="BG251" i="51"/>
  <c r="BG252" i="51"/>
  <c r="BG253" i="51"/>
  <c r="BG254" i="51"/>
  <c r="BG255" i="51"/>
  <c r="BG256" i="51"/>
  <c r="BG257" i="51"/>
  <c r="BG258" i="51"/>
  <c r="BG259" i="51"/>
  <c r="BG260" i="51"/>
  <c r="BG261" i="51"/>
  <c r="BG262" i="51"/>
  <c r="BG263" i="51"/>
  <c r="BG264" i="51"/>
  <c r="BG265" i="51"/>
  <c r="BG266" i="51"/>
  <c r="BG267" i="51"/>
  <c r="BG268" i="51"/>
  <c r="BG269" i="51"/>
  <c r="BG270" i="51"/>
  <c r="BG271" i="51"/>
  <c r="BG272" i="51"/>
  <c r="BG273" i="51"/>
  <c r="BG274" i="51"/>
  <c r="BG3" i="51"/>
  <c r="BH94" i="51"/>
  <c r="BH93" i="51"/>
  <c r="BH92" i="51"/>
  <c r="BH91" i="51"/>
  <c r="BF94" i="51"/>
  <c r="BG94" i="51"/>
  <c r="BF93" i="51"/>
  <c r="BG93" i="51"/>
  <c r="BF92" i="51"/>
  <c r="BG92" i="51"/>
  <c r="BF91" i="51"/>
  <c r="BG91" i="51"/>
  <c r="A274" i="51"/>
  <c r="A273" i="51"/>
  <c r="A272" i="51"/>
  <c r="A271" i="51"/>
  <c r="A270" i="51"/>
  <c r="A269" i="51"/>
  <c r="A268" i="51"/>
  <c r="A267" i="51"/>
  <c r="A266" i="51"/>
  <c r="A265" i="51"/>
  <c r="A264" i="51"/>
  <c r="A263" i="51"/>
  <c r="A262" i="51"/>
  <c r="A261" i="51"/>
  <c r="A260" i="51"/>
  <c r="A259" i="51"/>
  <c r="A258" i="51"/>
  <c r="A257" i="51"/>
  <c r="A256" i="51"/>
  <c r="A255" i="51"/>
  <c r="A254" i="51"/>
  <c r="A253" i="51"/>
  <c r="A252" i="51"/>
  <c r="A251" i="51"/>
  <c r="A250" i="51"/>
  <c r="A249" i="51"/>
  <c r="A248" i="51"/>
  <c r="A247" i="51"/>
  <c r="A246" i="51"/>
  <c r="A245" i="51"/>
  <c r="A244" i="51"/>
  <c r="A243" i="51"/>
  <c r="A242" i="51"/>
  <c r="A241" i="51"/>
  <c r="A240" i="51"/>
  <c r="A239" i="51"/>
  <c r="A238" i="51"/>
  <c r="A237" i="51"/>
  <c r="A236" i="51"/>
  <c r="A235" i="51"/>
  <c r="A234" i="51"/>
  <c r="A233" i="51"/>
  <c r="A232" i="51"/>
  <c r="A231" i="51"/>
  <c r="A230" i="51"/>
  <c r="A229" i="51"/>
  <c r="A228" i="51"/>
  <c r="A227" i="51"/>
  <c r="A160" i="51"/>
  <c r="A159" i="51"/>
  <c r="A158" i="51"/>
  <c r="A157" i="51"/>
  <c r="A156" i="51"/>
  <c r="A155" i="51"/>
  <c r="A154" i="51"/>
  <c r="A153" i="51"/>
  <c r="A152" i="51"/>
  <c r="A151" i="51"/>
  <c r="A150" i="51"/>
  <c r="A149" i="51"/>
  <c r="A148" i="51"/>
  <c r="A147" i="51"/>
  <c r="A146" i="51"/>
  <c r="A145" i="51"/>
  <c r="A144" i="51"/>
  <c r="A143" i="51"/>
  <c r="A142" i="51"/>
  <c r="A141" i="51"/>
  <c r="A140" i="51"/>
  <c r="A139" i="51"/>
  <c r="A138" i="51"/>
  <c r="A137" i="51"/>
  <c r="A90" i="51"/>
  <c r="A89" i="51"/>
  <c r="A88" i="51"/>
  <c r="A87" i="51"/>
  <c r="A86" i="51"/>
  <c r="A85" i="51"/>
  <c r="A84" i="51"/>
  <c r="A83" i="51"/>
  <c r="A82" i="51"/>
  <c r="A81" i="51"/>
  <c r="A80" i="51"/>
  <c r="A79" i="51"/>
  <c r="A78" i="51"/>
  <c r="A77" i="51"/>
  <c r="A76" i="51"/>
  <c r="A75" i="51"/>
  <c r="A74" i="51"/>
  <c r="A73" i="51"/>
  <c r="A72" i="51"/>
  <c r="A71" i="51"/>
  <c r="A70" i="51"/>
  <c r="A69" i="51"/>
  <c r="A68" i="51"/>
  <c r="A67" i="51"/>
  <c r="A66" i="51"/>
  <c r="A65" i="51"/>
  <c r="A64" i="51"/>
  <c r="A63" i="51"/>
  <c r="A62" i="51"/>
  <c r="A61" i="51"/>
  <c r="A60" i="51"/>
  <c r="A59" i="51"/>
  <c r="A58" i="51"/>
  <c r="A57" i="51"/>
  <c r="A56" i="51"/>
  <c r="A55" i="51"/>
  <c r="A226" i="51"/>
  <c r="A225" i="51"/>
  <c r="A224" i="51"/>
  <c r="A223" i="51"/>
  <c r="A222" i="51"/>
  <c r="A221" i="51"/>
  <c r="A220" i="51"/>
  <c r="A219" i="51"/>
  <c r="A218" i="51"/>
  <c r="A217" i="51"/>
  <c r="A216" i="51"/>
  <c r="A215" i="51"/>
  <c r="A214" i="51"/>
  <c r="A213" i="51"/>
  <c r="A212" i="51"/>
  <c r="A211" i="51"/>
  <c r="A210" i="51"/>
  <c r="A209" i="51"/>
  <c r="A208" i="51"/>
  <c r="A207" i="51"/>
  <c r="A206" i="51"/>
  <c r="A205" i="51"/>
  <c r="A204" i="51"/>
  <c r="A203" i="51"/>
  <c r="A202" i="51"/>
  <c r="A201" i="51"/>
  <c r="A200" i="51"/>
  <c r="A199" i="51"/>
  <c r="A198" i="51"/>
  <c r="A197" i="51"/>
  <c r="A196" i="51"/>
  <c r="A195" i="51"/>
  <c r="A194" i="51"/>
  <c r="A193" i="51"/>
  <c r="A192" i="51"/>
  <c r="A191" i="51"/>
  <c r="A190" i="51"/>
  <c r="A189" i="51"/>
  <c r="A188" i="51"/>
  <c r="A187" i="51"/>
  <c r="A186" i="51"/>
  <c r="A185" i="51"/>
  <c r="A184" i="51"/>
  <c r="A183" i="51"/>
  <c r="A182" i="51"/>
  <c r="A181" i="51"/>
  <c r="A180" i="51"/>
  <c r="A179" i="51"/>
  <c r="A178" i="51"/>
  <c r="A177" i="51"/>
  <c r="A176" i="51"/>
  <c r="A175" i="51"/>
  <c r="A174" i="51"/>
  <c r="A173" i="51"/>
  <c r="A172" i="51"/>
  <c r="A171" i="51"/>
  <c r="A170" i="51"/>
  <c r="A169" i="51"/>
  <c r="A168" i="51"/>
  <c r="A167" i="51"/>
  <c r="A166" i="51"/>
  <c r="A165" i="51"/>
  <c r="A164" i="51"/>
  <c r="A163" i="51"/>
  <c r="A162" i="51"/>
  <c r="A161" i="51"/>
  <c r="A136" i="51"/>
  <c r="A135" i="51"/>
  <c r="A134" i="51"/>
  <c r="A133" i="51"/>
  <c r="A132" i="51"/>
  <c r="A131" i="51"/>
  <c r="A130" i="51"/>
  <c r="A129" i="51"/>
  <c r="A128" i="51"/>
  <c r="A127" i="51"/>
  <c r="A126" i="51"/>
  <c r="A125" i="51"/>
  <c r="A124" i="51"/>
  <c r="A123" i="51"/>
  <c r="A122" i="51"/>
  <c r="A121" i="51"/>
  <c r="A120" i="51"/>
  <c r="A119" i="51"/>
  <c r="A118" i="51"/>
  <c r="A117" i="51"/>
  <c r="A116" i="51"/>
  <c r="A115" i="51"/>
  <c r="A114" i="51"/>
  <c r="A113" i="51"/>
  <c r="A112" i="51"/>
  <c r="A111" i="51"/>
  <c r="A110" i="51"/>
  <c r="A109" i="51"/>
  <c r="A108" i="51"/>
  <c r="A107" i="51"/>
  <c r="A106" i="51"/>
  <c r="A105" i="51"/>
  <c r="A104" i="51"/>
  <c r="A103" i="51"/>
  <c r="A102" i="51"/>
  <c r="A101" i="51"/>
  <c r="A100" i="51"/>
  <c r="A99" i="51"/>
  <c r="A98" i="51"/>
  <c r="A97" i="51"/>
  <c r="A96" i="51"/>
  <c r="A95" i="51"/>
  <c r="A94" i="51"/>
  <c r="A93" i="51"/>
  <c r="A92" i="51"/>
  <c r="A91" i="51"/>
  <c r="A54" i="51"/>
  <c r="A53" i="51"/>
  <c r="A52" i="51"/>
  <c r="A51" i="51"/>
  <c r="A50" i="51"/>
  <c r="A49" i="51"/>
  <c r="A48" i="51"/>
  <c r="A47" i="51"/>
  <c r="A46" i="51"/>
  <c r="A45" i="51"/>
  <c r="A44" i="51"/>
  <c r="A43" i="51"/>
  <c r="A42" i="51"/>
  <c r="A41" i="51"/>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B133" i="23"/>
  <c r="T192" i="7"/>
  <c r="T191" i="7"/>
  <c r="T190" i="7"/>
  <c r="T189" i="7"/>
  <c r="C5" i="2"/>
  <c r="C4" i="2"/>
  <c r="C3" i="2"/>
  <c r="AV115" i="1"/>
  <c r="AU73" i="1"/>
  <c r="AV68" i="1"/>
  <c r="AV61" i="1"/>
  <c r="AU67" i="1"/>
  <c r="AU75" i="1"/>
  <c r="AU107" i="1"/>
  <c r="AU115" i="1"/>
  <c r="AV62" i="1"/>
  <c r="AV70" i="1"/>
  <c r="AV102" i="1"/>
  <c r="AV110" i="1"/>
  <c r="AV118" i="1"/>
  <c r="AU74" i="1"/>
  <c r="AV69" i="1"/>
  <c r="AV109" i="1"/>
  <c r="AV117" i="1"/>
  <c r="AU68" i="1"/>
  <c r="AU116" i="1"/>
  <c r="AV71" i="1"/>
  <c r="AV103" i="1"/>
  <c r="AV111" i="1"/>
  <c r="AU61" i="1"/>
  <c r="AU101" i="1"/>
  <c r="AU109" i="1"/>
  <c r="AU117" i="1"/>
  <c r="AV64" i="1"/>
  <c r="AV72" i="1"/>
  <c r="AV104" i="1"/>
  <c r="AV112" i="1"/>
  <c r="AU65" i="1"/>
  <c r="AU113" i="1"/>
  <c r="AU66" i="1"/>
  <c r="AU60" i="1"/>
  <c r="AU108" i="1"/>
  <c r="AU69" i="1"/>
  <c r="AU62" i="1"/>
  <c r="AU70" i="1"/>
  <c r="AU102" i="1"/>
  <c r="AU110" i="1"/>
  <c r="AU118" i="1"/>
  <c r="AV65" i="1"/>
  <c r="AV73" i="1"/>
  <c r="AV105" i="1"/>
  <c r="AV113" i="1"/>
  <c r="AV60" i="1"/>
  <c r="AU114" i="1"/>
  <c r="AV101" i="1"/>
  <c r="AU76" i="1"/>
  <c r="AV63" i="1"/>
  <c r="AU63" i="1"/>
  <c r="AU71" i="1"/>
  <c r="AU103" i="1"/>
  <c r="AU111" i="1"/>
  <c r="AU59" i="1"/>
  <c r="AV66" i="1"/>
  <c r="AV74" i="1"/>
  <c r="AV106" i="1"/>
  <c r="AV114" i="1"/>
  <c r="AU105" i="1"/>
  <c r="AV76" i="1"/>
  <c r="AV108" i="1"/>
  <c r="AV116" i="1"/>
  <c r="AU106" i="1"/>
  <c r="AU64" i="1"/>
  <c r="AU72" i="1"/>
  <c r="AU104" i="1"/>
  <c r="AU112" i="1"/>
  <c r="AV59" i="1"/>
  <c r="AV67" i="1"/>
  <c r="AV75" i="1"/>
  <c r="AV10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R285" i="7"/>
  <c r="O285" i="7"/>
  <c r="M285" i="7"/>
  <c r="L285" i="7"/>
  <c r="G285" i="7"/>
  <c r="F285" i="7"/>
  <c r="C285" i="7"/>
  <c r="R269" i="7"/>
  <c r="O269" i="7"/>
  <c r="M269" i="7"/>
  <c r="L269" i="7"/>
  <c r="G269" i="7"/>
  <c r="F269" i="7"/>
  <c r="C269" i="7"/>
  <c r="R218" i="7"/>
  <c r="O218" i="7"/>
  <c r="M218" i="7"/>
  <c r="L218" i="7"/>
  <c r="G218" i="7"/>
  <c r="F218" i="7"/>
  <c r="C218" i="7"/>
  <c r="R217" i="7"/>
  <c r="O217" i="7"/>
  <c r="M217" i="7"/>
  <c r="L217" i="7"/>
  <c r="G217" i="7"/>
  <c r="F217" i="7"/>
  <c r="C217" i="7"/>
  <c r="R216" i="7"/>
  <c r="O216" i="7"/>
  <c r="M216" i="7"/>
  <c r="L216" i="7"/>
  <c r="G216" i="7"/>
  <c r="F216" i="7"/>
  <c r="C216" i="7"/>
  <c r="R215" i="7"/>
  <c r="O215" i="7"/>
  <c r="M215" i="7"/>
  <c r="L215" i="7"/>
  <c r="G215" i="7"/>
  <c r="F215" i="7"/>
  <c r="C215" i="7"/>
  <c r="R222" i="7"/>
  <c r="O222" i="7"/>
  <c r="M222" i="7"/>
  <c r="L222" i="7"/>
  <c r="G222" i="7"/>
  <c r="F222" i="7"/>
  <c r="C222" i="7"/>
  <c r="R221" i="7"/>
  <c r="O221" i="7"/>
  <c r="M221" i="7"/>
  <c r="L221" i="7"/>
  <c r="G221" i="7"/>
  <c r="F221" i="7"/>
  <c r="C221" i="7"/>
  <c r="R220" i="7"/>
  <c r="O220" i="7"/>
  <c r="M220" i="7"/>
  <c r="L220" i="7"/>
  <c r="G220" i="7"/>
  <c r="F220" i="7"/>
  <c r="C220" i="7"/>
  <c r="R219" i="7"/>
  <c r="O219" i="7"/>
  <c r="M219" i="7"/>
  <c r="L219" i="7"/>
  <c r="G219" i="7"/>
  <c r="F219" i="7"/>
  <c r="C219" i="7"/>
  <c r="R284" i="7"/>
  <c r="O284" i="7"/>
  <c r="M284" i="7"/>
  <c r="L284" i="7"/>
  <c r="G284" i="7"/>
  <c r="F284" i="7"/>
  <c r="C284" i="7"/>
  <c r="R283" i="7"/>
  <c r="O283" i="7"/>
  <c r="M283" i="7"/>
  <c r="L283" i="7"/>
  <c r="G283" i="7"/>
  <c r="F283" i="7"/>
  <c r="C283" i="7"/>
  <c r="R282" i="7"/>
  <c r="O282" i="7"/>
  <c r="M282" i="7"/>
  <c r="L282" i="7"/>
  <c r="G282" i="7"/>
  <c r="F282" i="7"/>
  <c r="C282" i="7"/>
  <c r="R281" i="7"/>
  <c r="O281" i="7"/>
  <c r="M281" i="7"/>
  <c r="L281" i="7"/>
  <c r="G281" i="7"/>
  <c r="F281" i="7"/>
  <c r="C281" i="7"/>
  <c r="R280" i="7"/>
  <c r="O280" i="7"/>
  <c r="M280" i="7"/>
  <c r="L280" i="7"/>
  <c r="G280" i="7"/>
  <c r="F280" i="7"/>
  <c r="C280" i="7"/>
  <c r="R279" i="7"/>
  <c r="O279" i="7"/>
  <c r="M279" i="7"/>
  <c r="L279" i="7"/>
  <c r="G279" i="7"/>
  <c r="F279" i="7"/>
  <c r="C279" i="7"/>
  <c r="R278" i="7"/>
  <c r="O278" i="7"/>
  <c r="M278" i="7"/>
  <c r="L278" i="7"/>
  <c r="G278" i="7"/>
  <c r="F278" i="7"/>
  <c r="C278" i="7"/>
  <c r="R277" i="7"/>
  <c r="O277" i="7"/>
  <c r="M277" i="7"/>
  <c r="L277" i="7"/>
  <c r="G277" i="7"/>
  <c r="F277" i="7"/>
  <c r="C277" i="7"/>
  <c r="R276" i="7"/>
  <c r="O276" i="7"/>
  <c r="M276" i="7"/>
  <c r="L276" i="7"/>
  <c r="G276" i="7"/>
  <c r="F276" i="7"/>
  <c r="C276" i="7"/>
  <c r="R275" i="7"/>
  <c r="O275" i="7"/>
  <c r="M275" i="7"/>
  <c r="L275" i="7"/>
  <c r="G275" i="7"/>
  <c r="F275" i="7"/>
  <c r="C275" i="7"/>
  <c r="R274" i="7"/>
  <c r="O274" i="7"/>
  <c r="M274" i="7"/>
  <c r="L274" i="7"/>
  <c r="G274" i="7"/>
  <c r="F274" i="7"/>
  <c r="C274" i="7"/>
  <c r="R273" i="7"/>
  <c r="O273" i="7"/>
  <c r="M273" i="7"/>
  <c r="L273" i="7"/>
  <c r="G273" i="7"/>
  <c r="F273" i="7"/>
  <c r="C273" i="7"/>
  <c r="R272" i="7"/>
  <c r="O272" i="7"/>
  <c r="M272" i="7"/>
  <c r="L272" i="7"/>
  <c r="G272" i="7"/>
  <c r="F272" i="7"/>
  <c r="C272" i="7"/>
  <c r="R271" i="7"/>
  <c r="O271" i="7"/>
  <c r="M271" i="7"/>
  <c r="L271" i="7"/>
  <c r="G271" i="7"/>
  <c r="F271" i="7"/>
  <c r="C271" i="7"/>
  <c r="R270" i="7"/>
  <c r="O270" i="7"/>
  <c r="M270" i="7"/>
  <c r="L270" i="7"/>
  <c r="G270" i="7"/>
  <c r="F270" i="7"/>
  <c r="C270" i="7"/>
  <c r="R268" i="7"/>
  <c r="O268" i="7"/>
  <c r="M268" i="7"/>
  <c r="L268" i="7"/>
  <c r="G268" i="7"/>
  <c r="F268" i="7"/>
  <c r="C268" i="7"/>
  <c r="R267" i="7"/>
  <c r="O267" i="7"/>
  <c r="M267" i="7"/>
  <c r="L267" i="7"/>
  <c r="G267" i="7"/>
  <c r="F267" i="7"/>
  <c r="C267" i="7"/>
  <c r="R266" i="7"/>
  <c r="O266" i="7"/>
  <c r="M266" i="7"/>
  <c r="L266" i="7"/>
  <c r="G266" i="7"/>
  <c r="F266" i="7"/>
  <c r="C266" i="7"/>
  <c r="R265" i="7"/>
  <c r="O265" i="7"/>
  <c r="M265" i="7"/>
  <c r="L265" i="7"/>
  <c r="G265" i="7"/>
  <c r="F265" i="7"/>
  <c r="C265" i="7"/>
  <c r="R264" i="7"/>
  <c r="O264" i="7"/>
  <c r="M264" i="7"/>
  <c r="L264" i="7"/>
  <c r="G264" i="7"/>
  <c r="F264" i="7"/>
  <c r="C264" i="7"/>
  <c r="R263" i="7"/>
  <c r="O263" i="7"/>
  <c r="M263" i="7"/>
  <c r="L263" i="7"/>
  <c r="G263" i="7"/>
  <c r="F263" i="7"/>
  <c r="C263" i="7"/>
  <c r="R262" i="7"/>
  <c r="O262" i="7"/>
  <c r="M262" i="7"/>
  <c r="L262" i="7"/>
  <c r="G262" i="7"/>
  <c r="F262" i="7"/>
  <c r="C262" i="7"/>
  <c r="R261" i="7"/>
  <c r="O261" i="7"/>
  <c r="M261" i="7"/>
  <c r="L261" i="7"/>
  <c r="G261" i="7"/>
  <c r="F261" i="7"/>
  <c r="C261" i="7"/>
  <c r="R260" i="7"/>
  <c r="O260" i="7"/>
  <c r="M260" i="7"/>
  <c r="L260" i="7"/>
  <c r="G260" i="7"/>
  <c r="F260" i="7"/>
  <c r="C260" i="7"/>
  <c r="R259" i="7"/>
  <c r="O259" i="7"/>
  <c r="M259" i="7"/>
  <c r="L259" i="7"/>
  <c r="G259" i="7"/>
  <c r="F259" i="7"/>
  <c r="C259" i="7"/>
  <c r="R258" i="7"/>
  <c r="O258" i="7"/>
  <c r="M258" i="7"/>
  <c r="L258" i="7"/>
  <c r="G258" i="7"/>
  <c r="F258" i="7"/>
  <c r="C258" i="7"/>
  <c r="R257" i="7"/>
  <c r="O257" i="7"/>
  <c r="M257" i="7"/>
  <c r="L257" i="7"/>
  <c r="G257" i="7"/>
  <c r="F257" i="7"/>
  <c r="C257" i="7"/>
  <c r="R256" i="7"/>
  <c r="O256" i="7"/>
  <c r="M256" i="7"/>
  <c r="L256" i="7"/>
  <c r="G256" i="7"/>
  <c r="F256" i="7"/>
  <c r="C256" i="7"/>
  <c r="R255" i="7"/>
  <c r="O255" i="7"/>
  <c r="M255" i="7"/>
  <c r="L255" i="7"/>
  <c r="G255" i="7"/>
  <c r="F255" i="7"/>
  <c r="C255" i="7"/>
  <c r="R254" i="7"/>
  <c r="O254" i="7"/>
  <c r="M254" i="7"/>
  <c r="L254" i="7"/>
  <c r="G254" i="7"/>
  <c r="F254" i="7"/>
  <c r="C254" i="7"/>
  <c r="R234" i="7"/>
  <c r="O234" i="7"/>
  <c r="M234" i="7"/>
  <c r="L234" i="7"/>
  <c r="G234" i="7"/>
  <c r="F234" i="7"/>
  <c r="C234" i="7"/>
  <c r="R233" i="7"/>
  <c r="O233" i="7"/>
  <c r="M233" i="7"/>
  <c r="L233" i="7"/>
  <c r="G233" i="7"/>
  <c r="F233" i="7"/>
  <c r="C233" i="7"/>
  <c r="R232" i="7"/>
  <c r="O232" i="7"/>
  <c r="M232" i="7"/>
  <c r="L232" i="7"/>
  <c r="G232" i="7"/>
  <c r="F232" i="7"/>
  <c r="C232" i="7"/>
  <c r="R231" i="7"/>
  <c r="O231" i="7"/>
  <c r="M231" i="7"/>
  <c r="L231" i="7"/>
  <c r="G231" i="7"/>
  <c r="F231" i="7"/>
  <c r="C231" i="7"/>
  <c r="R230" i="7"/>
  <c r="O230" i="7"/>
  <c r="M230" i="7"/>
  <c r="L230" i="7"/>
  <c r="G230" i="7"/>
  <c r="F230" i="7"/>
  <c r="C230" i="7"/>
  <c r="R229" i="7"/>
  <c r="O229" i="7"/>
  <c r="M229" i="7"/>
  <c r="L229" i="7"/>
  <c r="G229" i="7"/>
  <c r="F229" i="7"/>
  <c r="C229" i="7"/>
  <c r="R228" i="7"/>
  <c r="O228" i="7"/>
  <c r="M228" i="7"/>
  <c r="L228" i="7"/>
  <c r="G228" i="7"/>
  <c r="F228" i="7"/>
  <c r="C228" i="7"/>
  <c r="R227" i="7"/>
  <c r="O227" i="7"/>
  <c r="M227" i="7"/>
  <c r="L227" i="7"/>
  <c r="G227" i="7"/>
  <c r="F227" i="7"/>
  <c r="C227" i="7"/>
  <c r="BL188" i="7"/>
  <c r="BK188" i="7"/>
  <c r="BJ188" i="7"/>
  <c r="R188" i="7"/>
  <c r="Q188" i="7"/>
  <c r="P188" i="7"/>
  <c r="O188" i="7"/>
  <c r="M188" i="7"/>
  <c r="L188" i="7"/>
  <c r="G188" i="7"/>
  <c r="F188" i="7"/>
  <c r="D188" i="7"/>
  <c r="C188" i="7"/>
  <c r="B188" i="7"/>
  <c r="BL187" i="7"/>
  <c r="BK187" i="7"/>
  <c r="BJ187" i="7"/>
  <c r="R187" i="7"/>
  <c r="Q187" i="7"/>
  <c r="P187" i="7"/>
  <c r="O187" i="7"/>
  <c r="M187" i="7"/>
  <c r="L187" i="7"/>
  <c r="G187" i="7"/>
  <c r="F187" i="7"/>
  <c r="D187" i="7"/>
  <c r="C187" i="7"/>
  <c r="B187" i="7"/>
  <c r="BL186" i="7"/>
  <c r="BK186" i="7"/>
  <c r="BJ186" i="7"/>
  <c r="R186" i="7"/>
  <c r="Q186" i="7"/>
  <c r="P186" i="7"/>
  <c r="O186" i="7"/>
  <c r="M186" i="7"/>
  <c r="L186" i="7"/>
  <c r="G186" i="7"/>
  <c r="F186" i="7"/>
  <c r="D186" i="7"/>
  <c r="C186" i="7"/>
  <c r="B186" i="7"/>
  <c r="BL185" i="7"/>
  <c r="BK185" i="7"/>
  <c r="BJ185" i="7"/>
  <c r="R185" i="7"/>
  <c r="Q185" i="7"/>
  <c r="P185" i="7"/>
  <c r="O185" i="7"/>
  <c r="M185" i="7"/>
  <c r="L185" i="7"/>
  <c r="G185" i="7"/>
  <c r="F185" i="7"/>
  <c r="D185" i="7"/>
  <c r="C185" i="7"/>
  <c r="B185" i="7"/>
  <c r="BL184" i="7"/>
  <c r="BK184" i="7"/>
  <c r="BJ184" i="7"/>
  <c r="R184" i="7"/>
  <c r="Q184" i="7"/>
  <c r="P184" i="7"/>
  <c r="O184" i="7"/>
  <c r="M184" i="7"/>
  <c r="L184" i="7"/>
  <c r="G184" i="7"/>
  <c r="F184" i="7"/>
  <c r="D184" i="7"/>
  <c r="C184" i="7"/>
  <c r="B184" i="7"/>
  <c r="BL183" i="7"/>
  <c r="BK183" i="7"/>
  <c r="BJ183" i="7"/>
  <c r="R183" i="7"/>
  <c r="Q183" i="7"/>
  <c r="P183" i="7"/>
  <c r="O183" i="7"/>
  <c r="M183" i="7"/>
  <c r="L183" i="7"/>
  <c r="G183" i="7"/>
  <c r="F183" i="7"/>
  <c r="D183" i="7"/>
  <c r="C183" i="7"/>
  <c r="B183" i="7"/>
  <c r="BL182" i="7"/>
  <c r="BK182" i="7"/>
  <c r="BJ182" i="7"/>
  <c r="R182" i="7"/>
  <c r="Q182" i="7"/>
  <c r="P182" i="7"/>
  <c r="O182" i="7"/>
  <c r="M182" i="7"/>
  <c r="L182" i="7"/>
  <c r="G182" i="7"/>
  <c r="F182" i="7"/>
  <c r="D182" i="7"/>
  <c r="C182" i="7"/>
  <c r="B182" i="7"/>
  <c r="BL181" i="7"/>
  <c r="BK181" i="7"/>
  <c r="BJ181" i="7"/>
  <c r="R181" i="7"/>
  <c r="Q181" i="7"/>
  <c r="P181" i="7"/>
  <c r="O181" i="7"/>
  <c r="M181" i="7"/>
  <c r="L181" i="7"/>
  <c r="G181" i="7"/>
  <c r="F181" i="7"/>
  <c r="D181" i="7"/>
  <c r="C181" i="7"/>
  <c r="B181" i="7"/>
  <c r="BL180" i="7"/>
  <c r="BK180" i="7"/>
  <c r="BJ180" i="7"/>
  <c r="R180" i="7"/>
  <c r="Q180" i="7"/>
  <c r="P180" i="7"/>
  <c r="O180" i="7"/>
  <c r="M180" i="7"/>
  <c r="L180" i="7"/>
  <c r="G180" i="7"/>
  <c r="F180" i="7"/>
  <c r="D180" i="7"/>
  <c r="C180" i="7"/>
  <c r="B180" i="7"/>
  <c r="BL179" i="7"/>
  <c r="BK179" i="7"/>
  <c r="BJ179" i="7"/>
  <c r="R179" i="7"/>
  <c r="Q179" i="7"/>
  <c r="P179" i="7"/>
  <c r="O179" i="7"/>
  <c r="M179" i="7"/>
  <c r="L179" i="7"/>
  <c r="G179" i="7"/>
  <c r="F179" i="7"/>
  <c r="D179" i="7"/>
  <c r="C179" i="7"/>
  <c r="B179" i="7"/>
  <c r="BL178" i="7"/>
  <c r="BK178" i="7"/>
  <c r="BJ178" i="7"/>
  <c r="R178" i="7"/>
  <c r="Q178" i="7"/>
  <c r="P178" i="7"/>
  <c r="O178" i="7"/>
  <c r="M178" i="7"/>
  <c r="L178" i="7"/>
  <c r="G178" i="7"/>
  <c r="F178" i="7"/>
  <c r="D178" i="7"/>
  <c r="C178" i="7"/>
  <c r="B178" i="7"/>
  <c r="BL177" i="7"/>
  <c r="BK177" i="7"/>
  <c r="BJ177" i="7"/>
  <c r="R177" i="7"/>
  <c r="Q177" i="7"/>
  <c r="P177" i="7"/>
  <c r="O177" i="7"/>
  <c r="M177" i="7"/>
  <c r="L177" i="7"/>
  <c r="G177" i="7"/>
  <c r="F177" i="7"/>
  <c r="D177" i="7"/>
  <c r="C177" i="7"/>
  <c r="B177" i="7"/>
  <c r="BL176" i="7"/>
  <c r="BK176" i="7"/>
  <c r="BJ176" i="7"/>
  <c r="R176" i="7"/>
  <c r="Q176" i="7"/>
  <c r="P176" i="7"/>
  <c r="O176" i="7"/>
  <c r="M176" i="7"/>
  <c r="L176" i="7"/>
  <c r="G176" i="7"/>
  <c r="F176" i="7"/>
  <c r="D176" i="7"/>
  <c r="C176" i="7"/>
  <c r="B176" i="7"/>
  <c r="BL175" i="7"/>
  <c r="BK175" i="7"/>
  <c r="BJ175" i="7"/>
  <c r="R175" i="7"/>
  <c r="Q175" i="7"/>
  <c r="P175" i="7"/>
  <c r="O175" i="7"/>
  <c r="M175" i="7"/>
  <c r="L175" i="7"/>
  <c r="G175" i="7"/>
  <c r="F175" i="7"/>
  <c r="D175" i="7"/>
  <c r="C175" i="7"/>
  <c r="B175" i="7"/>
  <c r="BL174" i="7"/>
  <c r="BK174" i="7"/>
  <c r="BJ174" i="7"/>
  <c r="R174" i="7"/>
  <c r="Q174" i="7"/>
  <c r="P174" i="7"/>
  <c r="O174" i="7"/>
  <c r="M174" i="7"/>
  <c r="L174" i="7"/>
  <c r="G174" i="7"/>
  <c r="F174" i="7"/>
  <c r="D174" i="7"/>
  <c r="C174" i="7"/>
  <c r="B174" i="7"/>
  <c r="BL173" i="7"/>
  <c r="BK173" i="7"/>
  <c r="BJ173" i="7"/>
  <c r="R173" i="7"/>
  <c r="Q173" i="7"/>
  <c r="P173" i="7"/>
  <c r="O173" i="7"/>
  <c r="M173" i="7"/>
  <c r="L173" i="7"/>
  <c r="G173" i="7"/>
  <c r="F173" i="7"/>
  <c r="D173" i="7"/>
  <c r="C173" i="7"/>
  <c r="B173" i="7"/>
  <c r="BL172" i="7"/>
  <c r="BK172" i="7"/>
  <c r="BJ172" i="7"/>
  <c r="R172" i="7"/>
  <c r="Q172" i="7"/>
  <c r="P172" i="7"/>
  <c r="O172" i="7"/>
  <c r="M172" i="7"/>
  <c r="L172" i="7"/>
  <c r="G172" i="7"/>
  <c r="F172" i="7"/>
  <c r="D172" i="7"/>
  <c r="C172" i="7"/>
  <c r="B172" i="7"/>
  <c r="BL171" i="7"/>
  <c r="BK171" i="7"/>
  <c r="BJ171" i="7"/>
  <c r="R171" i="7"/>
  <c r="Q171" i="7"/>
  <c r="P171" i="7"/>
  <c r="O171" i="7"/>
  <c r="M171" i="7"/>
  <c r="L171" i="7"/>
  <c r="G171" i="7"/>
  <c r="F171" i="7"/>
  <c r="D171" i="7"/>
  <c r="C171" i="7"/>
  <c r="B171" i="7"/>
  <c r="BL170" i="7"/>
  <c r="BK170" i="7"/>
  <c r="BJ170" i="7"/>
  <c r="R170" i="7"/>
  <c r="Q170" i="7"/>
  <c r="P170" i="7"/>
  <c r="O170" i="7"/>
  <c r="M170" i="7"/>
  <c r="L170" i="7"/>
  <c r="G170" i="7"/>
  <c r="F170" i="7"/>
  <c r="D170" i="7"/>
  <c r="C170" i="7"/>
  <c r="B170" i="7"/>
  <c r="BL169" i="7"/>
  <c r="BK169" i="7"/>
  <c r="BJ169" i="7"/>
  <c r="R169" i="7"/>
  <c r="Q169" i="7"/>
  <c r="P169" i="7"/>
  <c r="O169" i="7"/>
  <c r="M169" i="7"/>
  <c r="L169" i="7"/>
  <c r="G169" i="7"/>
  <c r="F169" i="7"/>
  <c r="D169" i="7"/>
  <c r="C169" i="7"/>
  <c r="B169" i="7"/>
  <c r="BL168" i="7"/>
  <c r="BK168" i="7"/>
  <c r="BJ168" i="7"/>
  <c r="R168" i="7"/>
  <c r="Q168" i="7"/>
  <c r="P168" i="7"/>
  <c r="O168" i="7"/>
  <c r="M168" i="7"/>
  <c r="L168" i="7"/>
  <c r="G168" i="7"/>
  <c r="F168" i="7"/>
  <c r="D168" i="7"/>
  <c r="C168" i="7"/>
  <c r="B168" i="7"/>
  <c r="BL167" i="7"/>
  <c r="BK167" i="7"/>
  <c r="BJ167" i="7"/>
  <c r="R167" i="7"/>
  <c r="Q167" i="7"/>
  <c r="P167" i="7"/>
  <c r="O167" i="7"/>
  <c r="M167" i="7"/>
  <c r="L167" i="7"/>
  <c r="G167" i="7"/>
  <c r="F167" i="7"/>
  <c r="D167" i="7"/>
  <c r="C167" i="7"/>
  <c r="B167" i="7"/>
  <c r="BL166" i="7"/>
  <c r="BK166" i="7"/>
  <c r="BJ166" i="7"/>
  <c r="R166" i="7"/>
  <c r="Q166" i="7"/>
  <c r="P166" i="7"/>
  <c r="O166" i="7"/>
  <c r="M166" i="7"/>
  <c r="L166" i="7"/>
  <c r="G166" i="7"/>
  <c r="F166" i="7"/>
  <c r="D166" i="7"/>
  <c r="C166" i="7"/>
  <c r="B166" i="7"/>
  <c r="BL165" i="7"/>
  <c r="BK165" i="7"/>
  <c r="BJ165" i="7"/>
  <c r="R165" i="7"/>
  <c r="Q165" i="7"/>
  <c r="P165" i="7"/>
  <c r="O165" i="7"/>
  <c r="M165" i="7"/>
  <c r="L165" i="7"/>
  <c r="G165" i="7"/>
  <c r="F165" i="7"/>
  <c r="D165" i="7"/>
  <c r="C165" i="7"/>
  <c r="B165" i="7"/>
  <c r="BL148" i="7"/>
  <c r="BK148" i="7"/>
  <c r="BJ148" i="7"/>
  <c r="R148" i="7"/>
  <c r="Q148" i="7"/>
  <c r="P148" i="7"/>
  <c r="O148" i="7"/>
  <c r="M148" i="7"/>
  <c r="L148" i="7"/>
  <c r="G148" i="7"/>
  <c r="F148" i="7"/>
  <c r="D148" i="7"/>
  <c r="C148" i="7"/>
  <c r="B148" i="7"/>
  <c r="BL147" i="7"/>
  <c r="BK147" i="7"/>
  <c r="BJ147" i="7"/>
  <c r="R147" i="7"/>
  <c r="Q147" i="7"/>
  <c r="P147" i="7"/>
  <c r="O147" i="7"/>
  <c r="M147" i="7"/>
  <c r="L147" i="7"/>
  <c r="G147" i="7"/>
  <c r="F147" i="7"/>
  <c r="D147" i="7"/>
  <c r="C147" i="7"/>
  <c r="B147" i="7"/>
  <c r="BL146" i="7"/>
  <c r="BK146" i="7"/>
  <c r="BJ146" i="7"/>
  <c r="R146" i="7"/>
  <c r="Q146" i="7"/>
  <c r="P146" i="7"/>
  <c r="O146" i="7"/>
  <c r="M146" i="7"/>
  <c r="L146" i="7"/>
  <c r="G146" i="7"/>
  <c r="F146" i="7"/>
  <c r="D146" i="7"/>
  <c r="C146" i="7"/>
  <c r="B146" i="7"/>
  <c r="BL145" i="7"/>
  <c r="BK145" i="7"/>
  <c r="BJ145" i="7"/>
  <c r="R145" i="7"/>
  <c r="Q145" i="7"/>
  <c r="P145" i="7"/>
  <c r="O145" i="7"/>
  <c r="M145" i="7"/>
  <c r="L145" i="7"/>
  <c r="G145" i="7"/>
  <c r="F145" i="7"/>
  <c r="D145" i="7"/>
  <c r="C145" i="7"/>
  <c r="B145" i="7"/>
  <c r="BL144" i="7"/>
  <c r="BK144" i="7"/>
  <c r="BJ144" i="7"/>
  <c r="R144" i="7"/>
  <c r="Q144" i="7"/>
  <c r="P144" i="7"/>
  <c r="O144" i="7"/>
  <c r="M144" i="7"/>
  <c r="L144" i="7"/>
  <c r="G144" i="7"/>
  <c r="F144" i="7"/>
  <c r="D144" i="7"/>
  <c r="C144" i="7"/>
  <c r="B144" i="7"/>
  <c r="BL143" i="7"/>
  <c r="BK143" i="7"/>
  <c r="BJ143" i="7"/>
  <c r="R143" i="7"/>
  <c r="Q143" i="7"/>
  <c r="P143" i="7"/>
  <c r="O143" i="7"/>
  <c r="M143" i="7"/>
  <c r="L143" i="7"/>
  <c r="G143" i="7"/>
  <c r="F143" i="7"/>
  <c r="D143" i="7"/>
  <c r="C143" i="7"/>
  <c r="B143" i="7"/>
  <c r="BL142" i="7"/>
  <c r="BK142" i="7"/>
  <c r="BJ142" i="7"/>
  <c r="R142" i="7"/>
  <c r="Q142" i="7"/>
  <c r="P142" i="7"/>
  <c r="O142" i="7"/>
  <c r="M142" i="7"/>
  <c r="L142" i="7"/>
  <c r="G142" i="7"/>
  <c r="F142" i="7"/>
  <c r="D142" i="7"/>
  <c r="C142" i="7"/>
  <c r="B142" i="7"/>
  <c r="BL141" i="7"/>
  <c r="BK141" i="7"/>
  <c r="BJ141" i="7"/>
  <c r="R141" i="7"/>
  <c r="Q141" i="7"/>
  <c r="P141" i="7"/>
  <c r="O141" i="7"/>
  <c r="M141" i="7"/>
  <c r="L141" i="7"/>
  <c r="G141" i="7"/>
  <c r="F141" i="7"/>
  <c r="D141" i="7"/>
  <c r="C141" i="7"/>
  <c r="B141" i="7"/>
  <c r="AO150" i="1"/>
  <c r="AF150" i="1"/>
  <c r="AA150" i="1"/>
  <c r="Z150" i="1"/>
  <c r="AT150" i="1"/>
  <c r="U150" i="1"/>
  <c r="L150" i="1"/>
  <c r="A150" i="1"/>
  <c r="AO149" i="1"/>
  <c r="AF149" i="1"/>
  <c r="AA149" i="1"/>
  <c r="Z149" i="1"/>
  <c r="AT149" i="1"/>
  <c r="U149" i="1"/>
  <c r="AN149" i="1"/>
  <c r="L149" i="1"/>
  <c r="A149" i="1"/>
  <c r="AO148" i="1"/>
  <c r="AF148" i="1"/>
  <c r="AA148" i="1"/>
  <c r="Z148" i="1"/>
  <c r="AT148" i="1"/>
  <c r="U148" i="1"/>
  <c r="AN148" i="1"/>
  <c r="L148" i="1"/>
  <c r="A148" i="1"/>
  <c r="AO147" i="1"/>
  <c r="AF147" i="1"/>
  <c r="AA147" i="1"/>
  <c r="AB147" i="1"/>
  <c r="Z147" i="1"/>
  <c r="AT147" i="1"/>
  <c r="U147" i="1"/>
  <c r="AN147" i="1"/>
  <c r="L147" i="1"/>
  <c r="A147" i="1"/>
  <c r="AO146" i="1"/>
  <c r="AF146" i="1"/>
  <c r="AA146" i="1"/>
  <c r="Z146" i="1"/>
  <c r="AT146" i="1"/>
  <c r="U146" i="1"/>
  <c r="AN146" i="1"/>
  <c r="L146" i="1"/>
  <c r="A146" i="1"/>
  <c r="AO145" i="1"/>
  <c r="AF145" i="1"/>
  <c r="AA145" i="1"/>
  <c r="AB145" i="1"/>
  <c r="Z145" i="1"/>
  <c r="AT145" i="1"/>
  <c r="U145" i="1"/>
  <c r="AN145" i="1"/>
  <c r="L145" i="1"/>
  <c r="A145" i="1"/>
  <c r="AO144" i="1"/>
  <c r="AF144" i="1"/>
  <c r="AA144" i="1"/>
  <c r="AB144" i="1"/>
  <c r="Z144" i="1"/>
  <c r="AT144" i="1"/>
  <c r="U144" i="1"/>
  <c r="AN144" i="1"/>
  <c r="L144" i="1"/>
  <c r="A144" i="1"/>
  <c r="AO143" i="1"/>
  <c r="AF143" i="1"/>
  <c r="AA143" i="1"/>
  <c r="AB143" i="1"/>
  <c r="Z143" i="1"/>
  <c r="AT143" i="1"/>
  <c r="U143" i="1"/>
  <c r="AN143" i="1"/>
  <c r="L143" i="1"/>
  <c r="A143" i="1"/>
  <c r="AF142" i="1"/>
  <c r="AA142" i="1"/>
  <c r="AB142" i="1"/>
  <c r="Z142" i="1"/>
  <c r="AT142" i="1"/>
  <c r="U142" i="1"/>
  <c r="L142" i="1"/>
  <c r="A142" i="1"/>
  <c r="AF141" i="1"/>
  <c r="AA141" i="1"/>
  <c r="AB141" i="1"/>
  <c r="Z141" i="1"/>
  <c r="AT141" i="1"/>
  <c r="U141" i="1"/>
  <c r="L141" i="1"/>
  <c r="A141" i="1"/>
  <c r="AF140" i="1"/>
  <c r="AA140" i="1"/>
  <c r="Z140" i="1"/>
  <c r="AT140" i="1"/>
  <c r="U140" i="1"/>
  <c r="L140" i="1"/>
  <c r="A140" i="1"/>
  <c r="AF139" i="1"/>
  <c r="AA139" i="1"/>
  <c r="AB139" i="1"/>
  <c r="Z139" i="1"/>
  <c r="AT139" i="1"/>
  <c r="U139" i="1"/>
  <c r="L139" i="1"/>
  <c r="A139" i="1"/>
  <c r="AO138" i="1"/>
  <c r="AF138" i="1"/>
  <c r="AA138" i="1"/>
  <c r="AB138" i="1"/>
  <c r="Z138" i="1"/>
  <c r="AT138" i="1"/>
  <c r="U138" i="1"/>
  <c r="AN138" i="1"/>
  <c r="L138" i="1"/>
  <c r="A138" i="1"/>
  <c r="AO137" i="1"/>
  <c r="AF137" i="1"/>
  <c r="AA137" i="1"/>
  <c r="AB137" i="1"/>
  <c r="Z137" i="1"/>
  <c r="AT137" i="1"/>
  <c r="U137" i="1"/>
  <c r="AN137" i="1"/>
  <c r="L137" i="1"/>
  <c r="A137" i="1"/>
  <c r="AO136" i="1"/>
  <c r="AF136" i="1"/>
  <c r="AA136" i="1"/>
  <c r="Z136" i="1"/>
  <c r="AT136" i="1"/>
  <c r="U136" i="1"/>
  <c r="AN136" i="1"/>
  <c r="L136" i="1"/>
  <c r="A136" i="1"/>
  <c r="AO135" i="1"/>
  <c r="AF135" i="1"/>
  <c r="AA135" i="1"/>
  <c r="AB135" i="1"/>
  <c r="Z135" i="1"/>
  <c r="AT135" i="1"/>
  <c r="U135" i="1"/>
  <c r="AN135" i="1"/>
  <c r="L135" i="1"/>
  <c r="A135" i="1"/>
  <c r="AO134" i="1"/>
  <c r="AF134" i="1"/>
  <c r="AA134" i="1"/>
  <c r="Z134" i="1"/>
  <c r="AT134" i="1"/>
  <c r="U134" i="1"/>
  <c r="L134" i="1"/>
  <c r="A134" i="1"/>
  <c r="AO133" i="1"/>
  <c r="AF133" i="1"/>
  <c r="AA133" i="1"/>
  <c r="AB133" i="1"/>
  <c r="AC133" i="1"/>
  <c r="AP133" i="1"/>
  <c r="Z133" i="1"/>
  <c r="AT133" i="1"/>
  <c r="U133" i="1"/>
  <c r="AN133" i="1"/>
  <c r="L133" i="1"/>
  <c r="A133" i="1"/>
  <c r="AO132" i="1"/>
  <c r="AF132" i="1"/>
  <c r="AA132" i="1"/>
  <c r="Z132" i="1"/>
  <c r="AT132" i="1"/>
  <c r="U132" i="1"/>
  <c r="AN132" i="1"/>
  <c r="L132" i="1"/>
  <c r="A132" i="1"/>
  <c r="AO131" i="1"/>
  <c r="AF131" i="1"/>
  <c r="AA131" i="1"/>
  <c r="Z131" i="1"/>
  <c r="AT131" i="1"/>
  <c r="U131" i="1"/>
  <c r="AN131" i="1"/>
  <c r="L131" i="1"/>
  <c r="A131" i="1"/>
  <c r="AO130" i="1"/>
  <c r="AF130" i="1"/>
  <c r="AA130" i="1"/>
  <c r="AB130" i="1"/>
  <c r="AC130" i="1"/>
  <c r="Z130" i="1"/>
  <c r="AT130" i="1"/>
  <c r="U130" i="1"/>
  <c r="AN130" i="1"/>
  <c r="L130" i="1"/>
  <c r="A130" i="1"/>
  <c r="AO129" i="1"/>
  <c r="AF129" i="1"/>
  <c r="AA129" i="1"/>
  <c r="AB129" i="1"/>
  <c r="AC129" i="1"/>
  <c r="AP129" i="1"/>
  <c r="Z129" i="1"/>
  <c r="AT129" i="1"/>
  <c r="U129" i="1"/>
  <c r="AN129" i="1"/>
  <c r="L129" i="1"/>
  <c r="A129" i="1"/>
  <c r="AO128" i="1"/>
  <c r="AF128" i="1"/>
  <c r="AA128" i="1"/>
  <c r="Z128" i="1"/>
  <c r="AT128" i="1"/>
  <c r="U128" i="1"/>
  <c r="AN128" i="1"/>
  <c r="L128" i="1"/>
  <c r="A128" i="1"/>
  <c r="AO127" i="1"/>
  <c r="AF127" i="1"/>
  <c r="AA127" i="1"/>
  <c r="AB127" i="1"/>
  <c r="Z127" i="1"/>
  <c r="AT127" i="1"/>
  <c r="U127" i="1"/>
  <c r="AN127" i="1"/>
  <c r="L127" i="1"/>
  <c r="A127" i="1"/>
  <c r="AF126" i="1"/>
  <c r="AA126" i="1"/>
  <c r="AB126" i="1"/>
  <c r="AC126" i="1"/>
  <c r="AP126" i="1"/>
  <c r="Z126" i="1"/>
  <c r="AT126" i="1"/>
  <c r="U126" i="1"/>
  <c r="L126" i="1"/>
  <c r="A126" i="1"/>
  <c r="AF125" i="1"/>
  <c r="AA125" i="1"/>
  <c r="AB125" i="1"/>
  <c r="Z125" i="1"/>
  <c r="AT125" i="1"/>
  <c r="U125" i="1"/>
  <c r="L125" i="1"/>
  <c r="A125" i="1"/>
  <c r="AF124" i="1"/>
  <c r="AA124" i="1"/>
  <c r="AB124" i="1"/>
  <c r="AC124" i="1"/>
  <c r="Z124" i="1"/>
  <c r="AT124" i="1"/>
  <c r="U124" i="1"/>
  <c r="L124" i="1"/>
  <c r="A124" i="1"/>
  <c r="AF123" i="1"/>
  <c r="AA123" i="1"/>
  <c r="AB123" i="1"/>
  <c r="Z123" i="1"/>
  <c r="AT123" i="1"/>
  <c r="U123" i="1"/>
  <c r="L123" i="1"/>
  <c r="A123" i="1"/>
  <c r="AO122" i="1"/>
  <c r="AF122" i="1"/>
  <c r="AA122" i="1"/>
  <c r="AB122" i="1"/>
  <c r="AC122" i="1"/>
  <c r="AP122" i="1"/>
  <c r="Z122" i="1"/>
  <c r="AT122" i="1"/>
  <c r="U122" i="1"/>
  <c r="AN122" i="1"/>
  <c r="L122" i="1"/>
  <c r="A122" i="1"/>
  <c r="AO121" i="1"/>
  <c r="AF121" i="1"/>
  <c r="AA121" i="1"/>
  <c r="Z121" i="1"/>
  <c r="AT121" i="1"/>
  <c r="U121" i="1"/>
  <c r="AN121" i="1"/>
  <c r="L121" i="1"/>
  <c r="A121" i="1"/>
  <c r="AO120" i="1"/>
  <c r="AF120" i="1"/>
  <c r="AA120" i="1"/>
  <c r="AB120" i="1"/>
  <c r="AC120" i="1"/>
  <c r="Z120" i="1"/>
  <c r="AT120" i="1"/>
  <c r="U120" i="1"/>
  <c r="AN120" i="1"/>
  <c r="L120" i="1"/>
  <c r="A120" i="1"/>
  <c r="AO119" i="1"/>
  <c r="AF119" i="1"/>
  <c r="AA119" i="1"/>
  <c r="AB119" i="1"/>
  <c r="Z119" i="1"/>
  <c r="AT119" i="1"/>
  <c r="U119" i="1"/>
  <c r="AN119" i="1"/>
  <c r="L119" i="1"/>
  <c r="A119" i="1"/>
  <c r="AO100" i="1"/>
  <c r="AF100" i="1"/>
  <c r="AA100" i="1"/>
  <c r="Z100" i="1"/>
  <c r="AT100" i="1"/>
  <c r="U100" i="1"/>
  <c r="L100" i="1"/>
  <c r="A100" i="1"/>
  <c r="AO99" i="1"/>
  <c r="AF99" i="1"/>
  <c r="AA99" i="1"/>
  <c r="AB99" i="1"/>
  <c r="AC99" i="1"/>
  <c r="Z99" i="1"/>
  <c r="AT99" i="1"/>
  <c r="U99" i="1"/>
  <c r="AN99" i="1"/>
  <c r="L99" i="1"/>
  <c r="A99" i="1"/>
  <c r="AO98" i="1"/>
  <c r="AF98" i="1"/>
  <c r="AA98" i="1"/>
  <c r="AB98" i="1"/>
  <c r="AC98" i="1"/>
  <c r="Z98" i="1"/>
  <c r="AT98" i="1"/>
  <c r="U98" i="1"/>
  <c r="AN98" i="1"/>
  <c r="L98" i="1"/>
  <c r="A98" i="1"/>
  <c r="AO97" i="1"/>
  <c r="AF97" i="1"/>
  <c r="AA97" i="1"/>
  <c r="Z97" i="1"/>
  <c r="AT97" i="1"/>
  <c r="U97" i="1"/>
  <c r="L97" i="1"/>
  <c r="A97" i="1"/>
  <c r="AO96" i="1"/>
  <c r="AF96" i="1"/>
  <c r="AA96" i="1"/>
  <c r="AB96" i="1"/>
  <c r="AC96" i="1"/>
  <c r="Z96" i="1"/>
  <c r="AT96" i="1"/>
  <c r="U96" i="1"/>
  <c r="AN96" i="1"/>
  <c r="L96" i="1"/>
  <c r="A96" i="1"/>
  <c r="AO95" i="1"/>
  <c r="AF95" i="1"/>
  <c r="AA95" i="1"/>
  <c r="Z95" i="1"/>
  <c r="AT95" i="1"/>
  <c r="U95" i="1"/>
  <c r="AN95" i="1"/>
  <c r="L95" i="1"/>
  <c r="A95" i="1"/>
  <c r="AO94" i="1"/>
  <c r="AF94" i="1"/>
  <c r="AA94" i="1"/>
  <c r="AB94" i="1"/>
  <c r="Z94" i="1"/>
  <c r="AT94" i="1"/>
  <c r="U94" i="1"/>
  <c r="AN94" i="1"/>
  <c r="L94" i="1"/>
  <c r="A94" i="1"/>
  <c r="AO93" i="1"/>
  <c r="AF93" i="1"/>
  <c r="AA93" i="1"/>
  <c r="AB93" i="1"/>
  <c r="Z93" i="1"/>
  <c r="AT93" i="1"/>
  <c r="U93" i="1"/>
  <c r="AN93" i="1"/>
  <c r="L93" i="1"/>
  <c r="A93" i="1"/>
  <c r="AO92" i="1"/>
  <c r="AF92" i="1"/>
  <c r="AA92" i="1"/>
  <c r="AB92" i="1"/>
  <c r="Z92" i="1"/>
  <c r="AT92" i="1"/>
  <c r="U92" i="1"/>
  <c r="L92" i="1"/>
  <c r="A92" i="1"/>
  <c r="AO91" i="1"/>
  <c r="AF91" i="1"/>
  <c r="AA91" i="1"/>
  <c r="Z91" i="1"/>
  <c r="AT91" i="1"/>
  <c r="U91" i="1"/>
  <c r="AN91" i="1"/>
  <c r="L91" i="1"/>
  <c r="A91" i="1"/>
  <c r="AO90" i="1"/>
  <c r="AF90" i="1"/>
  <c r="AA90" i="1"/>
  <c r="Z90" i="1"/>
  <c r="AT90" i="1"/>
  <c r="U90" i="1"/>
  <c r="AN90" i="1"/>
  <c r="L90" i="1"/>
  <c r="A90" i="1"/>
  <c r="AO89" i="1"/>
  <c r="AF89" i="1"/>
  <c r="AA89" i="1"/>
  <c r="AB89" i="1"/>
  <c r="Z89" i="1"/>
  <c r="AT89" i="1"/>
  <c r="U89" i="1"/>
  <c r="L89" i="1"/>
  <c r="A89" i="1"/>
  <c r="AO88" i="1"/>
  <c r="AF88" i="1"/>
  <c r="AA88" i="1"/>
  <c r="Z88" i="1"/>
  <c r="AT88" i="1"/>
  <c r="U88" i="1"/>
  <c r="AN88" i="1"/>
  <c r="L88" i="1"/>
  <c r="A88" i="1"/>
  <c r="AO87" i="1"/>
  <c r="AF87" i="1"/>
  <c r="AA87" i="1"/>
  <c r="Z87" i="1"/>
  <c r="AT87" i="1"/>
  <c r="U87" i="1"/>
  <c r="L87" i="1"/>
  <c r="A87" i="1"/>
  <c r="AO86" i="1"/>
  <c r="AF86" i="1"/>
  <c r="AA86" i="1"/>
  <c r="AB86" i="1"/>
  <c r="Z86" i="1"/>
  <c r="AT86" i="1"/>
  <c r="U86" i="1"/>
  <c r="AN86" i="1"/>
  <c r="L86" i="1"/>
  <c r="A86" i="1"/>
  <c r="AO85" i="1"/>
  <c r="AF85" i="1"/>
  <c r="AA85" i="1"/>
  <c r="Z85" i="1"/>
  <c r="AT85" i="1"/>
  <c r="U85" i="1"/>
  <c r="AN85" i="1"/>
  <c r="L85" i="1"/>
  <c r="A85" i="1"/>
  <c r="AO54" i="1"/>
  <c r="AA54" i="1"/>
  <c r="Z54" i="1"/>
  <c r="AT54" i="1"/>
  <c r="U54" i="1"/>
  <c r="AN54" i="1"/>
  <c r="L54" i="1"/>
  <c r="A54" i="1"/>
  <c r="AO53" i="1"/>
  <c r="AA53" i="1"/>
  <c r="AB53" i="1"/>
  <c r="AC53" i="1"/>
  <c r="AP53" i="1"/>
  <c r="Z53" i="1"/>
  <c r="AT53" i="1"/>
  <c r="U53" i="1"/>
  <c r="AN53" i="1"/>
  <c r="L53" i="1"/>
  <c r="A53" i="1"/>
  <c r="AO52" i="1"/>
  <c r="AA52" i="1"/>
  <c r="Z52" i="1"/>
  <c r="AT52" i="1"/>
  <c r="U52" i="1"/>
  <c r="AN52" i="1"/>
  <c r="L52" i="1"/>
  <c r="A52" i="1"/>
  <c r="AO51" i="1"/>
  <c r="AA51" i="1"/>
  <c r="AB51" i="1"/>
  <c r="AC51" i="1"/>
  <c r="AP51" i="1"/>
  <c r="Z51" i="1"/>
  <c r="AT51" i="1"/>
  <c r="U51" i="1"/>
  <c r="AN51" i="1"/>
  <c r="L51" i="1"/>
  <c r="A51" i="1"/>
  <c r="AO50" i="1"/>
  <c r="AA50" i="1"/>
  <c r="Z50" i="1"/>
  <c r="AT50" i="1"/>
  <c r="U50" i="1"/>
  <c r="AN50" i="1"/>
  <c r="L50" i="1"/>
  <c r="A50" i="1"/>
  <c r="AO49" i="1"/>
  <c r="AA49" i="1"/>
  <c r="AB49" i="1"/>
  <c r="AC49" i="1"/>
  <c r="AP49" i="1"/>
  <c r="Z49" i="1"/>
  <c r="AT49" i="1"/>
  <c r="U49" i="1"/>
  <c r="AN49" i="1"/>
  <c r="L49" i="1"/>
  <c r="A49" i="1"/>
  <c r="AO48" i="1"/>
  <c r="AA48" i="1"/>
  <c r="Z48" i="1"/>
  <c r="AT48" i="1"/>
  <c r="U48" i="1"/>
  <c r="AN48" i="1"/>
  <c r="L48" i="1"/>
  <c r="A48" i="1"/>
  <c r="AO47" i="1"/>
  <c r="AA47" i="1"/>
  <c r="AB47" i="1"/>
  <c r="AC47" i="1"/>
  <c r="AP47" i="1"/>
  <c r="Z47" i="1"/>
  <c r="AT47" i="1"/>
  <c r="U47" i="1"/>
  <c r="AN47" i="1"/>
  <c r="L47" i="1"/>
  <c r="A47" i="1"/>
  <c r="AO46" i="1"/>
  <c r="AA46" i="1"/>
  <c r="Z46" i="1"/>
  <c r="AT46" i="1"/>
  <c r="U46" i="1"/>
  <c r="AN46" i="1"/>
  <c r="L46" i="1"/>
  <c r="A46" i="1"/>
  <c r="AO45" i="1"/>
  <c r="AA45" i="1"/>
  <c r="AB45" i="1"/>
  <c r="AC45" i="1"/>
  <c r="AP45" i="1"/>
  <c r="Z45" i="1"/>
  <c r="AT45" i="1"/>
  <c r="U45" i="1"/>
  <c r="AN45" i="1"/>
  <c r="L45" i="1"/>
  <c r="A45" i="1"/>
  <c r="AO44" i="1"/>
  <c r="AA44" i="1"/>
  <c r="Z44" i="1"/>
  <c r="AT44" i="1"/>
  <c r="U44" i="1"/>
  <c r="AN44" i="1"/>
  <c r="L44" i="1"/>
  <c r="A44" i="1"/>
  <c r="AO43" i="1"/>
  <c r="AA43" i="1"/>
  <c r="AB43" i="1"/>
  <c r="AC43" i="1"/>
  <c r="AP43" i="1"/>
  <c r="Z43" i="1"/>
  <c r="AT43" i="1"/>
  <c r="U43" i="1"/>
  <c r="AN43" i="1"/>
  <c r="L43" i="1"/>
  <c r="A43" i="1"/>
  <c r="AO42" i="1"/>
  <c r="AA42" i="1"/>
  <c r="AB42" i="1"/>
  <c r="Z42" i="1"/>
  <c r="AT42" i="1"/>
  <c r="U42" i="1"/>
  <c r="AN42" i="1"/>
  <c r="L42" i="1"/>
  <c r="A42" i="1"/>
  <c r="AO41" i="1"/>
  <c r="AA41" i="1"/>
  <c r="Z41" i="1"/>
  <c r="AT41" i="1"/>
  <c r="U41" i="1"/>
  <c r="AN41" i="1"/>
  <c r="L41" i="1"/>
  <c r="A41" i="1"/>
  <c r="AO40" i="1"/>
  <c r="AA40" i="1"/>
  <c r="AB40" i="1"/>
  <c r="Z40" i="1"/>
  <c r="AT40" i="1"/>
  <c r="U40" i="1"/>
  <c r="AN40" i="1"/>
  <c r="L40" i="1"/>
  <c r="A40" i="1"/>
  <c r="AO39" i="1"/>
  <c r="AA39" i="1"/>
  <c r="Z39" i="1"/>
  <c r="AT39" i="1"/>
  <c r="U39" i="1"/>
  <c r="AN39" i="1"/>
  <c r="L39" i="1"/>
  <c r="A39" i="1"/>
  <c r="AO38" i="1"/>
  <c r="AA38" i="1"/>
  <c r="Z38" i="1"/>
  <c r="AT38" i="1"/>
  <c r="U38" i="1"/>
  <c r="AN38" i="1"/>
  <c r="L38" i="1"/>
  <c r="A38" i="1"/>
  <c r="AO37" i="1"/>
  <c r="AA37" i="1"/>
  <c r="Z37" i="1"/>
  <c r="AT37" i="1"/>
  <c r="U37" i="1"/>
  <c r="AN37" i="1"/>
  <c r="L37" i="1"/>
  <c r="A37" i="1"/>
  <c r="AO36" i="1"/>
  <c r="AA36" i="1"/>
  <c r="AB36" i="1"/>
  <c r="Z36" i="1"/>
  <c r="AT36" i="1"/>
  <c r="U36" i="1"/>
  <c r="AN36" i="1"/>
  <c r="L36" i="1"/>
  <c r="A36" i="1"/>
  <c r="AO35" i="1"/>
  <c r="AA35" i="1"/>
  <c r="Z35" i="1"/>
  <c r="AT35" i="1"/>
  <c r="U35" i="1"/>
  <c r="AN35" i="1"/>
  <c r="L35" i="1"/>
  <c r="A35" i="1"/>
  <c r="AO34" i="1"/>
  <c r="AA34" i="1"/>
  <c r="Z34" i="1"/>
  <c r="AT34" i="1"/>
  <c r="U34" i="1"/>
  <c r="AN34" i="1"/>
  <c r="L34" i="1"/>
  <c r="A34" i="1"/>
  <c r="AO33" i="1"/>
  <c r="AA33" i="1"/>
  <c r="Z33" i="1"/>
  <c r="AT33" i="1"/>
  <c r="U33" i="1"/>
  <c r="AN33" i="1"/>
  <c r="L33" i="1"/>
  <c r="A33" i="1"/>
  <c r="AO32" i="1"/>
  <c r="AA32" i="1"/>
  <c r="AB32" i="1"/>
  <c r="Z32" i="1"/>
  <c r="AT32" i="1"/>
  <c r="U32" i="1"/>
  <c r="AN32" i="1"/>
  <c r="L32" i="1"/>
  <c r="A32" i="1"/>
  <c r="AO31" i="1"/>
  <c r="AA31" i="1"/>
  <c r="Z31" i="1"/>
  <c r="AT31" i="1"/>
  <c r="U31" i="1"/>
  <c r="AN31" i="1"/>
  <c r="L31" i="1"/>
  <c r="A31" i="1"/>
  <c r="AO14" i="1"/>
  <c r="AA14" i="1"/>
  <c r="Z14" i="1"/>
  <c r="AT14" i="1"/>
  <c r="U14" i="1"/>
  <c r="AN14" i="1"/>
  <c r="L14" i="1"/>
  <c r="A14" i="1"/>
  <c r="AO13" i="1"/>
  <c r="AA13" i="1"/>
  <c r="AB13" i="1"/>
  <c r="Z13" i="1"/>
  <c r="AT13" i="1"/>
  <c r="U13" i="1"/>
  <c r="AN13" i="1"/>
  <c r="L13" i="1"/>
  <c r="A13" i="1"/>
  <c r="AO12" i="1"/>
  <c r="AA12" i="1"/>
  <c r="Z12" i="1"/>
  <c r="AT12" i="1"/>
  <c r="U12" i="1"/>
  <c r="AN12" i="1"/>
  <c r="L12" i="1"/>
  <c r="A12" i="1"/>
  <c r="AO11" i="1"/>
  <c r="AA11" i="1"/>
  <c r="AB11" i="1"/>
  <c r="AC11" i="1"/>
  <c r="AP11" i="1"/>
  <c r="Z11" i="1"/>
  <c r="AT11" i="1"/>
  <c r="U11" i="1"/>
  <c r="AN11" i="1"/>
  <c r="L11" i="1"/>
  <c r="A11" i="1"/>
  <c r="AO10" i="1"/>
  <c r="AA10" i="1"/>
  <c r="Z10" i="1"/>
  <c r="AT10" i="1"/>
  <c r="U10" i="1"/>
  <c r="AN10" i="1"/>
  <c r="L10" i="1"/>
  <c r="AO9" i="1"/>
  <c r="AA9" i="1"/>
  <c r="AB9" i="1"/>
  <c r="Z9" i="1"/>
  <c r="AT9" i="1"/>
  <c r="U9" i="1"/>
  <c r="AN9" i="1"/>
  <c r="L9" i="1"/>
  <c r="AO8" i="1"/>
  <c r="AA8" i="1"/>
  <c r="Z8" i="1"/>
  <c r="AT8" i="1"/>
  <c r="U8" i="1"/>
  <c r="AN8" i="1"/>
  <c r="L8" i="1"/>
  <c r="A8" i="1"/>
  <c r="AO7" i="1"/>
  <c r="AA7" i="1"/>
  <c r="Z7" i="1"/>
  <c r="AT7" i="1"/>
  <c r="U7" i="1"/>
  <c r="AN7" i="1"/>
  <c r="L7" i="1"/>
  <c r="A7" i="1"/>
  <c r="A17" i="1"/>
  <c r="A18" i="1"/>
  <c r="A19" i="1"/>
  <c r="A20" i="1"/>
  <c r="A21" i="1"/>
  <c r="A22" i="1"/>
  <c r="A23" i="1"/>
  <c r="A24" i="1"/>
  <c r="A25" i="1"/>
  <c r="A26" i="1"/>
  <c r="A27" i="1"/>
  <c r="A28" i="1"/>
  <c r="A29" i="1"/>
  <c r="A30"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101" i="1"/>
  <c r="A102" i="1"/>
  <c r="A103" i="1"/>
  <c r="A104" i="1"/>
  <c r="A105" i="1"/>
  <c r="A106" i="1"/>
  <c r="A107" i="1"/>
  <c r="A108" i="1"/>
  <c r="A109" i="1"/>
  <c r="A110" i="1"/>
  <c r="A111" i="1"/>
  <c r="A112" i="1"/>
  <c r="A113" i="1"/>
  <c r="A114" i="1"/>
  <c r="A115" i="1"/>
  <c r="A116" i="1"/>
  <c r="A117" i="1"/>
  <c r="A118" i="1"/>
  <c r="A151" i="1"/>
  <c r="A152" i="1"/>
  <c r="A153" i="1"/>
  <c r="A154" i="1"/>
  <c r="A155" i="1"/>
  <c r="A156" i="1"/>
  <c r="A157" i="1"/>
  <c r="A158" i="1"/>
  <c r="A159" i="1"/>
  <c r="A160" i="1"/>
  <c r="A161" i="1"/>
  <c r="A162" i="1"/>
  <c r="A163" i="1"/>
  <c r="A164" i="1"/>
  <c r="A165" i="1"/>
  <c r="A166" i="1"/>
  <c r="A4" i="1"/>
  <c r="A5" i="1"/>
  <c r="A6" i="1"/>
  <c r="A15" i="1"/>
  <c r="A16" i="1"/>
  <c r="A3" i="1"/>
  <c r="AA4" i="1"/>
  <c r="AB4" i="1"/>
  <c r="AC4" i="1"/>
  <c r="AA5" i="1"/>
  <c r="AB5" i="1"/>
  <c r="AA6" i="1"/>
  <c r="AB6" i="1"/>
  <c r="AA15" i="1"/>
  <c r="AB15" i="1"/>
  <c r="AA16" i="1"/>
  <c r="AC16" i="1"/>
  <c r="AA17" i="1"/>
  <c r="AC17" i="1"/>
  <c r="AA18" i="1"/>
  <c r="AC18" i="1"/>
  <c r="AA19" i="1"/>
  <c r="AA20" i="1"/>
  <c r="AA21" i="1"/>
  <c r="AB21" i="1"/>
  <c r="AC21" i="1"/>
  <c r="AA22" i="1"/>
  <c r="AB22" i="1"/>
  <c r="AA23" i="1"/>
  <c r="AB23" i="1"/>
  <c r="AA24" i="1"/>
  <c r="AB24" i="1"/>
  <c r="AC24" i="1"/>
  <c r="AA25" i="1"/>
  <c r="AA26" i="1"/>
  <c r="AB26" i="1"/>
  <c r="AC26" i="1"/>
  <c r="AA27" i="1"/>
  <c r="AA28" i="1"/>
  <c r="AA29" i="1"/>
  <c r="AB29" i="1"/>
  <c r="AC29" i="1"/>
  <c r="AA30" i="1"/>
  <c r="AB30" i="1"/>
  <c r="AA55" i="1"/>
  <c r="AB55" i="1"/>
  <c r="AA56" i="1"/>
  <c r="AB56" i="1"/>
  <c r="AC56" i="1"/>
  <c r="AA57" i="1"/>
  <c r="AA58" i="1"/>
  <c r="AB58" i="1"/>
  <c r="AC58" i="1"/>
  <c r="AA59" i="1"/>
  <c r="AC59" i="1"/>
  <c r="AA60" i="1"/>
  <c r="AC60" i="1"/>
  <c r="AA61" i="1"/>
  <c r="AB61" i="1"/>
  <c r="AA62" i="1"/>
  <c r="AB62" i="1"/>
  <c r="AA63" i="1"/>
  <c r="AC63" i="1"/>
  <c r="AA64" i="1"/>
  <c r="AB64" i="1"/>
  <c r="AA65" i="1"/>
  <c r="AC65" i="1"/>
  <c r="AA66" i="1"/>
  <c r="AB66" i="1"/>
  <c r="AA67" i="1"/>
  <c r="AC67" i="1"/>
  <c r="AA68" i="1"/>
  <c r="AC68" i="1"/>
  <c r="AA69" i="1"/>
  <c r="AB69" i="1"/>
  <c r="AA70" i="1"/>
  <c r="AB70" i="1"/>
  <c r="AA71" i="1"/>
  <c r="AC71" i="1"/>
  <c r="AA72" i="1"/>
  <c r="AB72" i="1"/>
  <c r="AA73" i="1"/>
  <c r="AC73" i="1"/>
  <c r="AA74" i="1"/>
  <c r="AC74" i="1"/>
  <c r="AA75" i="1"/>
  <c r="AC75" i="1"/>
  <c r="AA76" i="1"/>
  <c r="AC76" i="1"/>
  <c r="AA77" i="1"/>
  <c r="AB77" i="1"/>
  <c r="AC77" i="1"/>
  <c r="AA78" i="1"/>
  <c r="AB78" i="1"/>
  <c r="AA79" i="1"/>
  <c r="AB79" i="1"/>
  <c r="AA80" i="1"/>
  <c r="AB80" i="1"/>
  <c r="AC80" i="1"/>
  <c r="AA81" i="1"/>
  <c r="AA82" i="1"/>
  <c r="AB82" i="1"/>
  <c r="AC82" i="1"/>
  <c r="AA83" i="1"/>
  <c r="AA84" i="1"/>
  <c r="AA101" i="1"/>
  <c r="AB101" i="1"/>
  <c r="AA102" i="1"/>
  <c r="AB102" i="1"/>
  <c r="AA103" i="1"/>
  <c r="AC103" i="1"/>
  <c r="AA104" i="1"/>
  <c r="AB104" i="1"/>
  <c r="AA105" i="1"/>
  <c r="AC105" i="1"/>
  <c r="AA106" i="1"/>
  <c r="AB106" i="1"/>
  <c r="AA107" i="1"/>
  <c r="AC107" i="1"/>
  <c r="AA108" i="1"/>
  <c r="AC108" i="1"/>
  <c r="AA109" i="1"/>
  <c r="AB109" i="1"/>
  <c r="AA110" i="1"/>
  <c r="AB110" i="1"/>
  <c r="AA111" i="1"/>
  <c r="AC111" i="1"/>
  <c r="AA112" i="1"/>
  <c r="AB112" i="1"/>
  <c r="AA113" i="1"/>
  <c r="AC113" i="1"/>
  <c r="AA114" i="1"/>
  <c r="AC114" i="1"/>
  <c r="AA115" i="1"/>
  <c r="AC115" i="1"/>
  <c r="AA116" i="1"/>
  <c r="AC116" i="1"/>
  <c r="AA117" i="1"/>
  <c r="AB117" i="1"/>
  <c r="AA118" i="1"/>
  <c r="AB118" i="1"/>
  <c r="AA151" i="1"/>
  <c r="AB151" i="1"/>
  <c r="AA152" i="1"/>
  <c r="AB152" i="1"/>
  <c r="AC152" i="1"/>
  <c r="AA153" i="1"/>
  <c r="AA154" i="1"/>
  <c r="AB154" i="1"/>
  <c r="AC154" i="1"/>
  <c r="AA155" i="1"/>
  <c r="AA156" i="1"/>
  <c r="AA157" i="1"/>
  <c r="AB157" i="1"/>
  <c r="AC157" i="1"/>
  <c r="AA158" i="1"/>
  <c r="AB158" i="1"/>
  <c r="AA159" i="1"/>
  <c r="AB159" i="1"/>
  <c r="AA160" i="1"/>
  <c r="AB160" i="1"/>
  <c r="AC160" i="1"/>
  <c r="AA161" i="1"/>
  <c r="AA162" i="1"/>
  <c r="AB162" i="1"/>
  <c r="AC162" i="1"/>
  <c r="AA163" i="1"/>
  <c r="AA164" i="1"/>
  <c r="AA165" i="1"/>
  <c r="AB165" i="1"/>
  <c r="AC165" i="1"/>
  <c r="AA166" i="1"/>
  <c r="AB166" i="1"/>
  <c r="AA3" i="1"/>
  <c r="AB3" i="1"/>
  <c r="AN126" i="1"/>
  <c r="W126" i="1"/>
  <c r="AO126" i="1"/>
  <c r="AN142" i="1"/>
  <c r="W142" i="1"/>
  <c r="AO142" i="1"/>
  <c r="AN125" i="1"/>
  <c r="W125" i="1"/>
  <c r="AO125" i="1"/>
  <c r="AN141" i="1"/>
  <c r="W141" i="1"/>
  <c r="AO141" i="1"/>
  <c r="AN124" i="1"/>
  <c r="W124" i="1"/>
  <c r="AO124" i="1"/>
  <c r="AN140" i="1"/>
  <c r="W140" i="1"/>
  <c r="AO140" i="1"/>
  <c r="AN139" i="1"/>
  <c r="W139" i="1"/>
  <c r="AO139" i="1"/>
  <c r="AN123" i="1"/>
  <c r="W123" i="1"/>
  <c r="AO123" i="1"/>
  <c r="AB37" i="1"/>
  <c r="AC37" i="1"/>
  <c r="AB88" i="1"/>
  <c r="AC88" i="1"/>
  <c r="AB146" i="1"/>
  <c r="AC146" i="1"/>
  <c r="AB136" i="1"/>
  <c r="AC136" i="1"/>
  <c r="AB8" i="1"/>
  <c r="AC8" i="1"/>
  <c r="AB31" i="1"/>
  <c r="AC31" i="1"/>
  <c r="AB35" i="1"/>
  <c r="AC35" i="1"/>
  <c r="AB39" i="1"/>
  <c r="AC39" i="1"/>
  <c r="AB85" i="1"/>
  <c r="AC85" i="1"/>
  <c r="AB150" i="1"/>
  <c r="AC150" i="1"/>
  <c r="AB33" i="1"/>
  <c r="AC33" i="1"/>
  <c r="AB87" i="1"/>
  <c r="AC87" i="1"/>
  <c r="AB7" i="1"/>
  <c r="AC7" i="1"/>
  <c r="AB10" i="1"/>
  <c r="AC10" i="1"/>
  <c r="AB34" i="1"/>
  <c r="AC34" i="1"/>
  <c r="AB38" i="1"/>
  <c r="AC38" i="1"/>
  <c r="AB91" i="1"/>
  <c r="AC91" i="1"/>
  <c r="AB149" i="1"/>
  <c r="AC149" i="1"/>
  <c r="AB41" i="1"/>
  <c r="AC41" i="1"/>
  <c r="AB90" i="1"/>
  <c r="AC90" i="1"/>
  <c r="AB140" i="1"/>
  <c r="AC140" i="1"/>
  <c r="AB148" i="1"/>
  <c r="AC148" i="1"/>
  <c r="AC135" i="1"/>
  <c r="AP135" i="1"/>
  <c r="AC139" i="1"/>
  <c r="AC145" i="1"/>
  <c r="AP145" i="1"/>
  <c r="AC138" i="1"/>
  <c r="AP138" i="1"/>
  <c r="AC142" i="1"/>
  <c r="A9" i="1"/>
  <c r="A10" i="1"/>
  <c r="AC119" i="1"/>
  <c r="AP119" i="1"/>
  <c r="P126" i="1"/>
  <c r="AC143" i="1"/>
  <c r="P122" i="1"/>
  <c r="AC93" i="1"/>
  <c r="AP93" i="1"/>
  <c r="AC137" i="1"/>
  <c r="AC141" i="1"/>
  <c r="AC144" i="1"/>
  <c r="AP144" i="1"/>
  <c r="AC147" i="1"/>
  <c r="AN150" i="1"/>
  <c r="AC127" i="1"/>
  <c r="AP127" i="1"/>
  <c r="AC123" i="1"/>
  <c r="AP123" i="1"/>
  <c r="AP130" i="1"/>
  <c r="P130" i="1"/>
  <c r="AP124" i="1"/>
  <c r="P124" i="1"/>
  <c r="P99" i="1"/>
  <c r="AP99" i="1"/>
  <c r="AP98" i="1"/>
  <c r="P98" i="1"/>
  <c r="AP120" i="1"/>
  <c r="P120" i="1"/>
  <c r="AP96" i="1"/>
  <c r="P96" i="1"/>
  <c r="AN100" i="1"/>
  <c r="AN87" i="1"/>
  <c r="AB128" i="1"/>
  <c r="AC128" i="1"/>
  <c r="AC94" i="1"/>
  <c r="AP94" i="1"/>
  <c r="AC106" i="1"/>
  <c r="AN89" i="1"/>
  <c r="AN97" i="1"/>
  <c r="P129" i="1"/>
  <c r="AN92" i="1"/>
  <c r="AC86" i="1"/>
  <c r="AB97" i="1"/>
  <c r="AC97" i="1"/>
  <c r="AB121" i="1"/>
  <c r="AC121" i="1"/>
  <c r="AB131" i="1"/>
  <c r="AC131" i="1"/>
  <c r="AC89" i="1"/>
  <c r="AP89" i="1"/>
  <c r="AC92" i="1"/>
  <c r="AB100" i="1"/>
  <c r="AC100" i="1"/>
  <c r="AC125" i="1"/>
  <c r="P133" i="1"/>
  <c r="AB134" i="1"/>
  <c r="AC134" i="1"/>
  <c r="AB95" i="1"/>
  <c r="AC95" i="1"/>
  <c r="AN134" i="1"/>
  <c r="AB132" i="1"/>
  <c r="AC132" i="1"/>
  <c r="AB44" i="1"/>
  <c r="AC44" i="1"/>
  <c r="AB48" i="1"/>
  <c r="AC48" i="1"/>
  <c r="AB52" i="1"/>
  <c r="AC52" i="1"/>
  <c r="AC72" i="1"/>
  <c r="P43" i="1"/>
  <c r="P47" i="1"/>
  <c r="P51" i="1"/>
  <c r="AC66" i="1"/>
  <c r="AB114" i="1"/>
  <c r="AB46" i="1"/>
  <c r="AC46" i="1"/>
  <c r="AB50" i="1"/>
  <c r="AC50" i="1"/>
  <c r="AB54" i="1"/>
  <c r="AC54" i="1"/>
  <c r="P45" i="1"/>
  <c r="P49" i="1"/>
  <c r="P53" i="1"/>
  <c r="AC117" i="1"/>
  <c r="AC69" i="1"/>
  <c r="AC32" i="1"/>
  <c r="AP32" i="1"/>
  <c r="AC36" i="1"/>
  <c r="AC40" i="1"/>
  <c r="AC112" i="1"/>
  <c r="AB111" i="1"/>
  <c r="AB74" i="1"/>
  <c r="AC109" i="1"/>
  <c r="AC64" i="1"/>
  <c r="AB71" i="1"/>
  <c r="AC61" i="1"/>
  <c r="AC13" i="1"/>
  <c r="AP13" i="1"/>
  <c r="AC104" i="1"/>
  <c r="AC15" i="1"/>
  <c r="AC42" i="1"/>
  <c r="AC3" i="1"/>
  <c r="AC159" i="1"/>
  <c r="AC151" i="1"/>
  <c r="AC79" i="1"/>
  <c r="AC55" i="1"/>
  <c r="AC23" i="1"/>
  <c r="AB103" i="1"/>
  <c r="AC101" i="1"/>
  <c r="AB63" i="1"/>
  <c r="AB164" i="1"/>
  <c r="AC164" i="1"/>
  <c r="AB156" i="1"/>
  <c r="AC156" i="1"/>
  <c r="AB116" i="1"/>
  <c r="AB108" i="1"/>
  <c r="AB84" i="1"/>
  <c r="AC84" i="1"/>
  <c r="AB76" i="1"/>
  <c r="AB68" i="1"/>
  <c r="AB60" i="1"/>
  <c r="AB28" i="1"/>
  <c r="AC28" i="1"/>
  <c r="AB19" i="1"/>
  <c r="AC19" i="1"/>
  <c r="AC6" i="1"/>
  <c r="AC9" i="1"/>
  <c r="AB163" i="1"/>
  <c r="AC163" i="1"/>
  <c r="AB155" i="1"/>
  <c r="AC155" i="1"/>
  <c r="AB115" i="1"/>
  <c r="AB107" i="1"/>
  <c r="AB83" i="1"/>
  <c r="AC83" i="1"/>
  <c r="AB75" i="1"/>
  <c r="AB67" i="1"/>
  <c r="AB59" i="1"/>
  <c r="AB27" i="1"/>
  <c r="AC27" i="1"/>
  <c r="AB18" i="1"/>
  <c r="AC166" i="1"/>
  <c r="AC158" i="1"/>
  <c r="AC118" i="1"/>
  <c r="AC110" i="1"/>
  <c r="AC102" i="1"/>
  <c r="AC78" i="1"/>
  <c r="AC70" i="1"/>
  <c r="AC62" i="1"/>
  <c r="AC30" i="1"/>
  <c r="AC22" i="1"/>
  <c r="AC5" i="1"/>
  <c r="AB161" i="1"/>
  <c r="AC161" i="1"/>
  <c r="AB153" i="1"/>
  <c r="AC153" i="1"/>
  <c r="AB113" i="1"/>
  <c r="AB105" i="1"/>
  <c r="AB81" i="1"/>
  <c r="AC81" i="1"/>
  <c r="AB73" i="1"/>
  <c r="AB65" i="1"/>
  <c r="AB57" i="1"/>
  <c r="AC57" i="1"/>
  <c r="AB25" i="1"/>
  <c r="AC25" i="1"/>
  <c r="AB16" i="1"/>
  <c r="AB12" i="1"/>
  <c r="AB17" i="1"/>
  <c r="P11" i="1"/>
  <c r="AB14" i="1"/>
  <c r="AC14" i="1"/>
  <c r="AB20" i="1"/>
  <c r="AC20" i="1"/>
  <c r="P139" i="1"/>
  <c r="Q139" i="1"/>
  <c r="AP149" i="1"/>
  <c r="P149" i="1"/>
  <c r="AP148" i="1"/>
  <c r="P148" i="1"/>
  <c r="Q148" i="1"/>
  <c r="AP150" i="1"/>
  <c r="P150" i="1"/>
  <c r="AP88" i="1"/>
  <c r="P88" i="1"/>
  <c r="Q88" i="1"/>
  <c r="AP10" i="1"/>
  <c r="P10" i="1"/>
  <c r="AP31" i="1"/>
  <c r="P31" i="1"/>
  <c r="Q31" i="1"/>
  <c r="P94" i="1"/>
  <c r="AP7" i="1"/>
  <c r="P7" i="1"/>
  <c r="P8" i="1"/>
  <c r="Q8" i="1"/>
  <c r="AP8" i="1"/>
  <c r="AP38" i="1"/>
  <c r="P38" i="1"/>
  <c r="AP146" i="1"/>
  <c r="P146" i="1"/>
  <c r="AP33" i="1"/>
  <c r="P33" i="1"/>
  <c r="Q33" i="1"/>
  <c r="AP85" i="1"/>
  <c r="P85" i="1"/>
  <c r="P91" i="1"/>
  <c r="AP91" i="1"/>
  <c r="P34" i="1"/>
  <c r="Q34" i="1"/>
  <c r="AP34" i="1"/>
  <c r="AP140" i="1"/>
  <c r="P140" i="1"/>
  <c r="Q140" i="1"/>
  <c r="AP39" i="1"/>
  <c r="P39" i="1"/>
  <c r="AP41" i="1"/>
  <c r="P41" i="1"/>
  <c r="AP87" i="1"/>
  <c r="P87" i="1"/>
  <c r="AP136" i="1"/>
  <c r="P136" i="1"/>
  <c r="Q136" i="1"/>
  <c r="AP90" i="1"/>
  <c r="P90" i="1"/>
  <c r="AP35" i="1"/>
  <c r="P35" i="1"/>
  <c r="AP37" i="1"/>
  <c r="P37" i="1"/>
  <c r="Q51" i="1"/>
  <c r="Q47" i="1"/>
  <c r="Q99" i="1"/>
  <c r="Q146" i="1"/>
  <c r="Q126" i="1"/>
  <c r="Q124" i="1"/>
  <c r="Q43" i="1"/>
  <c r="Q53" i="1"/>
  <c r="Q133" i="1"/>
  <c r="Q120" i="1"/>
  <c r="Q130" i="1"/>
  <c r="Q10" i="1"/>
  <c r="Q49" i="1"/>
  <c r="Q45" i="1"/>
  <c r="Q11" i="1"/>
  <c r="Q149" i="1"/>
  <c r="Q129" i="1"/>
  <c r="Q96" i="1"/>
  <c r="Q98" i="1"/>
  <c r="Q87" i="1"/>
  <c r="Q37" i="1"/>
  <c r="Q122" i="1"/>
  <c r="P119" i="1"/>
  <c r="P145" i="1"/>
  <c r="P127" i="1"/>
  <c r="P135" i="1"/>
  <c r="P144" i="1"/>
  <c r="AP142" i="1"/>
  <c r="P142" i="1"/>
  <c r="AC12" i="1"/>
  <c r="P12" i="1"/>
  <c r="Q7" i="1"/>
  <c r="P123" i="1"/>
  <c r="AP139" i="1"/>
  <c r="AP9" i="1"/>
  <c r="P138" i="1"/>
  <c r="P141" i="1"/>
  <c r="AP141" i="1"/>
  <c r="P137" i="1"/>
  <c r="AP137" i="1"/>
  <c r="P147" i="1"/>
  <c r="AP147" i="1"/>
  <c r="P93" i="1"/>
  <c r="AP143" i="1"/>
  <c r="P143" i="1"/>
  <c r="AP128" i="1"/>
  <c r="P128" i="1"/>
  <c r="AP134" i="1"/>
  <c r="P134" i="1"/>
  <c r="AP86" i="1"/>
  <c r="P86" i="1"/>
  <c r="AP97" i="1"/>
  <c r="P97" i="1"/>
  <c r="AP100" i="1"/>
  <c r="P100" i="1"/>
  <c r="AP92" i="1"/>
  <c r="P92" i="1"/>
  <c r="AP95" i="1"/>
  <c r="P95" i="1"/>
  <c r="P131" i="1"/>
  <c r="AP131" i="1"/>
  <c r="AP121" i="1"/>
  <c r="P121" i="1"/>
  <c r="P125" i="1"/>
  <c r="AP125" i="1"/>
  <c r="P132" i="1"/>
  <c r="AP132" i="1"/>
  <c r="P13" i="1"/>
  <c r="P89" i="1"/>
  <c r="AP48" i="1"/>
  <c r="P48" i="1"/>
  <c r="AP46" i="1"/>
  <c r="P46" i="1"/>
  <c r="P54" i="1"/>
  <c r="AP54" i="1"/>
  <c r="AP44" i="1"/>
  <c r="P44" i="1"/>
  <c r="P50" i="1"/>
  <c r="AP50" i="1"/>
  <c r="P32" i="1"/>
  <c r="AP52" i="1"/>
  <c r="P52" i="1"/>
  <c r="AP40" i="1"/>
  <c r="P40" i="1"/>
  <c r="P42" i="1"/>
  <c r="AP42" i="1"/>
  <c r="AP36" i="1"/>
  <c r="P36" i="1"/>
  <c r="AP14" i="1"/>
  <c r="P14" i="1"/>
  <c r="P9" i="1"/>
  <c r="AL34" i="1"/>
  <c r="CN34" i="1"/>
  <c r="CO34" i="1"/>
  <c r="CP34" i="1"/>
  <c r="CQ34" i="1"/>
  <c r="CR34" i="1"/>
  <c r="CS34" i="1"/>
  <c r="CT34" i="1"/>
  <c r="CU34" i="1"/>
  <c r="AL88" i="1"/>
  <c r="CN88" i="1"/>
  <c r="CO88" i="1"/>
  <c r="CQ88" i="1"/>
  <c r="CR88" i="1"/>
  <c r="CP88" i="1"/>
  <c r="CS88" i="1"/>
  <c r="CT88" i="1"/>
  <c r="CU88" i="1"/>
  <c r="AL96" i="1"/>
  <c r="CR96" i="1"/>
  <c r="CS96" i="1"/>
  <c r="CT96" i="1"/>
  <c r="CU96" i="1"/>
  <c r="CN96" i="1"/>
  <c r="CO96" i="1"/>
  <c r="CP96" i="1"/>
  <c r="CQ96" i="1"/>
  <c r="CW96" i="1"/>
  <c r="AL10" i="1"/>
  <c r="CN10" i="1"/>
  <c r="CO10" i="1"/>
  <c r="CP10" i="1"/>
  <c r="CQ10" i="1"/>
  <c r="CR10" i="1"/>
  <c r="CS10" i="1"/>
  <c r="CT10" i="1"/>
  <c r="CU10" i="1"/>
  <c r="AL124" i="1"/>
  <c r="CR124" i="1"/>
  <c r="CS124" i="1"/>
  <c r="CT124" i="1"/>
  <c r="CU124" i="1"/>
  <c r="CN124" i="1"/>
  <c r="CO124" i="1"/>
  <c r="CP124" i="1"/>
  <c r="CQ124" i="1"/>
  <c r="CW124" i="1"/>
  <c r="AL7" i="1"/>
  <c r="CN7" i="1"/>
  <c r="CO7" i="1"/>
  <c r="CP7" i="1"/>
  <c r="CQ7" i="1"/>
  <c r="CR7" i="1"/>
  <c r="CS7" i="1"/>
  <c r="CT7" i="1"/>
  <c r="CU7" i="1"/>
  <c r="AL122" i="1"/>
  <c r="CR122" i="1"/>
  <c r="CS122" i="1"/>
  <c r="CT122" i="1"/>
  <c r="CU122" i="1"/>
  <c r="CN122" i="1"/>
  <c r="CO122" i="1"/>
  <c r="CP122" i="1"/>
  <c r="CQ122" i="1"/>
  <c r="CW122" i="1"/>
  <c r="AL129" i="1"/>
  <c r="CR129" i="1"/>
  <c r="CS129" i="1"/>
  <c r="CT129" i="1"/>
  <c r="CU129" i="1"/>
  <c r="CN129" i="1"/>
  <c r="CO129" i="1"/>
  <c r="CP129" i="1"/>
  <c r="CQ129" i="1"/>
  <c r="CW129" i="1"/>
  <c r="AL130" i="1"/>
  <c r="CR130" i="1"/>
  <c r="CS130" i="1"/>
  <c r="CT130" i="1"/>
  <c r="CU130" i="1"/>
  <c r="CN130" i="1"/>
  <c r="CO130" i="1"/>
  <c r="CP130" i="1"/>
  <c r="CQ130" i="1"/>
  <c r="CW130" i="1"/>
  <c r="AL126" i="1"/>
  <c r="CR126" i="1"/>
  <c r="CS126" i="1"/>
  <c r="CT126" i="1"/>
  <c r="CU126" i="1"/>
  <c r="CN126" i="1"/>
  <c r="CO126" i="1"/>
  <c r="CP126" i="1"/>
  <c r="CQ126" i="1"/>
  <c r="CW126" i="1"/>
  <c r="AL136" i="1"/>
  <c r="CR136" i="1"/>
  <c r="CT136" i="1"/>
  <c r="CU136" i="1"/>
  <c r="CN136" i="1"/>
  <c r="CO136" i="1"/>
  <c r="CP136" i="1"/>
  <c r="CQ136" i="1"/>
  <c r="CS136" i="1"/>
  <c r="AL149" i="1"/>
  <c r="CR149" i="1"/>
  <c r="CO149" i="1"/>
  <c r="CP149" i="1"/>
  <c r="CS149" i="1"/>
  <c r="CT149" i="1"/>
  <c r="CU149" i="1"/>
  <c r="CQ149" i="1"/>
  <c r="CN149" i="1"/>
  <c r="AL120" i="1"/>
  <c r="CR120" i="1"/>
  <c r="CS120" i="1"/>
  <c r="CT120" i="1"/>
  <c r="CU120" i="1"/>
  <c r="CN120" i="1"/>
  <c r="CO120" i="1"/>
  <c r="CP120" i="1"/>
  <c r="CQ120" i="1"/>
  <c r="AL146" i="1"/>
  <c r="CR146" i="1"/>
  <c r="CN146" i="1"/>
  <c r="CO146" i="1"/>
  <c r="CP146" i="1"/>
  <c r="CQ146" i="1"/>
  <c r="CS146" i="1"/>
  <c r="CT146" i="1"/>
  <c r="CU146" i="1"/>
  <c r="AL31" i="1"/>
  <c r="CN31" i="1"/>
  <c r="CO31" i="1"/>
  <c r="CP31" i="1"/>
  <c r="CV31" i="1"/>
  <c r="CQ31" i="1"/>
  <c r="CR31" i="1"/>
  <c r="CS31" i="1"/>
  <c r="CT31" i="1"/>
  <c r="CU31" i="1"/>
  <c r="AL133" i="1"/>
  <c r="CR133" i="1"/>
  <c r="CS133" i="1"/>
  <c r="CT133" i="1"/>
  <c r="CU133" i="1"/>
  <c r="CN133" i="1"/>
  <c r="CO133" i="1"/>
  <c r="CP133" i="1"/>
  <c r="CQ133" i="1"/>
  <c r="AL99" i="1"/>
  <c r="CR99" i="1"/>
  <c r="CS99" i="1"/>
  <c r="CT99" i="1"/>
  <c r="CU99" i="1"/>
  <c r="CN99" i="1"/>
  <c r="CO99" i="1"/>
  <c r="CP99" i="1"/>
  <c r="CQ99" i="1"/>
  <c r="CW99" i="1"/>
  <c r="AL37" i="1"/>
  <c r="CN37" i="1"/>
  <c r="CV37" i="1"/>
  <c r="CO37" i="1"/>
  <c r="CP37" i="1"/>
  <c r="CQ37" i="1"/>
  <c r="CR37" i="1"/>
  <c r="CS37" i="1"/>
  <c r="CT37" i="1"/>
  <c r="CU37" i="1"/>
  <c r="AL11" i="1"/>
  <c r="CN11" i="1"/>
  <c r="CO11" i="1"/>
  <c r="CP11" i="1"/>
  <c r="CQ11" i="1"/>
  <c r="CR11" i="1"/>
  <c r="CS11" i="1"/>
  <c r="CT11" i="1"/>
  <c r="CU11" i="1"/>
  <c r="AL53" i="1"/>
  <c r="CN53" i="1"/>
  <c r="CO53" i="1"/>
  <c r="CP53" i="1"/>
  <c r="CQ53" i="1"/>
  <c r="CR53" i="1"/>
  <c r="CS53" i="1"/>
  <c r="CT53" i="1"/>
  <c r="CU53" i="1"/>
  <c r="AL47" i="1"/>
  <c r="CN47" i="1"/>
  <c r="CO47" i="1"/>
  <c r="CP47" i="1"/>
  <c r="CQ47" i="1"/>
  <c r="CR47" i="1"/>
  <c r="CS47" i="1"/>
  <c r="CT47" i="1"/>
  <c r="CU47" i="1"/>
  <c r="AL87" i="1"/>
  <c r="CN87" i="1"/>
  <c r="CO87" i="1"/>
  <c r="CQ87" i="1"/>
  <c r="CR87" i="1"/>
  <c r="CT87" i="1"/>
  <c r="CU87" i="1"/>
  <c r="CP87" i="1"/>
  <c r="CS87" i="1"/>
  <c r="AL148" i="1"/>
  <c r="CR148" i="1"/>
  <c r="CN148" i="1"/>
  <c r="CO148" i="1"/>
  <c r="CP148" i="1"/>
  <c r="CQ148" i="1"/>
  <c r="CS148" i="1"/>
  <c r="CT148" i="1"/>
  <c r="CU148" i="1"/>
  <c r="AL139" i="1"/>
  <c r="CR139" i="1"/>
  <c r="CT139" i="1"/>
  <c r="CU139" i="1"/>
  <c r="CN139" i="1"/>
  <c r="CO139" i="1"/>
  <c r="CP139" i="1"/>
  <c r="CQ139" i="1"/>
  <c r="CS139" i="1"/>
  <c r="AL140" i="1"/>
  <c r="CR140" i="1"/>
  <c r="CU140" i="1"/>
  <c r="CN140" i="1"/>
  <c r="CO140" i="1"/>
  <c r="CP140" i="1"/>
  <c r="CQ140" i="1"/>
  <c r="CS140" i="1"/>
  <c r="CT140" i="1"/>
  <c r="AL45" i="1"/>
  <c r="CN45" i="1"/>
  <c r="CO45" i="1"/>
  <c r="CP45" i="1"/>
  <c r="CQ45" i="1"/>
  <c r="CW45" i="1"/>
  <c r="CR45" i="1"/>
  <c r="CS45" i="1"/>
  <c r="CT45" i="1"/>
  <c r="CU45" i="1"/>
  <c r="AL8" i="1"/>
  <c r="CN8" i="1"/>
  <c r="CO8" i="1"/>
  <c r="CP8" i="1"/>
  <c r="CQ8" i="1"/>
  <c r="CR8" i="1"/>
  <c r="CS8" i="1"/>
  <c r="CT8" i="1"/>
  <c r="CU8" i="1"/>
  <c r="AL51" i="1"/>
  <c r="CN51" i="1"/>
  <c r="CO51" i="1"/>
  <c r="CP51" i="1"/>
  <c r="CQ51" i="1"/>
  <c r="CR51" i="1"/>
  <c r="CS51" i="1"/>
  <c r="CT51" i="1"/>
  <c r="CU51" i="1"/>
  <c r="AL98" i="1"/>
  <c r="CR98" i="1"/>
  <c r="CS98" i="1"/>
  <c r="CT98" i="1"/>
  <c r="CU98" i="1"/>
  <c r="CN98" i="1"/>
  <c r="CV98" i="1"/>
  <c r="CO98" i="1"/>
  <c r="CP98" i="1"/>
  <c r="CQ98" i="1"/>
  <c r="AL49" i="1"/>
  <c r="CN49" i="1"/>
  <c r="CO49" i="1"/>
  <c r="CP49" i="1"/>
  <c r="CQ49" i="1"/>
  <c r="CR49" i="1"/>
  <c r="CS49" i="1"/>
  <c r="CT49" i="1"/>
  <c r="CU49" i="1"/>
  <c r="AL43" i="1"/>
  <c r="CN43" i="1"/>
  <c r="CO43" i="1"/>
  <c r="CP43" i="1"/>
  <c r="CQ43" i="1"/>
  <c r="CR43" i="1"/>
  <c r="CS43" i="1"/>
  <c r="CT43" i="1"/>
  <c r="CU43" i="1"/>
  <c r="AL33" i="1"/>
  <c r="CN33" i="1"/>
  <c r="CO33" i="1"/>
  <c r="CP33" i="1"/>
  <c r="CQ33" i="1"/>
  <c r="CR33" i="1"/>
  <c r="CS33" i="1"/>
  <c r="CT33" i="1"/>
  <c r="CU33" i="1"/>
  <c r="Q150" i="1"/>
  <c r="Q38" i="1"/>
  <c r="Q91" i="1"/>
  <c r="Q41" i="1"/>
  <c r="Q35" i="1"/>
  <c r="Q85" i="1"/>
  <c r="Q94" i="1"/>
  <c r="Q90" i="1"/>
  <c r="Q39" i="1"/>
  <c r="CV10" i="1"/>
  <c r="CV7" i="1"/>
  <c r="CV136" i="1"/>
  <c r="CV88" i="1"/>
  <c r="CV146" i="1"/>
  <c r="CV34" i="1"/>
  <c r="Q131" i="1"/>
  <c r="Q52" i="1"/>
  <c r="Q54" i="1"/>
  <c r="Q132" i="1"/>
  <c r="Q95" i="1"/>
  <c r="Q86" i="1"/>
  <c r="Q93" i="1"/>
  <c r="Q123" i="1"/>
  <c r="Q46" i="1"/>
  <c r="Q92" i="1"/>
  <c r="Q134" i="1"/>
  <c r="Q147" i="1"/>
  <c r="Q138" i="1"/>
  <c r="Q135" i="1"/>
  <c r="Q40" i="1"/>
  <c r="Q36" i="1"/>
  <c r="Q32" i="1"/>
  <c r="Q142" i="1"/>
  <c r="Q144" i="1"/>
  <c r="Q127" i="1"/>
  <c r="Q125" i="1"/>
  <c r="Q48" i="1"/>
  <c r="Q121" i="1"/>
  <c r="Q100" i="1"/>
  <c r="Q128" i="1"/>
  <c r="Q137" i="1"/>
  <c r="Q145" i="1"/>
  <c r="Q50" i="1"/>
  <c r="Q42" i="1"/>
  <c r="Q44" i="1"/>
  <c r="Q89" i="1"/>
  <c r="Q97" i="1"/>
  <c r="Q143" i="1"/>
  <c r="Q141" i="1"/>
  <c r="Q119" i="1"/>
  <c r="Q9" i="1"/>
  <c r="Q14" i="1"/>
  <c r="AP12" i="1"/>
  <c r="Q12" i="1"/>
  <c r="Q13" i="1"/>
  <c r="CW136" i="1"/>
  <c r="CV130" i="1"/>
  <c r="CW7" i="1"/>
  <c r="CW88" i="1"/>
  <c r="CW34" i="1"/>
  <c r="CW8" i="1"/>
  <c r="CW148" i="1"/>
  <c r="CV140" i="1"/>
  <c r="CV139" i="1"/>
  <c r="CW11" i="1"/>
  <c r="CW31" i="1"/>
  <c r="CW146" i="1"/>
  <c r="CV120" i="1"/>
  <c r="CV129" i="1"/>
  <c r="CV122" i="1"/>
  <c r="CV49" i="1"/>
  <c r="CV8" i="1"/>
  <c r="CV45" i="1"/>
  <c r="CW87" i="1"/>
  <c r="CV47" i="1"/>
  <c r="CV53" i="1"/>
  <c r="CV11" i="1"/>
  <c r="CW98" i="1"/>
  <c r="CV124" i="1"/>
  <c r="CW10" i="1"/>
  <c r="CV96" i="1"/>
  <c r="CW49" i="1"/>
  <c r="CW120" i="1"/>
  <c r="CW149" i="1"/>
  <c r="CW133" i="1"/>
  <c r="CW47" i="1"/>
  <c r="CW53" i="1"/>
  <c r="CV133" i="1"/>
  <c r="CV148" i="1"/>
  <c r="CW37" i="1"/>
  <c r="CV99" i="1"/>
  <c r="CW43" i="1"/>
  <c r="CW51" i="1"/>
  <c r="CV87" i="1"/>
  <c r="CV43" i="1"/>
  <c r="CV33" i="1"/>
  <c r="CW140" i="1"/>
  <c r="CW139" i="1"/>
  <c r="CV126" i="1"/>
  <c r="CV51" i="1"/>
  <c r="CV149" i="1"/>
  <c r="AL143" i="1"/>
  <c r="CR143" i="1"/>
  <c r="CN143" i="1"/>
  <c r="CO143" i="1"/>
  <c r="CP143" i="1"/>
  <c r="CQ143" i="1"/>
  <c r="CS143" i="1"/>
  <c r="CT143" i="1"/>
  <c r="CU143" i="1"/>
  <c r="AL32" i="1"/>
  <c r="CN32" i="1"/>
  <c r="CO32" i="1"/>
  <c r="CP32" i="1"/>
  <c r="CQ32" i="1"/>
  <c r="CR32" i="1"/>
  <c r="CS32" i="1"/>
  <c r="CT32" i="1"/>
  <c r="CU32" i="1"/>
  <c r="AL131" i="1"/>
  <c r="CR131" i="1"/>
  <c r="CS131" i="1"/>
  <c r="CT131" i="1"/>
  <c r="CU131" i="1"/>
  <c r="CN131" i="1"/>
  <c r="CO131" i="1"/>
  <c r="CP131" i="1"/>
  <c r="CQ131" i="1"/>
  <c r="AL9" i="1"/>
  <c r="CN9" i="1"/>
  <c r="CO9" i="1"/>
  <c r="CP9" i="1"/>
  <c r="CQ9" i="1"/>
  <c r="CR9" i="1"/>
  <c r="CS9" i="1"/>
  <c r="CT9" i="1"/>
  <c r="CU9" i="1"/>
  <c r="AL39" i="1"/>
  <c r="CN39" i="1"/>
  <c r="CO39" i="1"/>
  <c r="CP39" i="1"/>
  <c r="CQ39" i="1"/>
  <c r="CR39" i="1"/>
  <c r="CS39" i="1"/>
  <c r="CT39" i="1"/>
  <c r="CU39" i="1"/>
  <c r="AL85" i="1"/>
  <c r="CN85" i="1"/>
  <c r="CO85" i="1"/>
  <c r="CQ85" i="1"/>
  <c r="CR85" i="1"/>
  <c r="CT85" i="1"/>
  <c r="CU85" i="1"/>
  <c r="CS85" i="1"/>
  <c r="CP85" i="1"/>
  <c r="AL91" i="1"/>
  <c r="CR91" i="1"/>
  <c r="CS91" i="1"/>
  <c r="CT91" i="1"/>
  <c r="CU91" i="1"/>
  <c r="CN91" i="1"/>
  <c r="CO91" i="1"/>
  <c r="CP91" i="1"/>
  <c r="CQ91" i="1"/>
  <c r="AL128" i="1"/>
  <c r="CR128" i="1"/>
  <c r="CS128" i="1"/>
  <c r="CT128" i="1"/>
  <c r="CU128" i="1"/>
  <c r="CN128" i="1"/>
  <c r="CO128" i="1"/>
  <c r="CP128" i="1"/>
  <c r="CQ128" i="1"/>
  <c r="AL46" i="1"/>
  <c r="CN46" i="1"/>
  <c r="CO46" i="1"/>
  <c r="CP46" i="1"/>
  <c r="CQ46" i="1"/>
  <c r="CR46" i="1"/>
  <c r="CS46" i="1"/>
  <c r="CT46" i="1"/>
  <c r="CU46" i="1"/>
  <c r="AL89" i="1"/>
  <c r="CR89" i="1"/>
  <c r="CS89" i="1"/>
  <c r="CT89" i="1"/>
  <c r="CU89" i="1"/>
  <c r="CN89" i="1"/>
  <c r="CO89" i="1"/>
  <c r="CP89" i="1"/>
  <c r="CQ89" i="1"/>
  <c r="AL121" i="1"/>
  <c r="CR121" i="1"/>
  <c r="CS121" i="1"/>
  <c r="CT121" i="1"/>
  <c r="CU121" i="1"/>
  <c r="CN121" i="1"/>
  <c r="CO121" i="1"/>
  <c r="CP121" i="1"/>
  <c r="CQ121" i="1"/>
  <c r="AL40" i="1"/>
  <c r="CN40" i="1"/>
  <c r="CO40" i="1"/>
  <c r="CP40" i="1"/>
  <c r="CQ40" i="1"/>
  <c r="CR40" i="1"/>
  <c r="CS40" i="1"/>
  <c r="CT40" i="1"/>
  <c r="CU40" i="1"/>
  <c r="AL93" i="1"/>
  <c r="CR93" i="1"/>
  <c r="CS93" i="1"/>
  <c r="CT93" i="1"/>
  <c r="CU93" i="1"/>
  <c r="CN93" i="1"/>
  <c r="CO93" i="1"/>
  <c r="CP93" i="1"/>
  <c r="CQ93" i="1"/>
  <c r="AL90" i="1"/>
  <c r="CR90" i="1"/>
  <c r="CS90" i="1"/>
  <c r="CT90" i="1"/>
  <c r="CU90" i="1"/>
  <c r="CN90" i="1"/>
  <c r="CO90" i="1"/>
  <c r="CP90" i="1"/>
  <c r="CQ90" i="1"/>
  <c r="AL97" i="1"/>
  <c r="CR97" i="1"/>
  <c r="CS97" i="1"/>
  <c r="CT97" i="1"/>
  <c r="CU97" i="1"/>
  <c r="CN97" i="1"/>
  <c r="CO97" i="1"/>
  <c r="CP97" i="1"/>
  <c r="CQ97" i="1"/>
  <c r="AL100" i="1"/>
  <c r="CR100" i="1"/>
  <c r="CS100" i="1"/>
  <c r="CT100" i="1"/>
  <c r="CU100" i="1"/>
  <c r="CN100" i="1"/>
  <c r="CO100" i="1"/>
  <c r="CP100" i="1"/>
  <c r="CQ100" i="1"/>
  <c r="AL36" i="1"/>
  <c r="CN36" i="1"/>
  <c r="CO36" i="1"/>
  <c r="CP36" i="1"/>
  <c r="CQ36" i="1"/>
  <c r="CR36" i="1"/>
  <c r="CS36" i="1"/>
  <c r="CT36" i="1"/>
  <c r="CU36" i="1"/>
  <c r="AL123" i="1"/>
  <c r="CR123" i="1"/>
  <c r="CS123" i="1"/>
  <c r="CT123" i="1"/>
  <c r="CU123" i="1"/>
  <c r="CN123" i="1"/>
  <c r="CO123" i="1"/>
  <c r="CP123" i="1"/>
  <c r="CQ123" i="1"/>
  <c r="AL13" i="1"/>
  <c r="CN13" i="1"/>
  <c r="CO13" i="1"/>
  <c r="CP13" i="1"/>
  <c r="CQ13" i="1"/>
  <c r="CR13" i="1"/>
  <c r="CS13" i="1"/>
  <c r="CT13" i="1"/>
  <c r="CU13" i="1"/>
  <c r="AL44" i="1"/>
  <c r="CN44" i="1"/>
  <c r="CO44" i="1"/>
  <c r="CP44" i="1"/>
  <c r="CQ44" i="1"/>
  <c r="CR44" i="1"/>
  <c r="CS44" i="1"/>
  <c r="CT44" i="1"/>
  <c r="CU44" i="1"/>
  <c r="AL48" i="1"/>
  <c r="CN48" i="1"/>
  <c r="CO48" i="1"/>
  <c r="CP48" i="1"/>
  <c r="CQ48" i="1"/>
  <c r="CR48" i="1"/>
  <c r="CS48" i="1"/>
  <c r="CT48" i="1"/>
  <c r="CU48" i="1"/>
  <c r="AL135" i="1"/>
  <c r="CR135" i="1"/>
  <c r="CW135" i="1"/>
  <c r="CT135" i="1"/>
  <c r="CU135" i="1"/>
  <c r="CN135" i="1"/>
  <c r="CO135" i="1"/>
  <c r="CP135" i="1"/>
  <c r="CQ135" i="1"/>
  <c r="CS135" i="1"/>
  <c r="AL86" i="1"/>
  <c r="CN86" i="1"/>
  <c r="CO86" i="1"/>
  <c r="CQ86" i="1"/>
  <c r="CR86" i="1"/>
  <c r="CT86" i="1"/>
  <c r="CU86" i="1"/>
  <c r="CP86" i="1"/>
  <c r="CS86" i="1"/>
  <c r="AL94" i="1"/>
  <c r="CR94" i="1"/>
  <c r="CS94" i="1"/>
  <c r="CT94" i="1"/>
  <c r="CU94" i="1"/>
  <c r="CN94" i="1"/>
  <c r="CO94" i="1"/>
  <c r="CP94" i="1"/>
  <c r="CQ94" i="1"/>
  <c r="AL35" i="1"/>
  <c r="CN35" i="1"/>
  <c r="CO35" i="1"/>
  <c r="CP35" i="1"/>
  <c r="CQ35" i="1"/>
  <c r="CR35" i="1"/>
  <c r="CS35" i="1"/>
  <c r="CT35" i="1"/>
  <c r="CU35" i="1"/>
  <c r="AL38" i="1"/>
  <c r="CN38" i="1"/>
  <c r="CO38" i="1"/>
  <c r="CP38" i="1"/>
  <c r="CQ38" i="1"/>
  <c r="CR38" i="1"/>
  <c r="CS38" i="1"/>
  <c r="CT38" i="1"/>
  <c r="CU38" i="1"/>
  <c r="AL41" i="1"/>
  <c r="CN41" i="1"/>
  <c r="CO41" i="1"/>
  <c r="CP41" i="1"/>
  <c r="CQ41" i="1"/>
  <c r="CR41" i="1"/>
  <c r="CS41" i="1"/>
  <c r="CT41" i="1"/>
  <c r="CU41" i="1"/>
  <c r="AL42" i="1"/>
  <c r="CN42" i="1"/>
  <c r="CO42" i="1"/>
  <c r="CP42" i="1"/>
  <c r="CQ42" i="1"/>
  <c r="CR42" i="1"/>
  <c r="CS42" i="1"/>
  <c r="CT42" i="1"/>
  <c r="CU42" i="1"/>
  <c r="AL125" i="1"/>
  <c r="CR125" i="1"/>
  <c r="CS125" i="1"/>
  <c r="CT125" i="1"/>
  <c r="CU125" i="1"/>
  <c r="CN125" i="1"/>
  <c r="CO125" i="1"/>
  <c r="CP125" i="1"/>
  <c r="CQ125" i="1"/>
  <c r="AL138" i="1"/>
  <c r="CR138" i="1"/>
  <c r="CT138" i="1"/>
  <c r="CU138" i="1"/>
  <c r="CN138" i="1"/>
  <c r="CO138" i="1"/>
  <c r="CP138" i="1"/>
  <c r="CS138" i="1"/>
  <c r="CQ138" i="1"/>
  <c r="AL95" i="1"/>
  <c r="CR95" i="1"/>
  <c r="CS95" i="1"/>
  <c r="CT95" i="1"/>
  <c r="CU95" i="1"/>
  <c r="CN95" i="1"/>
  <c r="CO95" i="1"/>
  <c r="CP95" i="1"/>
  <c r="CQ95" i="1"/>
  <c r="AL50" i="1"/>
  <c r="CN50" i="1"/>
  <c r="CO50" i="1"/>
  <c r="CP50" i="1"/>
  <c r="CQ50" i="1"/>
  <c r="CR50" i="1"/>
  <c r="CS50" i="1"/>
  <c r="CT50" i="1"/>
  <c r="CU50" i="1"/>
  <c r="AL127" i="1"/>
  <c r="CR127" i="1"/>
  <c r="CS127" i="1"/>
  <c r="CT127" i="1"/>
  <c r="CU127" i="1"/>
  <c r="CN127" i="1"/>
  <c r="CO127" i="1"/>
  <c r="CP127" i="1"/>
  <c r="CQ127" i="1"/>
  <c r="AL147" i="1"/>
  <c r="CR147" i="1"/>
  <c r="CN147" i="1"/>
  <c r="CO147" i="1"/>
  <c r="CP147" i="1"/>
  <c r="CQ147" i="1"/>
  <c r="CS147" i="1"/>
  <c r="CT147" i="1"/>
  <c r="CU147" i="1"/>
  <c r="AL132" i="1"/>
  <c r="CR132" i="1"/>
  <c r="CS132" i="1"/>
  <c r="CT132" i="1"/>
  <c r="CU132" i="1"/>
  <c r="CN132" i="1"/>
  <c r="CO132" i="1"/>
  <c r="CP132" i="1"/>
  <c r="CQ132" i="1"/>
  <c r="AL12" i="1"/>
  <c r="CN12" i="1"/>
  <c r="CO12" i="1"/>
  <c r="CP12" i="1"/>
  <c r="CQ12" i="1"/>
  <c r="CR12" i="1"/>
  <c r="CS12" i="1"/>
  <c r="CT12" i="1"/>
  <c r="CU12" i="1"/>
  <c r="AL14" i="1"/>
  <c r="CN14" i="1"/>
  <c r="CO14" i="1"/>
  <c r="CP14" i="1"/>
  <c r="CQ14" i="1"/>
  <c r="CR14" i="1"/>
  <c r="CS14" i="1"/>
  <c r="CT14" i="1"/>
  <c r="CU14" i="1"/>
  <c r="AL119" i="1"/>
  <c r="CR119" i="1"/>
  <c r="CS119" i="1"/>
  <c r="CT119" i="1"/>
  <c r="CU119" i="1"/>
  <c r="CN119" i="1"/>
  <c r="CO119" i="1"/>
  <c r="CP119" i="1"/>
  <c r="CQ119" i="1"/>
  <c r="AL145" i="1"/>
  <c r="CR145" i="1"/>
  <c r="CU145" i="1"/>
  <c r="CN145" i="1"/>
  <c r="CO145" i="1"/>
  <c r="CP145" i="1"/>
  <c r="CQ145" i="1"/>
  <c r="CS145" i="1"/>
  <c r="CT145" i="1"/>
  <c r="AL144" i="1"/>
  <c r="CR144" i="1"/>
  <c r="CU144" i="1"/>
  <c r="CN144" i="1"/>
  <c r="CO144" i="1"/>
  <c r="CP144" i="1"/>
  <c r="CS144" i="1"/>
  <c r="CT144" i="1"/>
  <c r="CQ144" i="1"/>
  <c r="AL134" i="1"/>
  <c r="CR134" i="1"/>
  <c r="CT134" i="1"/>
  <c r="CU134" i="1"/>
  <c r="CN134" i="1"/>
  <c r="CO134" i="1"/>
  <c r="CP134" i="1"/>
  <c r="CS134" i="1"/>
  <c r="CQ134" i="1"/>
  <c r="AL54" i="1"/>
  <c r="CN54" i="1"/>
  <c r="CO54" i="1"/>
  <c r="CP54" i="1"/>
  <c r="CQ54" i="1"/>
  <c r="CR54" i="1"/>
  <c r="CS54" i="1"/>
  <c r="CT54" i="1"/>
  <c r="CU54" i="1"/>
  <c r="AL141" i="1"/>
  <c r="CR141" i="1"/>
  <c r="CN141" i="1"/>
  <c r="CO141" i="1"/>
  <c r="CP141" i="1"/>
  <c r="CT141" i="1"/>
  <c r="CU141" i="1"/>
  <c r="CS141" i="1"/>
  <c r="CQ141" i="1"/>
  <c r="AL137" i="1"/>
  <c r="CR137" i="1"/>
  <c r="CT137" i="1"/>
  <c r="CU137" i="1"/>
  <c r="CN137" i="1"/>
  <c r="CO137" i="1"/>
  <c r="CV137" i="1"/>
  <c r="CP137" i="1"/>
  <c r="CQ137" i="1"/>
  <c r="CS137" i="1"/>
  <c r="AL142" i="1"/>
  <c r="CR142" i="1"/>
  <c r="CN142" i="1"/>
  <c r="CO142" i="1"/>
  <c r="CP142" i="1"/>
  <c r="CQ142" i="1"/>
  <c r="CS142" i="1"/>
  <c r="CT142" i="1"/>
  <c r="CU142" i="1"/>
  <c r="AL92" i="1"/>
  <c r="CR92" i="1"/>
  <c r="CS92" i="1"/>
  <c r="CT92" i="1"/>
  <c r="CU92" i="1"/>
  <c r="CN92" i="1"/>
  <c r="CO92" i="1"/>
  <c r="CP92" i="1"/>
  <c r="CQ92" i="1"/>
  <c r="AL52" i="1"/>
  <c r="CN52" i="1"/>
  <c r="CO52" i="1"/>
  <c r="CP52" i="1"/>
  <c r="CQ52" i="1"/>
  <c r="CR52" i="1"/>
  <c r="CS52" i="1"/>
  <c r="CT52" i="1"/>
  <c r="CU52" i="1"/>
  <c r="AL150" i="1"/>
  <c r="CR150" i="1"/>
  <c r="CO150" i="1"/>
  <c r="CP150" i="1"/>
  <c r="CN150" i="1"/>
  <c r="CQ150" i="1"/>
  <c r="CS150" i="1"/>
  <c r="CT150" i="1"/>
  <c r="CU150" i="1"/>
  <c r="CW91" i="1"/>
  <c r="CV41" i="1"/>
  <c r="CV90" i="1"/>
  <c r="CV38" i="1"/>
  <c r="CV91" i="1"/>
  <c r="CW90" i="1"/>
  <c r="CW33" i="1"/>
  <c r="CW39" i="1"/>
  <c r="CV46" i="1"/>
  <c r="CV39" i="1"/>
  <c r="CV85" i="1"/>
  <c r="CV121" i="1"/>
  <c r="CV44" i="1"/>
  <c r="CV40" i="1"/>
  <c r="CW100" i="1"/>
  <c r="CV125" i="1"/>
  <c r="CV100" i="1"/>
  <c r="CV13" i="1"/>
  <c r="CV128" i="1"/>
  <c r="CV131" i="1"/>
  <c r="CV97" i="1"/>
  <c r="CV127" i="1"/>
  <c r="CV36" i="1"/>
  <c r="CV123" i="1"/>
  <c r="CW95" i="1"/>
  <c r="CV135" i="1"/>
  <c r="CV86" i="1"/>
  <c r="CW36" i="1"/>
  <c r="CV12" i="1"/>
  <c r="CW89" i="1"/>
  <c r="CW147" i="1"/>
  <c r="CW50" i="1"/>
  <c r="CW54" i="1"/>
  <c r="CW9" i="1"/>
  <c r="CV9" i="1"/>
  <c r="CW46" i="1"/>
  <c r="CW13" i="1"/>
  <c r="CW97" i="1"/>
  <c r="CW121" i="1"/>
  <c r="CW143" i="1"/>
  <c r="CW44" i="1"/>
  <c r="CV143" i="1"/>
  <c r="CV32" i="1"/>
  <c r="CW42" i="1"/>
  <c r="CW134" i="1"/>
  <c r="CW131" i="1"/>
  <c r="CW48" i="1"/>
  <c r="CW32" i="1"/>
  <c r="CW123" i="1"/>
  <c r="CV14" i="1"/>
  <c r="CV50" i="1"/>
  <c r="CV138" i="1"/>
  <c r="CV42" i="1"/>
  <c r="CW137" i="1"/>
  <c r="CW141" i="1"/>
  <c r="CW144" i="1"/>
  <c r="CW119" i="1"/>
  <c r="CW92" i="1"/>
  <c r="CW132" i="1"/>
  <c r="CW127" i="1"/>
  <c r="CW125" i="1"/>
  <c r="CW85" i="1"/>
  <c r="CV144" i="1"/>
  <c r="CW145" i="1"/>
  <c r="CV119" i="1"/>
  <c r="CW14" i="1"/>
  <c r="CW12" i="1"/>
  <c r="CV132" i="1"/>
  <c r="CV48" i="1"/>
  <c r="CV93" i="1"/>
  <c r="CW40" i="1"/>
  <c r="CV89" i="1"/>
  <c r="CW128" i="1"/>
  <c r="CW41" i="1"/>
  <c r="CW38" i="1"/>
  <c r="CW35" i="1"/>
  <c r="CV94" i="1"/>
  <c r="CW86" i="1"/>
  <c r="CV54" i="1"/>
  <c r="CV145" i="1"/>
  <c r="CV95" i="1"/>
  <c r="CW138" i="1"/>
  <c r="CW93" i="1"/>
  <c r="CV147" i="1"/>
  <c r="CW150" i="1"/>
  <c r="CV134" i="1"/>
  <c r="CV52" i="1"/>
  <c r="CW142" i="1"/>
  <c r="CW52" i="1"/>
  <c r="CV92" i="1"/>
  <c r="CW94" i="1"/>
  <c r="CV141" i="1"/>
  <c r="CV142" i="1"/>
  <c r="CV150" i="1"/>
  <c r="CV35" i="1"/>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BZ71" i="1"/>
  <c r="CA71" i="1"/>
  <c r="CB71" i="1"/>
  <c r="CC71" i="1"/>
  <c r="CD71" i="1"/>
  <c r="CE71" i="1"/>
  <c r="CF71" i="1"/>
  <c r="CG71" i="1"/>
  <c r="CH71" i="1"/>
  <c r="CI71" i="1"/>
  <c r="CJ71"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BZ74" i="1"/>
  <c r="CA74" i="1"/>
  <c r="CB74" i="1"/>
  <c r="CC74" i="1"/>
  <c r="CD74" i="1"/>
  <c r="CE74" i="1"/>
  <c r="CF74" i="1"/>
  <c r="CG74" i="1"/>
  <c r="CH74" i="1"/>
  <c r="CI74" i="1"/>
  <c r="CJ74"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BZ75" i="1"/>
  <c r="CA75" i="1"/>
  <c r="CB75" i="1"/>
  <c r="CC75" i="1"/>
  <c r="CD75" i="1"/>
  <c r="CE75" i="1"/>
  <c r="CF75" i="1"/>
  <c r="CG75" i="1"/>
  <c r="CH75" i="1"/>
  <c r="CI75" i="1"/>
  <c r="CJ75"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BZ76" i="1"/>
  <c r="CA76" i="1"/>
  <c r="CB76" i="1"/>
  <c r="CC76" i="1"/>
  <c r="CD76" i="1"/>
  <c r="CE76" i="1"/>
  <c r="CF76" i="1"/>
  <c r="CG76" i="1"/>
  <c r="CH76" i="1"/>
  <c r="CI76" i="1"/>
  <c r="CJ76" i="1"/>
  <c r="AX76" i="1"/>
  <c r="AX75" i="1"/>
  <c r="AX74" i="1"/>
  <c r="AX73" i="1"/>
  <c r="AX72" i="1"/>
  <c r="AX71" i="1"/>
  <c r="AK19" i="1"/>
  <c r="U81" i="1"/>
  <c r="L300" i="7"/>
  <c r="L299" i="7"/>
  <c r="L298" i="7"/>
  <c r="L297" i="7"/>
  <c r="L296" i="7"/>
  <c r="L295" i="7"/>
  <c r="L294" i="7"/>
  <c r="L293" i="7"/>
  <c r="L292" i="7"/>
  <c r="L291" i="7"/>
  <c r="L290" i="7"/>
  <c r="L289" i="7"/>
  <c r="L288" i="7"/>
  <c r="L287" i="7"/>
  <c r="L286" i="7"/>
  <c r="L253" i="7"/>
  <c r="L252" i="7"/>
  <c r="L251" i="7"/>
  <c r="L250" i="7"/>
  <c r="L249" i="7"/>
  <c r="L248" i="7"/>
  <c r="L247" i="7"/>
  <c r="L246" i="7"/>
  <c r="L245" i="7"/>
  <c r="L244" i="7"/>
  <c r="L243" i="7"/>
  <c r="L242" i="7"/>
  <c r="L241" i="7"/>
  <c r="L240" i="7"/>
  <c r="L239" i="7"/>
  <c r="L238" i="7"/>
  <c r="L237" i="7"/>
  <c r="L236" i="7"/>
  <c r="L235" i="7"/>
  <c r="L226" i="7"/>
  <c r="L225" i="7"/>
  <c r="L224" i="7"/>
  <c r="L223" i="7"/>
  <c r="L214" i="7"/>
  <c r="L213" i="7"/>
  <c r="L212" i="7"/>
  <c r="L211" i="7"/>
  <c r="L210" i="7"/>
  <c r="L209" i="7"/>
  <c r="L208" i="7"/>
  <c r="L207" i="7"/>
  <c r="L206" i="7"/>
  <c r="L205" i="7"/>
  <c r="L204" i="7"/>
  <c r="L203" i="7"/>
  <c r="L202" i="7"/>
  <c r="L201" i="7"/>
  <c r="L200" i="7"/>
  <c r="L199" i="7"/>
  <c r="L198" i="7"/>
  <c r="L197" i="7"/>
  <c r="L196" i="7"/>
  <c r="L195" i="7"/>
  <c r="L194" i="7"/>
  <c r="L193" i="7"/>
  <c r="L164" i="7"/>
  <c r="L163" i="7"/>
  <c r="L162" i="7"/>
  <c r="L161" i="7"/>
  <c r="L160" i="7"/>
  <c r="L159" i="7"/>
  <c r="L158" i="7"/>
  <c r="L157" i="7"/>
  <c r="L156" i="7"/>
  <c r="L155" i="7"/>
  <c r="L154" i="7"/>
  <c r="L153" i="7"/>
  <c r="L152" i="7"/>
  <c r="L151" i="7"/>
  <c r="L150" i="7"/>
  <c r="L149" i="7"/>
  <c r="L140" i="7"/>
  <c r="L139" i="7"/>
  <c r="L138" i="7"/>
  <c r="L137" i="7"/>
  <c r="R204" i="7"/>
  <c r="O204" i="7"/>
  <c r="M204" i="7"/>
  <c r="G204" i="7"/>
  <c r="F204" i="7"/>
  <c r="D204" i="7"/>
  <c r="C204" i="7"/>
  <c r="B204" i="7"/>
  <c r="R203" i="7"/>
  <c r="O203" i="7"/>
  <c r="M203" i="7"/>
  <c r="G203" i="7"/>
  <c r="F203" i="7"/>
  <c r="D203" i="7"/>
  <c r="C203" i="7"/>
  <c r="B203" i="7"/>
  <c r="R202" i="7"/>
  <c r="O202" i="7"/>
  <c r="M202" i="7"/>
  <c r="G202" i="7"/>
  <c r="F202" i="7"/>
  <c r="D202" i="7"/>
  <c r="C202" i="7"/>
  <c r="B202" i="7"/>
  <c r="R201" i="7"/>
  <c r="O201" i="7"/>
  <c r="M201" i="7"/>
  <c r="G201" i="7"/>
  <c r="F201" i="7"/>
  <c r="D201" i="7"/>
  <c r="C201" i="7"/>
  <c r="B201" i="7"/>
  <c r="R200" i="7"/>
  <c r="O200" i="7"/>
  <c r="M200" i="7"/>
  <c r="G200" i="7"/>
  <c r="F200" i="7"/>
  <c r="D200" i="7"/>
  <c r="C200" i="7"/>
  <c r="B200" i="7"/>
  <c r="R199" i="7"/>
  <c r="O199" i="7"/>
  <c r="M199" i="7"/>
  <c r="G199" i="7"/>
  <c r="F199" i="7"/>
  <c r="D199" i="7"/>
  <c r="C199" i="7"/>
  <c r="B199" i="7"/>
  <c r="R214" i="7"/>
  <c r="O214" i="7"/>
  <c r="M214" i="7"/>
  <c r="G214" i="7"/>
  <c r="F214" i="7"/>
  <c r="C214" i="7"/>
  <c r="R213" i="7"/>
  <c r="O213" i="7"/>
  <c r="M213" i="7"/>
  <c r="G213" i="7"/>
  <c r="F213" i="7"/>
  <c r="C213" i="7"/>
  <c r="R212" i="7"/>
  <c r="O212" i="7"/>
  <c r="M212" i="7"/>
  <c r="G212" i="7"/>
  <c r="F212" i="7"/>
  <c r="C212" i="7"/>
  <c r="R211" i="7"/>
  <c r="O211" i="7"/>
  <c r="M211" i="7"/>
  <c r="G211" i="7"/>
  <c r="F211" i="7"/>
  <c r="C211" i="7"/>
  <c r="AS70" i="1"/>
  <c r="AO70" i="1"/>
  <c r="AF70" i="1"/>
  <c r="AP70" i="1"/>
  <c r="Z70" i="1"/>
  <c r="U70" i="1"/>
  <c r="AN70" i="1"/>
  <c r="L70" i="1"/>
  <c r="AS69" i="1"/>
  <c r="AO69" i="1"/>
  <c r="AF69" i="1"/>
  <c r="AH69" i="1"/>
  <c r="AP69" i="1"/>
  <c r="Z69" i="1"/>
  <c r="U69" i="1"/>
  <c r="AN69" i="1"/>
  <c r="L69" i="1"/>
  <c r="AS68" i="1"/>
  <c r="AO68" i="1"/>
  <c r="AF68" i="1"/>
  <c r="AP68" i="1"/>
  <c r="Z68" i="1"/>
  <c r="U68" i="1"/>
  <c r="L68" i="1"/>
  <c r="AS67" i="1"/>
  <c r="AO67" i="1"/>
  <c r="AF67" i="1"/>
  <c r="AH67" i="1"/>
  <c r="AP67" i="1"/>
  <c r="Z67" i="1"/>
  <c r="U67" i="1"/>
  <c r="AN67" i="1"/>
  <c r="L67" i="1"/>
  <c r="CJ66" i="1"/>
  <c r="CB66" i="1"/>
  <c r="BT66" i="1"/>
  <c r="BL66" i="1"/>
  <c r="BD66" i="1"/>
  <c r="AS66" i="1"/>
  <c r="CI66" i="1"/>
  <c r="AO66" i="1"/>
  <c r="AF66" i="1"/>
  <c r="AP66" i="1"/>
  <c r="Z66" i="1"/>
  <c r="U66" i="1"/>
  <c r="AN66" i="1"/>
  <c r="L66" i="1"/>
  <c r="CJ65" i="1"/>
  <c r="CB65" i="1"/>
  <c r="BT65" i="1"/>
  <c r="BL65" i="1"/>
  <c r="BD65" i="1"/>
  <c r="AS65" i="1"/>
  <c r="CI65" i="1"/>
  <c r="AO65" i="1"/>
  <c r="AF65" i="1"/>
  <c r="AG65" i="1"/>
  <c r="AP65" i="1"/>
  <c r="Z65" i="1"/>
  <c r="U65" i="1"/>
  <c r="AN65" i="1"/>
  <c r="L65" i="1"/>
  <c r="AO80" i="1"/>
  <c r="AF80" i="1"/>
  <c r="AP80" i="1"/>
  <c r="Z80" i="1"/>
  <c r="AT80" i="1"/>
  <c r="U80" i="1"/>
  <c r="AN80" i="1"/>
  <c r="L80" i="1"/>
  <c r="AO79" i="1"/>
  <c r="AF79" i="1"/>
  <c r="Z79" i="1"/>
  <c r="U79" i="1"/>
  <c r="AN79" i="1"/>
  <c r="L79" i="1"/>
  <c r="AO78" i="1"/>
  <c r="AF78" i="1"/>
  <c r="Z78" i="1"/>
  <c r="AT78" i="1"/>
  <c r="U78" i="1"/>
  <c r="AN78" i="1"/>
  <c r="L78" i="1"/>
  <c r="AO77" i="1"/>
  <c r="AF77" i="1"/>
  <c r="Z77" i="1"/>
  <c r="AT77" i="1"/>
  <c r="U77" i="1"/>
  <c r="AN77" i="1"/>
  <c r="L77" i="1"/>
  <c r="CH67" i="1"/>
  <c r="BZ67" i="1"/>
  <c r="BR67" i="1"/>
  <c r="BJ67" i="1"/>
  <c r="BB67" i="1"/>
  <c r="CA67" i="1"/>
  <c r="CG67" i="1"/>
  <c r="BY67" i="1"/>
  <c r="BQ67" i="1"/>
  <c r="BI67" i="1"/>
  <c r="BA67" i="1"/>
  <c r="CF67" i="1"/>
  <c r="BX67" i="1"/>
  <c r="BP67" i="1"/>
  <c r="BH67" i="1"/>
  <c r="AZ67" i="1"/>
  <c r="BC67" i="1"/>
  <c r="CE67" i="1"/>
  <c r="BW67" i="1"/>
  <c r="BO67" i="1"/>
  <c r="BG67" i="1"/>
  <c r="AY67" i="1"/>
  <c r="CD67" i="1"/>
  <c r="BV67" i="1"/>
  <c r="BN67" i="1"/>
  <c r="BF67" i="1"/>
  <c r="AX67" i="1"/>
  <c r="CC67" i="1"/>
  <c r="BU67" i="1"/>
  <c r="BM67" i="1"/>
  <c r="BE67" i="1"/>
  <c r="BS67" i="1"/>
  <c r="CJ67" i="1"/>
  <c r="CB67" i="1"/>
  <c r="BT67" i="1"/>
  <c r="BL67" i="1"/>
  <c r="BD67" i="1"/>
  <c r="CI67" i="1"/>
  <c r="BK67" i="1"/>
  <c r="BE65" i="1"/>
  <c r="BM65" i="1"/>
  <c r="BU65" i="1"/>
  <c r="CC65" i="1"/>
  <c r="BE66" i="1"/>
  <c r="BM66" i="1"/>
  <c r="BU66" i="1"/>
  <c r="CC66" i="1"/>
  <c r="AX65" i="1"/>
  <c r="BF65" i="1"/>
  <c r="BN65" i="1"/>
  <c r="BV65" i="1"/>
  <c r="CD65" i="1"/>
  <c r="AX66" i="1"/>
  <c r="BF66" i="1"/>
  <c r="BN66" i="1"/>
  <c r="BV66" i="1"/>
  <c r="CD66" i="1"/>
  <c r="AY65" i="1"/>
  <c r="BG65" i="1"/>
  <c r="BO65" i="1"/>
  <c r="BW65" i="1"/>
  <c r="CE65" i="1"/>
  <c r="AY66" i="1"/>
  <c r="BG66" i="1"/>
  <c r="BO66" i="1"/>
  <c r="BW66" i="1"/>
  <c r="CE66" i="1"/>
  <c r="AH65" i="1"/>
  <c r="AZ65" i="1"/>
  <c r="BH65" i="1"/>
  <c r="BP65" i="1"/>
  <c r="BX65" i="1"/>
  <c r="CF65" i="1"/>
  <c r="AZ66" i="1"/>
  <c r="BH66" i="1"/>
  <c r="BP66" i="1"/>
  <c r="BX66" i="1"/>
  <c r="CF66" i="1"/>
  <c r="BA65" i="1"/>
  <c r="BI65" i="1"/>
  <c r="BQ65" i="1"/>
  <c r="BY65" i="1"/>
  <c r="CG65" i="1"/>
  <c r="BA66" i="1"/>
  <c r="BI66" i="1"/>
  <c r="BQ66" i="1"/>
  <c r="BY66" i="1"/>
  <c r="CG66" i="1"/>
  <c r="BB65" i="1"/>
  <c r="CH65" i="1"/>
  <c r="BB66" i="1"/>
  <c r="BR66" i="1"/>
  <c r="CH66" i="1"/>
  <c r="BJ65" i="1"/>
  <c r="BR65" i="1"/>
  <c r="BZ65" i="1"/>
  <c r="BJ66" i="1"/>
  <c r="BZ66" i="1"/>
  <c r="BC65" i="1"/>
  <c r="BK65" i="1"/>
  <c r="BS65" i="1"/>
  <c r="CA65" i="1"/>
  <c r="BC66" i="1"/>
  <c r="BK66" i="1"/>
  <c r="BS66" i="1"/>
  <c r="CA66" i="1"/>
  <c r="CF69" i="1"/>
  <c r="BX69" i="1"/>
  <c r="BP69" i="1"/>
  <c r="BH69" i="1"/>
  <c r="AZ69" i="1"/>
  <c r="CE69" i="1"/>
  <c r="BW69" i="1"/>
  <c r="BO69" i="1"/>
  <c r="BG69" i="1"/>
  <c r="AY69" i="1"/>
  <c r="CD69" i="1"/>
  <c r="BV69" i="1"/>
  <c r="BN69" i="1"/>
  <c r="BF69" i="1"/>
  <c r="AX69" i="1"/>
  <c r="CC69" i="1"/>
  <c r="BU69" i="1"/>
  <c r="BM69" i="1"/>
  <c r="BE69" i="1"/>
  <c r="CJ69" i="1"/>
  <c r="CB69" i="1"/>
  <c r="BT69" i="1"/>
  <c r="BL69" i="1"/>
  <c r="BD69" i="1"/>
  <c r="CI69" i="1"/>
  <c r="CA69" i="1"/>
  <c r="BS69" i="1"/>
  <c r="BK69" i="1"/>
  <c r="BC69" i="1"/>
  <c r="CH69" i="1"/>
  <c r="BZ69" i="1"/>
  <c r="BR69" i="1"/>
  <c r="BJ69" i="1"/>
  <c r="BB69" i="1"/>
  <c r="CG69" i="1"/>
  <c r="BY69" i="1"/>
  <c r="BQ69" i="1"/>
  <c r="BI69" i="1"/>
  <c r="BA69" i="1"/>
  <c r="CG68" i="1"/>
  <c r="BY68" i="1"/>
  <c r="BQ68" i="1"/>
  <c r="BI68" i="1"/>
  <c r="BA68" i="1"/>
  <c r="BZ68" i="1"/>
  <c r="CF68" i="1"/>
  <c r="BX68" i="1"/>
  <c r="BP68" i="1"/>
  <c r="BH68" i="1"/>
  <c r="AZ68" i="1"/>
  <c r="CE68" i="1"/>
  <c r="BW68" i="1"/>
  <c r="BO68" i="1"/>
  <c r="BG68" i="1"/>
  <c r="AY68" i="1"/>
  <c r="BR68" i="1"/>
  <c r="CD68" i="1"/>
  <c r="BV68" i="1"/>
  <c r="BN68" i="1"/>
  <c r="BF68" i="1"/>
  <c r="AX68" i="1"/>
  <c r="CC68" i="1"/>
  <c r="BU68" i="1"/>
  <c r="BM68" i="1"/>
  <c r="BE68" i="1"/>
  <c r="CJ68" i="1"/>
  <c r="CB68" i="1"/>
  <c r="BT68" i="1"/>
  <c r="BL68" i="1"/>
  <c r="BD68" i="1"/>
  <c r="CH68" i="1"/>
  <c r="BB68" i="1"/>
  <c r="CI68" i="1"/>
  <c r="CA68" i="1"/>
  <c r="BS68" i="1"/>
  <c r="BK68" i="1"/>
  <c r="BC68" i="1"/>
  <c r="BJ68" i="1"/>
  <c r="B11" i="23"/>
  <c r="B14" i="23" s="1"/>
  <c r="D10" i="23"/>
  <c r="C10" i="23"/>
  <c r="A10" i="23"/>
  <c r="B3" i="23"/>
  <c r="H10" i="23" s="1"/>
  <c r="U160" i="1"/>
  <c r="U161" i="1"/>
  <c r="AN161" i="1"/>
  <c r="U162" i="1"/>
  <c r="AN162" i="1"/>
  <c r="U159" i="1"/>
  <c r="AN159" i="1"/>
  <c r="U152" i="1"/>
  <c r="U153" i="1"/>
  <c r="AN153" i="1"/>
  <c r="U154" i="1"/>
  <c r="U151" i="1"/>
  <c r="AN151" i="1"/>
  <c r="U156" i="1"/>
  <c r="U157" i="1"/>
  <c r="U158" i="1"/>
  <c r="U155" i="1"/>
  <c r="U164" i="1"/>
  <c r="U165" i="1"/>
  <c r="AN165" i="1"/>
  <c r="U166" i="1"/>
  <c r="U163" i="1"/>
  <c r="AN163" i="1"/>
  <c r="AO107" i="1"/>
  <c r="AO108" i="1"/>
  <c r="AO109" i="1"/>
  <c r="AO110" i="1"/>
  <c r="AO111" i="1"/>
  <c r="U107" i="1"/>
  <c r="AN107" i="1"/>
  <c r="U108" i="1"/>
  <c r="U109" i="1"/>
  <c r="AN109" i="1"/>
  <c r="U110" i="1"/>
  <c r="U111" i="1"/>
  <c r="AN111" i="1"/>
  <c r="U112" i="1"/>
  <c r="AN112" i="1"/>
  <c r="U113" i="1"/>
  <c r="AN113" i="1"/>
  <c r="U114" i="1"/>
  <c r="AN114" i="1"/>
  <c r="U115" i="1"/>
  <c r="U116" i="1"/>
  <c r="AN116" i="1"/>
  <c r="U117" i="1"/>
  <c r="U118" i="1"/>
  <c r="AN118" i="1"/>
  <c r="U102" i="1"/>
  <c r="AN102" i="1"/>
  <c r="U103" i="1"/>
  <c r="AN103" i="1"/>
  <c r="U104" i="1"/>
  <c r="AN104" i="1"/>
  <c r="U105" i="1"/>
  <c r="U106" i="1"/>
  <c r="U101" i="1"/>
  <c r="V104" i="1"/>
  <c r="AO104" i="1"/>
  <c r="V105" i="1"/>
  <c r="V106" i="1"/>
  <c r="AO106" i="1"/>
  <c r="V101" i="1"/>
  <c r="AO101" i="1"/>
  <c r="V102" i="1"/>
  <c r="AO102" i="1"/>
  <c r="AF59" i="1"/>
  <c r="AF60" i="1"/>
  <c r="AH60" i="1"/>
  <c r="AF61" i="1"/>
  <c r="AH61" i="1"/>
  <c r="AF62" i="1"/>
  <c r="AH62" i="1"/>
  <c r="AF63" i="1"/>
  <c r="AH63" i="1"/>
  <c r="AF64" i="1"/>
  <c r="AG64" i="1"/>
  <c r="AF71" i="1"/>
  <c r="AH71" i="1"/>
  <c r="AF72" i="1"/>
  <c r="AH72" i="1"/>
  <c r="AF73" i="1"/>
  <c r="AF74" i="1"/>
  <c r="AH74" i="1"/>
  <c r="AF75" i="1"/>
  <c r="AF76" i="1"/>
  <c r="AG76" i="1"/>
  <c r="AF81" i="1"/>
  <c r="P81" i="1"/>
  <c r="AF82" i="1"/>
  <c r="AF83" i="1"/>
  <c r="AF84" i="1"/>
  <c r="AF101" i="1"/>
  <c r="AH101" i="1"/>
  <c r="AF102" i="1"/>
  <c r="AF103" i="1"/>
  <c r="AG103" i="1"/>
  <c r="AF104" i="1"/>
  <c r="AG104" i="1"/>
  <c r="AF105" i="1"/>
  <c r="AH105" i="1"/>
  <c r="AF106" i="1"/>
  <c r="AH106" i="1"/>
  <c r="AF107" i="1"/>
  <c r="AH107" i="1"/>
  <c r="AF108" i="1"/>
  <c r="AH108" i="1"/>
  <c r="AF109" i="1"/>
  <c r="AF110" i="1"/>
  <c r="AH110" i="1"/>
  <c r="AF111" i="1"/>
  <c r="AF112" i="1"/>
  <c r="AF113" i="1"/>
  <c r="AH113" i="1"/>
  <c r="AF114" i="1"/>
  <c r="AF115" i="1"/>
  <c r="AH115" i="1"/>
  <c r="AF116" i="1"/>
  <c r="AH116" i="1"/>
  <c r="AF117" i="1"/>
  <c r="AF118" i="1"/>
  <c r="AG118" i="1"/>
  <c r="Z81" i="1"/>
  <c r="AT81" i="1"/>
  <c r="Z82" i="1"/>
  <c r="AT82" i="1"/>
  <c r="Z83" i="1"/>
  <c r="AT83" i="1"/>
  <c r="Z84" i="1"/>
  <c r="BI192" i="7"/>
  <c r="BH192" i="7"/>
  <c r="BG192" i="7"/>
  <c r="BF192" i="7"/>
  <c r="BE192" i="7"/>
  <c r="BD192" i="7"/>
  <c r="BC192" i="7"/>
  <c r="BB192" i="7"/>
  <c r="BA192" i="7"/>
  <c r="AZ192" i="7"/>
  <c r="AY192" i="7"/>
  <c r="AX192" i="7"/>
  <c r="AW192" i="7"/>
  <c r="AV192" i="7"/>
  <c r="AU192" i="7"/>
  <c r="AT192" i="7"/>
  <c r="AS192" i="7"/>
  <c r="AR192" i="7"/>
  <c r="AQ192" i="7"/>
  <c r="AP192" i="7"/>
  <c r="AO192" i="7"/>
  <c r="AN192" i="7"/>
  <c r="AM192" i="7"/>
  <c r="AL192" i="7"/>
  <c r="AK192" i="7"/>
  <c r="AJ192" i="7"/>
  <c r="AI192" i="7"/>
  <c r="AH192" i="7"/>
  <c r="AG192" i="7"/>
  <c r="AF192" i="7"/>
  <c r="AE192" i="7"/>
  <c r="AD192" i="7"/>
  <c r="BI191" i="7"/>
  <c r="BH191" i="7"/>
  <c r="BG191" i="7"/>
  <c r="BF191" i="7"/>
  <c r="BE191" i="7"/>
  <c r="BD191" i="7"/>
  <c r="BC191" i="7"/>
  <c r="BB191" i="7"/>
  <c r="BA191" i="7"/>
  <c r="AZ191" i="7"/>
  <c r="AY191" i="7"/>
  <c r="AX191" i="7"/>
  <c r="AW191" i="7"/>
  <c r="AV191" i="7"/>
  <c r="AU191" i="7"/>
  <c r="AT191" i="7"/>
  <c r="AS191" i="7"/>
  <c r="AR191" i="7"/>
  <c r="AQ191" i="7"/>
  <c r="AP191" i="7"/>
  <c r="AO191" i="7"/>
  <c r="AN191" i="7"/>
  <c r="AM191" i="7"/>
  <c r="AL191" i="7"/>
  <c r="AK191" i="7"/>
  <c r="AJ191" i="7"/>
  <c r="AI191" i="7"/>
  <c r="AH191" i="7"/>
  <c r="AG191" i="7"/>
  <c r="AF191" i="7"/>
  <c r="AE191" i="7"/>
  <c r="AD191" i="7"/>
  <c r="BI190" i="7"/>
  <c r="BH190" i="7"/>
  <c r="BG190" i="7"/>
  <c r="BF190" i="7"/>
  <c r="BE190" i="7"/>
  <c r="BD190" i="7"/>
  <c r="BC190" i="7"/>
  <c r="BB190" i="7"/>
  <c r="BA190" i="7"/>
  <c r="AZ190" i="7"/>
  <c r="AY190" i="7"/>
  <c r="AX190" i="7"/>
  <c r="AW190" i="7"/>
  <c r="AV190" i="7"/>
  <c r="AU190" i="7"/>
  <c r="AT190" i="7"/>
  <c r="AS190" i="7"/>
  <c r="AR190" i="7"/>
  <c r="AQ190" i="7"/>
  <c r="AP190" i="7"/>
  <c r="AO190" i="7"/>
  <c r="AN190" i="7"/>
  <c r="AM190" i="7"/>
  <c r="AL190" i="7"/>
  <c r="AK190" i="7"/>
  <c r="AJ190" i="7"/>
  <c r="AI190" i="7"/>
  <c r="AH190" i="7"/>
  <c r="AG190" i="7"/>
  <c r="AF190" i="7"/>
  <c r="AE190" i="7"/>
  <c r="AD190" i="7"/>
  <c r="BI189" i="7"/>
  <c r="BH189" i="7"/>
  <c r="BG189" i="7"/>
  <c r="BF189" i="7"/>
  <c r="BE189" i="7"/>
  <c r="BD189" i="7"/>
  <c r="BC189" i="7"/>
  <c r="BB189" i="7"/>
  <c r="BA189" i="7"/>
  <c r="AZ189" i="7"/>
  <c r="AY189" i="7"/>
  <c r="AX189" i="7"/>
  <c r="AW189" i="7"/>
  <c r="AV189" i="7"/>
  <c r="AU189" i="7"/>
  <c r="AT189" i="7"/>
  <c r="AS189" i="7"/>
  <c r="AR189" i="7"/>
  <c r="AQ189" i="7"/>
  <c r="AP189" i="7"/>
  <c r="AO189" i="7"/>
  <c r="AN189" i="7"/>
  <c r="AM189" i="7"/>
  <c r="AL189" i="7"/>
  <c r="AK189" i="7"/>
  <c r="AJ189" i="7"/>
  <c r="AI189" i="7"/>
  <c r="AH189" i="7"/>
  <c r="AG189" i="7"/>
  <c r="AF189" i="7"/>
  <c r="AE189" i="7"/>
  <c r="AD189" i="7"/>
  <c r="Q138" i="7"/>
  <c r="Q139" i="7"/>
  <c r="Q140" i="7"/>
  <c r="Q137" i="7"/>
  <c r="P139" i="7"/>
  <c r="P140" i="7"/>
  <c r="P149" i="7"/>
  <c r="P150" i="7"/>
  <c r="P151" i="7"/>
  <c r="P152" i="7"/>
  <c r="P138" i="7"/>
  <c r="P137" i="7"/>
  <c r="Q192" i="7"/>
  <c r="P192" i="7"/>
  <c r="Q191" i="7"/>
  <c r="P191" i="7"/>
  <c r="Q190" i="7"/>
  <c r="P190" i="7"/>
  <c r="Q189" i="7"/>
  <c r="P189" i="7"/>
  <c r="P154" i="7"/>
  <c r="Q154" i="7"/>
  <c r="P155" i="7"/>
  <c r="Q155" i="7"/>
  <c r="P156" i="7"/>
  <c r="Q156" i="7"/>
  <c r="P157" i="7"/>
  <c r="Q157" i="7"/>
  <c r="P158" i="7"/>
  <c r="Q158" i="7"/>
  <c r="P159" i="7"/>
  <c r="Q159" i="7"/>
  <c r="P160" i="7"/>
  <c r="Q160" i="7"/>
  <c r="P161" i="7"/>
  <c r="Q161" i="7"/>
  <c r="P162" i="7"/>
  <c r="Q162" i="7"/>
  <c r="P163" i="7"/>
  <c r="Q163" i="7"/>
  <c r="P164" i="7"/>
  <c r="Q164" i="7"/>
  <c r="Q153" i="7"/>
  <c r="P153" i="7"/>
  <c r="B43" i="23"/>
  <c r="B42" i="23"/>
  <c r="B28" i="23"/>
  <c r="B27" i="23"/>
  <c r="C138" i="7"/>
  <c r="C139" i="7"/>
  <c r="C140" i="7"/>
  <c r="C149" i="7"/>
  <c r="C150" i="7"/>
  <c r="C151" i="7"/>
  <c r="C152" i="7"/>
  <c r="C153" i="7"/>
  <c r="C154" i="7"/>
  <c r="C155" i="7"/>
  <c r="C156" i="7"/>
  <c r="C157" i="7"/>
  <c r="C158" i="7"/>
  <c r="C159" i="7"/>
  <c r="C160" i="7"/>
  <c r="C161" i="7"/>
  <c r="C162" i="7"/>
  <c r="C163" i="7"/>
  <c r="C164" i="7"/>
  <c r="C189" i="7"/>
  <c r="C190" i="7"/>
  <c r="C191" i="7"/>
  <c r="C192" i="7"/>
  <c r="C193" i="7"/>
  <c r="C194" i="7"/>
  <c r="C195" i="7"/>
  <c r="C196" i="7"/>
  <c r="C197" i="7"/>
  <c r="C198" i="7"/>
  <c r="C205" i="7"/>
  <c r="C206" i="7"/>
  <c r="C207" i="7"/>
  <c r="C208" i="7"/>
  <c r="C209" i="7"/>
  <c r="C210" i="7"/>
  <c r="C223" i="7"/>
  <c r="C224" i="7"/>
  <c r="C225" i="7"/>
  <c r="C226" i="7"/>
  <c r="C235" i="7"/>
  <c r="C236" i="7"/>
  <c r="C238" i="7"/>
  <c r="C239" i="7"/>
  <c r="C240" i="7"/>
  <c r="C241" i="7"/>
  <c r="C242" i="7"/>
  <c r="C243" i="7"/>
  <c r="C244" i="7"/>
  <c r="C245" i="7"/>
  <c r="C246" i="7"/>
  <c r="C247" i="7"/>
  <c r="C248" i="7"/>
  <c r="C249" i="7"/>
  <c r="C250" i="7"/>
  <c r="C251" i="7"/>
  <c r="C252" i="7"/>
  <c r="C253" i="7"/>
  <c r="C286" i="7"/>
  <c r="C287" i="7"/>
  <c r="C288" i="7"/>
  <c r="C289" i="7"/>
  <c r="C290" i="7"/>
  <c r="C291" i="7"/>
  <c r="C292" i="7"/>
  <c r="C293" i="7"/>
  <c r="C294" i="7"/>
  <c r="C295" i="7"/>
  <c r="C296" i="7"/>
  <c r="C297" i="7"/>
  <c r="C298" i="7"/>
  <c r="C299" i="7"/>
  <c r="C300" i="7"/>
  <c r="C137" i="7"/>
  <c r="B44" i="23"/>
  <c r="D40" i="23"/>
  <c r="C40" i="23"/>
  <c r="A40" i="23"/>
  <c r="B33" i="23"/>
  <c r="H40" i="23" s="1"/>
  <c r="B29" i="23"/>
  <c r="B18" i="23"/>
  <c r="H25" i="23" s="1"/>
  <c r="D25" i="23"/>
  <c r="C25" i="23"/>
  <c r="A25" i="23"/>
  <c r="R138" i="7"/>
  <c r="R139" i="7"/>
  <c r="R140" i="7"/>
  <c r="R149" i="7"/>
  <c r="R150" i="7"/>
  <c r="R151" i="7"/>
  <c r="R152" i="7"/>
  <c r="R153" i="7"/>
  <c r="R154" i="7"/>
  <c r="R155" i="7"/>
  <c r="R156" i="7"/>
  <c r="R157" i="7"/>
  <c r="R158" i="7"/>
  <c r="R159" i="7"/>
  <c r="R160" i="7"/>
  <c r="R161" i="7"/>
  <c r="R162" i="7"/>
  <c r="R163" i="7"/>
  <c r="R164" i="7"/>
  <c r="R189" i="7"/>
  <c r="R190" i="7"/>
  <c r="R191" i="7"/>
  <c r="R192" i="7"/>
  <c r="R193" i="7"/>
  <c r="R194" i="7"/>
  <c r="R195" i="7"/>
  <c r="R196" i="7"/>
  <c r="R197" i="7"/>
  <c r="R198" i="7"/>
  <c r="R205" i="7"/>
  <c r="R206" i="7"/>
  <c r="R207" i="7"/>
  <c r="R208" i="7"/>
  <c r="R209" i="7"/>
  <c r="R210" i="7"/>
  <c r="R223" i="7"/>
  <c r="R224" i="7"/>
  <c r="R225" i="7"/>
  <c r="R226" i="7"/>
  <c r="R235" i="7"/>
  <c r="R236" i="7"/>
  <c r="R237" i="7"/>
  <c r="R238" i="7"/>
  <c r="R239" i="7"/>
  <c r="R240" i="7"/>
  <c r="R241" i="7"/>
  <c r="R242" i="7"/>
  <c r="R243" i="7"/>
  <c r="R244" i="7"/>
  <c r="R245" i="7"/>
  <c r="R246" i="7"/>
  <c r="R247" i="7"/>
  <c r="R248" i="7"/>
  <c r="R249" i="7"/>
  <c r="R250" i="7"/>
  <c r="R251" i="7"/>
  <c r="R252" i="7"/>
  <c r="R253" i="7"/>
  <c r="R286" i="7"/>
  <c r="R287" i="7"/>
  <c r="R288" i="7"/>
  <c r="R289" i="7"/>
  <c r="R290" i="7"/>
  <c r="R291" i="7"/>
  <c r="R292" i="7"/>
  <c r="R293" i="7"/>
  <c r="R294" i="7"/>
  <c r="R295" i="7"/>
  <c r="R296" i="7"/>
  <c r="R297" i="7"/>
  <c r="R298" i="7"/>
  <c r="R299" i="7"/>
  <c r="R300" i="7"/>
  <c r="R137" i="7"/>
  <c r="F189" i="7"/>
  <c r="G189" i="7"/>
  <c r="F190" i="7"/>
  <c r="G190" i="7"/>
  <c r="F191" i="7"/>
  <c r="G191" i="7"/>
  <c r="F192" i="7"/>
  <c r="G192" i="7"/>
  <c r="F193" i="7"/>
  <c r="G193" i="7"/>
  <c r="F194" i="7"/>
  <c r="G194" i="7"/>
  <c r="F195" i="7"/>
  <c r="G195" i="7"/>
  <c r="F196" i="7"/>
  <c r="G196" i="7"/>
  <c r="F197" i="7"/>
  <c r="G197" i="7"/>
  <c r="F198" i="7"/>
  <c r="G198" i="7"/>
  <c r="F205" i="7"/>
  <c r="G205" i="7"/>
  <c r="F206" i="7"/>
  <c r="G206" i="7"/>
  <c r="F207" i="7"/>
  <c r="G207" i="7"/>
  <c r="F208" i="7"/>
  <c r="G208" i="7"/>
  <c r="F209" i="7"/>
  <c r="G209" i="7"/>
  <c r="F210" i="7"/>
  <c r="G210" i="7"/>
  <c r="F223" i="7"/>
  <c r="G223" i="7"/>
  <c r="F224" i="7"/>
  <c r="G224" i="7"/>
  <c r="F225" i="7"/>
  <c r="G225" i="7"/>
  <c r="F226" i="7"/>
  <c r="G226"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F253" i="7"/>
  <c r="G253" i="7"/>
  <c r="F286" i="7"/>
  <c r="G286" i="7"/>
  <c r="F287" i="7"/>
  <c r="G287" i="7"/>
  <c r="F288" i="7"/>
  <c r="G288" i="7"/>
  <c r="F289" i="7"/>
  <c r="G289" i="7"/>
  <c r="F290" i="7"/>
  <c r="G290" i="7"/>
  <c r="F291" i="7"/>
  <c r="G291" i="7"/>
  <c r="F292" i="7"/>
  <c r="G292" i="7"/>
  <c r="F293" i="7"/>
  <c r="G293" i="7"/>
  <c r="F294" i="7"/>
  <c r="G294" i="7"/>
  <c r="F295" i="7"/>
  <c r="G295" i="7"/>
  <c r="F296" i="7"/>
  <c r="G296" i="7"/>
  <c r="F297" i="7"/>
  <c r="G297" i="7"/>
  <c r="F298" i="7"/>
  <c r="G298" i="7"/>
  <c r="F299" i="7"/>
  <c r="G299" i="7"/>
  <c r="F300" i="7"/>
  <c r="G300" i="7"/>
  <c r="F138" i="7"/>
  <c r="G138" i="7"/>
  <c r="F139" i="7"/>
  <c r="G139" i="7"/>
  <c r="F140" i="7"/>
  <c r="G140"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G137" i="7"/>
  <c r="F137" i="7"/>
  <c r="S190" i="7"/>
  <c r="U190" i="7"/>
  <c r="V190" i="7"/>
  <c r="W190" i="7"/>
  <c r="X190" i="7"/>
  <c r="Y190" i="7"/>
  <c r="Z190" i="7"/>
  <c r="AA190" i="7"/>
  <c r="AB190" i="7"/>
  <c r="AC190" i="7"/>
  <c r="BJ190" i="7"/>
  <c r="BK190" i="7"/>
  <c r="BL190" i="7"/>
  <c r="S191" i="7"/>
  <c r="U191" i="7"/>
  <c r="V191" i="7"/>
  <c r="W191" i="7"/>
  <c r="X191" i="7"/>
  <c r="Y191" i="7"/>
  <c r="Z191" i="7"/>
  <c r="AA191" i="7"/>
  <c r="AB191" i="7"/>
  <c r="AC191" i="7"/>
  <c r="BJ191" i="7"/>
  <c r="BK191" i="7"/>
  <c r="BL191" i="7"/>
  <c r="S192" i="7"/>
  <c r="U192" i="7"/>
  <c r="V192" i="7"/>
  <c r="W192" i="7"/>
  <c r="X192" i="7"/>
  <c r="Y192" i="7"/>
  <c r="Z192" i="7"/>
  <c r="AA192" i="7"/>
  <c r="AB192" i="7"/>
  <c r="AC192" i="7"/>
  <c r="BJ192" i="7"/>
  <c r="BK192" i="7"/>
  <c r="BL192" i="7"/>
  <c r="BK189" i="7"/>
  <c r="BL189" i="7"/>
  <c r="BJ189" i="7"/>
  <c r="U189" i="7"/>
  <c r="V189" i="7"/>
  <c r="W189" i="7"/>
  <c r="X189" i="7"/>
  <c r="Y189" i="7"/>
  <c r="Z189" i="7"/>
  <c r="AA189" i="7"/>
  <c r="AB189" i="7"/>
  <c r="AC189" i="7"/>
  <c r="S189" i="7"/>
  <c r="O194" i="7"/>
  <c r="O195" i="7"/>
  <c r="O196" i="7"/>
  <c r="O197" i="7"/>
  <c r="O198" i="7"/>
  <c r="O205" i="7"/>
  <c r="O206" i="7"/>
  <c r="O207" i="7"/>
  <c r="O208" i="7"/>
  <c r="O209" i="7"/>
  <c r="O210" i="7"/>
  <c r="O223" i="7"/>
  <c r="O224" i="7"/>
  <c r="O225" i="7"/>
  <c r="O226" i="7"/>
  <c r="O235" i="7"/>
  <c r="O236" i="7"/>
  <c r="O237" i="7"/>
  <c r="O238" i="7"/>
  <c r="O239" i="7"/>
  <c r="O240" i="7"/>
  <c r="O241" i="7"/>
  <c r="O242" i="7"/>
  <c r="O243" i="7"/>
  <c r="O244" i="7"/>
  <c r="O245" i="7"/>
  <c r="O246" i="7"/>
  <c r="O247" i="7"/>
  <c r="O248" i="7"/>
  <c r="O249" i="7"/>
  <c r="O250" i="7"/>
  <c r="O251" i="7"/>
  <c r="O252" i="7"/>
  <c r="O253" i="7"/>
  <c r="O286" i="7"/>
  <c r="O287" i="7"/>
  <c r="O288" i="7"/>
  <c r="O289" i="7"/>
  <c r="O290" i="7"/>
  <c r="O291" i="7"/>
  <c r="O292" i="7"/>
  <c r="O293" i="7"/>
  <c r="O294" i="7"/>
  <c r="O295" i="7"/>
  <c r="O296" i="7"/>
  <c r="O297" i="7"/>
  <c r="O298" i="7"/>
  <c r="O299" i="7"/>
  <c r="O300" i="7"/>
  <c r="O193" i="7"/>
  <c r="O138" i="7"/>
  <c r="O139" i="7"/>
  <c r="O140" i="7"/>
  <c r="O149" i="7"/>
  <c r="O150" i="7"/>
  <c r="O151" i="7"/>
  <c r="O152" i="7"/>
  <c r="O153" i="7"/>
  <c r="O154" i="7"/>
  <c r="O155" i="7"/>
  <c r="O156" i="7"/>
  <c r="O157" i="7"/>
  <c r="O158" i="7"/>
  <c r="O159" i="7"/>
  <c r="O160" i="7"/>
  <c r="O161" i="7"/>
  <c r="O162" i="7"/>
  <c r="O163" i="7"/>
  <c r="O164" i="7"/>
  <c r="O137" i="7"/>
  <c r="M194" i="7"/>
  <c r="M195" i="7"/>
  <c r="M196" i="7"/>
  <c r="M197" i="7"/>
  <c r="M198" i="7"/>
  <c r="M205" i="7"/>
  <c r="M206" i="7"/>
  <c r="M207" i="7"/>
  <c r="M208" i="7"/>
  <c r="M209" i="7"/>
  <c r="M210" i="7"/>
  <c r="M223" i="7"/>
  <c r="M224" i="7"/>
  <c r="M225" i="7"/>
  <c r="M226" i="7"/>
  <c r="M235" i="7"/>
  <c r="M236" i="7"/>
  <c r="M237" i="7"/>
  <c r="M238" i="7"/>
  <c r="M239" i="7"/>
  <c r="M240" i="7"/>
  <c r="M241" i="7"/>
  <c r="M242" i="7"/>
  <c r="M243" i="7"/>
  <c r="M244" i="7"/>
  <c r="M245" i="7"/>
  <c r="M246" i="7"/>
  <c r="M247" i="7"/>
  <c r="M248" i="7"/>
  <c r="M249" i="7"/>
  <c r="M250" i="7"/>
  <c r="M251" i="7"/>
  <c r="M252" i="7"/>
  <c r="M253" i="7"/>
  <c r="M286" i="7"/>
  <c r="M287" i="7"/>
  <c r="M288" i="7"/>
  <c r="M289" i="7"/>
  <c r="M290" i="7"/>
  <c r="M291" i="7"/>
  <c r="M292" i="7"/>
  <c r="M293" i="7"/>
  <c r="M294" i="7"/>
  <c r="M295" i="7"/>
  <c r="M296" i="7"/>
  <c r="M297" i="7"/>
  <c r="M298" i="7"/>
  <c r="M299" i="7"/>
  <c r="M300" i="7"/>
  <c r="M193" i="7"/>
  <c r="M138" i="7"/>
  <c r="M139" i="7"/>
  <c r="M140" i="7"/>
  <c r="M149" i="7"/>
  <c r="M150" i="7"/>
  <c r="M151" i="7"/>
  <c r="M152" i="7"/>
  <c r="M153" i="7"/>
  <c r="M154" i="7"/>
  <c r="M155" i="7"/>
  <c r="M156" i="7"/>
  <c r="M157" i="7"/>
  <c r="M158" i="7"/>
  <c r="M159" i="7"/>
  <c r="M160" i="7"/>
  <c r="M161" i="7"/>
  <c r="M162" i="7"/>
  <c r="M163" i="7"/>
  <c r="M164" i="7"/>
  <c r="M137" i="7"/>
  <c r="BJ138" i="7"/>
  <c r="BK138" i="7"/>
  <c r="BL138" i="7"/>
  <c r="BJ139" i="7"/>
  <c r="BK139" i="7"/>
  <c r="BL139" i="7"/>
  <c r="BJ140" i="7"/>
  <c r="BK140" i="7"/>
  <c r="BL140" i="7"/>
  <c r="BJ149" i="7"/>
  <c r="BK149" i="7"/>
  <c r="BL149" i="7"/>
  <c r="BJ150" i="7"/>
  <c r="BK150" i="7"/>
  <c r="BL150" i="7"/>
  <c r="BJ151" i="7"/>
  <c r="BK151" i="7"/>
  <c r="BL151" i="7"/>
  <c r="BJ152" i="7"/>
  <c r="BK152" i="7"/>
  <c r="BL152" i="7"/>
  <c r="BJ153" i="7"/>
  <c r="BK153" i="7"/>
  <c r="BL153" i="7"/>
  <c r="BJ154" i="7"/>
  <c r="BK154" i="7"/>
  <c r="BL154" i="7"/>
  <c r="BJ155" i="7"/>
  <c r="BK155" i="7"/>
  <c r="BL155" i="7"/>
  <c r="BJ156" i="7"/>
  <c r="BK156" i="7"/>
  <c r="BL156" i="7"/>
  <c r="BJ157" i="7"/>
  <c r="BK157" i="7"/>
  <c r="BL157" i="7"/>
  <c r="BJ158" i="7"/>
  <c r="BK158" i="7"/>
  <c r="BL158" i="7"/>
  <c r="BJ159" i="7"/>
  <c r="BK159" i="7"/>
  <c r="BL159" i="7"/>
  <c r="BJ160" i="7"/>
  <c r="BK160" i="7"/>
  <c r="BL160" i="7"/>
  <c r="BJ161" i="7"/>
  <c r="BK161" i="7"/>
  <c r="BL161" i="7"/>
  <c r="BJ162" i="7"/>
  <c r="BK162" i="7"/>
  <c r="BL162" i="7"/>
  <c r="BJ163" i="7"/>
  <c r="BK163" i="7"/>
  <c r="BL163" i="7"/>
  <c r="BJ164" i="7"/>
  <c r="BK164" i="7"/>
  <c r="BL164" i="7"/>
  <c r="BJ137" i="7"/>
  <c r="BK137" i="7"/>
  <c r="BL137" i="7"/>
  <c r="O189" i="7"/>
  <c r="O190" i="7"/>
  <c r="O191" i="7"/>
  <c r="O192" i="7"/>
  <c r="M189" i="7"/>
  <c r="M190" i="7"/>
  <c r="M191" i="7"/>
  <c r="M192" i="7"/>
  <c r="E192" i="7"/>
  <c r="E191" i="7"/>
  <c r="E190" i="7"/>
  <c r="E189" i="7"/>
  <c r="D252" i="7"/>
  <c r="D251" i="7"/>
  <c r="D250" i="7"/>
  <c r="D249" i="7"/>
  <c r="D248" i="7"/>
  <c r="D247" i="7"/>
  <c r="D246" i="7"/>
  <c r="D245" i="7"/>
  <c r="D244" i="7"/>
  <c r="D243" i="7"/>
  <c r="D242" i="7"/>
  <c r="D241" i="7"/>
  <c r="D240" i="7"/>
  <c r="D239" i="7"/>
  <c r="D238" i="7"/>
  <c r="D237" i="7"/>
  <c r="D236" i="7"/>
  <c r="D235" i="7"/>
  <c r="D210" i="7"/>
  <c r="D209" i="7"/>
  <c r="D208" i="7"/>
  <c r="D207" i="7"/>
  <c r="D206" i="7"/>
  <c r="D205" i="7"/>
  <c r="D198" i="7"/>
  <c r="D197" i="7"/>
  <c r="D196" i="7"/>
  <c r="D195" i="7"/>
  <c r="D194" i="7"/>
  <c r="D193" i="7"/>
  <c r="D192" i="7"/>
  <c r="D191" i="7"/>
  <c r="D190" i="7"/>
  <c r="D189" i="7"/>
  <c r="D164" i="7"/>
  <c r="D163" i="7"/>
  <c r="D162" i="7"/>
  <c r="D161" i="7"/>
  <c r="D160" i="7"/>
  <c r="D159" i="7"/>
  <c r="D158" i="7"/>
  <c r="D157" i="7"/>
  <c r="D156" i="7"/>
  <c r="D155" i="7"/>
  <c r="D154" i="7"/>
  <c r="D153" i="7"/>
  <c r="D152" i="7"/>
  <c r="D151" i="7"/>
  <c r="D150" i="7"/>
  <c r="D149" i="7"/>
  <c r="D140" i="7"/>
  <c r="D139" i="7"/>
  <c r="D138" i="7"/>
  <c r="D137" i="7"/>
  <c r="B252" i="7"/>
  <c r="B251" i="7"/>
  <c r="B250" i="7"/>
  <c r="B249" i="7"/>
  <c r="B248" i="7"/>
  <c r="B247" i="7"/>
  <c r="B246" i="7"/>
  <c r="B245" i="7"/>
  <c r="B244" i="7"/>
  <c r="B243" i="7"/>
  <c r="B242" i="7"/>
  <c r="B241" i="7"/>
  <c r="B240" i="7"/>
  <c r="B239" i="7"/>
  <c r="B238" i="7"/>
  <c r="B237" i="7"/>
  <c r="B236" i="7"/>
  <c r="B235" i="7"/>
  <c r="B210" i="7"/>
  <c r="B209" i="7"/>
  <c r="B208" i="7"/>
  <c r="B207" i="7"/>
  <c r="B206" i="7"/>
  <c r="B205" i="7"/>
  <c r="B198" i="7"/>
  <c r="B197" i="7"/>
  <c r="B196" i="7"/>
  <c r="B195" i="7"/>
  <c r="B194" i="7"/>
  <c r="B193" i="7"/>
  <c r="B192" i="7"/>
  <c r="B191" i="7"/>
  <c r="B190" i="7"/>
  <c r="B189" i="7"/>
  <c r="B164" i="7"/>
  <c r="B163" i="7"/>
  <c r="B162" i="7"/>
  <c r="B161" i="7"/>
  <c r="B160" i="7"/>
  <c r="B159" i="7"/>
  <c r="B158" i="7"/>
  <c r="B157" i="7"/>
  <c r="B156" i="7"/>
  <c r="B155" i="7"/>
  <c r="B154" i="7"/>
  <c r="B153" i="7"/>
  <c r="B152" i="7"/>
  <c r="B151" i="7"/>
  <c r="B150" i="7"/>
  <c r="B149" i="7"/>
  <c r="B140" i="7"/>
  <c r="B139" i="7"/>
  <c r="B138" i="7"/>
  <c r="B137" i="7"/>
  <c r="AO4" i="1"/>
  <c r="AO5" i="1"/>
  <c r="AO6" i="1"/>
  <c r="AO15" i="1"/>
  <c r="AO16" i="1"/>
  <c r="AO17" i="1"/>
  <c r="AO18" i="1"/>
  <c r="AO19" i="1"/>
  <c r="AO20" i="1"/>
  <c r="AO21" i="1"/>
  <c r="AO22" i="1"/>
  <c r="AO23" i="1"/>
  <c r="AO24" i="1"/>
  <c r="AO25" i="1"/>
  <c r="AO26" i="1"/>
  <c r="AO27" i="1"/>
  <c r="AO28" i="1"/>
  <c r="AO29" i="1"/>
  <c r="AO30" i="1"/>
  <c r="AO55" i="1"/>
  <c r="AO56" i="1"/>
  <c r="AO57" i="1"/>
  <c r="AO58" i="1"/>
  <c r="AO59" i="1"/>
  <c r="AO60" i="1"/>
  <c r="AO61" i="1"/>
  <c r="AO62" i="1"/>
  <c r="AO63" i="1"/>
  <c r="AO64" i="1"/>
  <c r="AO71" i="1"/>
  <c r="AO72" i="1"/>
  <c r="AO73" i="1"/>
  <c r="AO74" i="1"/>
  <c r="AO75" i="1"/>
  <c r="AO76" i="1"/>
  <c r="AO81" i="1"/>
  <c r="AO82" i="1"/>
  <c r="AO83" i="1"/>
  <c r="AO84" i="1"/>
  <c r="AO112" i="1"/>
  <c r="AO113" i="1"/>
  <c r="AO114" i="1"/>
  <c r="AO116" i="1"/>
  <c r="AO117" i="1"/>
  <c r="AO118" i="1"/>
  <c r="AO151" i="1"/>
  <c r="AO152" i="1"/>
  <c r="AO153" i="1"/>
  <c r="AO154" i="1"/>
  <c r="AO159" i="1"/>
  <c r="AO160" i="1"/>
  <c r="AO161" i="1"/>
  <c r="AO162" i="1"/>
  <c r="AO163" i="1"/>
  <c r="AO164" i="1"/>
  <c r="AO165" i="1"/>
  <c r="AO166" i="1"/>
  <c r="AO3" i="1"/>
  <c r="AL56" i="1"/>
  <c r="AL57" i="1"/>
  <c r="AL58" i="1"/>
  <c r="AL55" i="1"/>
  <c r="Z4" i="1"/>
  <c r="AT4" i="1"/>
  <c r="Z5" i="1"/>
  <c r="AT5" i="1"/>
  <c r="Z6" i="1"/>
  <c r="AT6" i="1"/>
  <c r="Z15" i="1"/>
  <c r="Z16" i="1"/>
  <c r="Z17" i="1"/>
  <c r="Z18" i="1"/>
  <c r="Z19" i="1"/>
  <c r="AT19" i="1"/>
  <c r="Z20" i="1"/>
  <c r="AT20" i="1"/>
  <c r="Z21" i="1"/>
  <c r="Z22" i="1"/>
  <c r="Z23" i="1"/>
  <c r="AT23" i="1"/>
  <c r="Z24" i="1"/>
  <c r="Z25" i="1"/>
  <c r="Z26" i="1"/>
  <c r="AT26" i="1"/>
  <c r="Z27" i="1"/>
  <c r="AT27" i="1"/>
  <c r="Z28" i="1"/>
  <c r="Z29" i="1"/>
  <c r="AT29" i="1"/>
  <c r="Z30" i="1"/>
  <c r="AT30" i="1"/>
  <c r="Z55" i="1"/>
  <c r="AT55" i="1"/>
  <c r="Z56" i="1"/>
  <c r="AT56" i="1"/>
  <c r="Z57" i="1"/>
  <c r="Z58" i="1"/>
  <c r="AT58" i="1"/>
  <c r="Z59" i="1"/>
  <c r="Z60" i="1"/>
  <c r="Z61" i="1"/>
  <c r="Z62" i="1"/>
  <c r="Z63" i="1"/>
  <c r="Z64" i="1"/>
  <c r="Z71" i="1"/>
  <c r="Z72" i="1"/>
  <c r="Z73" i="1"/>
  <c r="Z74" i="1"/>
  <c r="Z75" i="1"/>
  <c r="Z76" i="1"/>
  <c r="Z101" i="1"/>
  <c r="Z102" i="1"/>
  <c r="Z103" i="1"/>
  <c r="Z104" i="1"/>
  <c r="Z105" i="1"/>
  <c r="Z106" i="1"/>
  <c r="Z107" i="1"/>
  <c r="Z108" i="1"/>
  <c r="Z109" i="1"/>
  <c r="Z110" i="1"/>
  <c r="Z111" i="1"/>
  <c r="Z112" i="1"/>
  <c r="Z113" i="1"/>
  <c r="Z114" i="1"/>
  <c r="Z115" i="1"/>
  <c r="Z116" i="1"/>
  <c r="Z117" i="1"/>
  <c r="Z118" i="1"/>
  <c r="Z151" i="1"/>
  <c r="AT151" i="1"/>
  <c r="Z152" i="1"/>
  <c r="AT152" i="1"/>
  <c r="Z153" i="1"/>
  <c r="AT153" i="1"/>
  <c r="Z154" i="1"/>
  <c r="AT154" i="1"/>
  <c r="Z155" i="1"/>
  <c r="AT155" i="1"/>
  <c r="Z156" i="1"/>
  <c r="AT156" i="1"/>
  <c r="Z157" i="1"/>
  <c r="AT157" i="1"/>
  <c r="Z158" i="1"/>
  <c r="AT158" i="1"/>
  <c r="Z159" i="1"/>
  <c r="AT159" i="1"/>
  <c r="Z160" i="1"/>
  <c r="AT160" i="1"/>
  <c r="Z161" i="1"/>
  <c r="AT161" i="1"/>
  <c r="Z162" i="1"/>
  <c r="AT162" i="1"/>
  <c r="Z163" i="1"/>
  <c r="AT163" i="1"/>
  <c r="Z164" i="1"/>
  <c r="AT164" i="1"/>
  <c r="Z165" i="1"/>
  <c r="AT165" i="1"/>
  <c r="Z166" i="1"/>
  <c r="AT166" i="1"/>
  <c r="Z3" i="1"/>
  <c r="AS15" i="1"/>
  <c r="AS16" i="1"/>
  <c r="AS17" i="1"/>
  <c r="AS18" i="1"/>
  <c r="AS59" i="1"/>
  <c r="AS60" i="1"/>
  <c r="AS61" i="1"/>
  <c r="AS62" i="1"/>
  <c r="AS63" i="1"/>
  <c r="AS64" i="1"/>
  <c r="AS71" i="1"/>
  <c r="AS72" i="1"/>
  <c r="AS73" i="1"/>
  <c r="AS74" i="1"/>
  <c r="AS75" i="1"/>
  <c r="AS76" i="1"/>
  <c r="AS101" i="1"/>
  <c r="AS102" i="1"/>
  <c r="AS103" i="1"/>
  <c r="AS104" i="1"/>
  <c r="AS105" i="1"/>
  <c r="AS106" i="1"/>
  <c r="AS107" i="1"/>
  <c r="AS108" i="1"/>
  <c r="AS109" i="1"/>
  <c r="AS110" i="1"/>
  <c r="AS111" i="1"/>
  <c r="AS112" i="1"/>
  <c r="AS113" i="1"/>
  <c r="AS114" i="1"/>
  <c r="AS115" i="1"/>
  <c r="AS116" i="1"/>
  <c r="AS117" i="1"/>
  <c r="AS118" i="1"/>
  <c r="AN81" i="1"/>
  <c r="U84" i="1"/>
  <c r="AN84" i="1"/>
  <c r="AN101" i="1"/>
  <c r="AN105" i="1"/>
  <c r="AN108" i="1"/>
  <c r="U71" i="1"/>
  <c r="AN71" i="1"/>
  <c r="U73" i="1"/>
  <c r="AN73" i="1"/>
  <c r="U61" i="1"/>
  <c r="U64" i="1"/>
  <c r="AN64" i="1"/>
  <c r="K201" i="7"/>
  <c r="AF151" i="1"/>
  <c r="AF152" i="1"/>
  <c r="AF153" i="1"/>
  <c r="AF154" i="1"/>
  <c r="AF155" i="1"/>
  <c r="AF156" i="1"/>
  <c r="AF157" i="1"/>
  <c r="AF158" i="1"/>
  <c r="AF159" i="1"/>
  <c r="AF160" i="1"/>
  <c r="AF161" i="1"/>
  <c r="AF162" i="1"/>
  <c r="AF163" i="1"/>
  <c r="AF164" i="1"/>
  <c r="AF165" i="1"/>
  <c r="AF166" i="1"/>
  <c r="P166" i="1"/>
  <c r="AP59" i="1"/>
  <c r="AP60" i="1"/>
  <c r="AP61" i="1"/>
  <c r="AP62" i="1"/>
  <c r="AP63" i="1"/>
  <c r="AP64" i="1"/>
  <c r="AP71" i="1"/>
  <c r="AP72" i="1"/>
  <c r="AP73" i="1"/>
  <c r="AP74" i="1"/>
  <c r="AP75" i="1"/>
  <c r="AP76" i="1"/>
  <c r="AP102" i="1"/>
  <c r="AP103" i="1"/>
  <c r="AP104" i="1"/>
  <c r="AP105" i="1"/>
  <c r="AP106" i="1"/>
  <c r="AP107" i="1"/>
  <c r="AP108" i="1"/>
  <c r="AP110" i="1"/>
  <c r="AP111" i="1"/>
  <c r="AP112" i="1"/>
  <c r="AP113" i="1"/>
  <c r="AP114" i="1"/>
  <c r="AP115" i="1"/>
  <c r="AP117" i="1"/>
  <c r="AP118" i="1"/>
  <c r="AP166" i="1"/>
  <c r="AP160" i="1"/>
  <c r="AP158" i="1"/>
  <c r="AP82" i="1"/>
  <c r="AP81" i="1"/>
  <c r="AP58" i="1"/>
  <c r="AP28" i="1"/>
  <c r="AP24" i="1"/>
  <c r="AP6" i="1"/>
  <c r="U4" i="1"/>
  <c r="AN4" i="1"/>
  <c r="U5" i="1"/>
  <c r="AN5" i="1"/>
  <c r="U6" i="1"/>
  <c r="AN6" i="1"/>
  <c r="U15" i="1"/>
  <c r="AN15" i="1"/>
  <c r="U16" i="1"/>
  <c r="AN16" i="1"/>
  <c r="U17" i="1"/>
  <c r="AN17" i="1"/>
  <c r="U18" i="1"/>
  <c r="AN18" i="1"/>
  <c r="U19" i="1"/>
  <c r="AN19" i="1"/>
  <c r="U20" i="1"/>
  <c r="AN20" i="1"/>
  <c r="U21" i="1"/>
  <c r="AN21" i="1"/>
  <c r="U22" i="1"/>
  <c r="AN22" i="1"/>
  <c r="U23" i="1"/>
  <c r="P23" i="1"/>
  <c r="U24" i="1"/>
  <c r="AN24" i="1"/>
  <c r="U25" i="1"/>
  <c r="AN25" i="1"/>
  <c r="U26" i="1"/>
  <c r="AN26" i="1"/>
  <c r="U27" i="1"/>
  <c r="AN27" i="1"/>
  <c r="U28" i="1"/>
  <c r="AN28" i="1"/>
  <c r="U29" i="1"/>
  <c r="AN29" i="1"/>
  <c r="U30" i="1"/>
  <c r="AN30" i="1"/>
  <c r="U55" i="1"/>
  <c r="AN55" i="1"/>
  <c r="U56" i="1"/>
  <c r="AN56" i="1"/>
  <c r="U57" i="1"/>
  <c r="AN57" i="1"/>
  <c r="U58" i="1"/>
  <c r="AN58" i="1"/>
  <c r="U60" i="1"/>
  <c r="AN60" i="1"/>
  <c r="U62" i="1"/>
  <c r="AN62" i="1"/>
  <c r="U63" i="1"/>
  <c r="AN63" i="1"/>
  <c r="U72" i="1"/>
  <c r="AN72" i="1"/>
  <c r="U74" i="1"/>
  <c r="AN74" i="1"/>
  <c r="U75" i="1"/>
  <c r="U76" i="1"/>
  <c r="AN76" i="1"/>
  <c r="U82" i="1"/>
  <c r="U83" i="1"/>
  <c r="AN83" i="1"/>
  <c r="AN106" i="1"/>
  <c r="AN110" i="1"/>
  <c r="AN152" i="1"/>
  <c r="AN154" i="1"/>
  <c r="AN166" i="1"/>
  <c r="U3" i="1"/>
  <c r="AN3" i="1"/>
  <c r="L154" i="1"/>
  <c r="L153" i="1"/>
  <c r="L152" i="1"/>
  <c r="L151" i="1"/>
  <c r="L4" i="1"/>
  <c r="L5" i="1"/>
  <c r="L6" i="1"/>
  <c r="L15" i="1"/>
  <c r="L16" i="1"/>
  <c r="L17" i="1"/>
  <c r="L18" i="1"/>
  <c r="L19" i="1"/>
  <c r="L20" i="1"/>
  <c r="L21" i="1"/>
  <c r="L22" i="1"/>
  <c r="L23" i="1"/>
  <c r="L24" i="1"/>
  <c r="L25" i="1"/>
  <c r="L26" i="1"/>
  <c r="L27" i="1"/>
  <c r="L28" i="1"/>
  <c r="L29" i="1"/>
  <c r="L30" i="1"/>
  <c r="L55" i="1"/>
  <c r="AK55" i="1"/>
  <c r="L56" i="1"/>
  <c r="AK56" i="1"/>
  <c r="L57" i="1"/>
  <c r="AK57" i="1"/>
  <c r="L58" i="1"/>
  <c r="AK58" i="1"/>
  <c r="L59" i="1"/>
  <c r="L60" i="1"/>
  <c r="L61" i="1"/>
  <c r="L62" i="1"/>
  <c r="L63" i="1"/>
  <c r="L64" i="1"/>
  <c r="L71" i="1"/>
  <c r="L72" i="1"/>
  <c r="L73" i="1"/>
  <c r="L74" i="1"/>
  <c r="L75" i="1"/>
  <c r="L76" i="1"/>
  <c r="L81" i="1"/>
  <c r="L82" i="1"/>
  <c r="L83" i="1"/>
  <c r="L84" i="1"/>
  <c r="L101" i="1"/>
  <c r="L102" i="1"/>
  <c r="L103" i="1"/>
  <c r="L104" i="1"/>
  <c r="L105" i="1"/>
  <c r="L106" i="1"/>
  <c r="L107" i="1"/>
  <c r="L108" i="1"/>
  <c r="L109" i="1"/>
  <c r="L110" i="1"/>
  <c r="L111" i="1"/>
  <c r="L112" i="1"/>
  <c r="L113" i="1"/>
  <c r="L114" i="1"/>
  <c r="L115" i="1"/>
  <c r="L116" i="1"/>
  <c r="L117" i="1"/>
  <c r="L118" i="1"/>
  <c r="L155" i="1"/>
  <c r="L156" i="1"/>
  <c r="L157" i="1"/>
  <c r="L158" i="1"/>
  <c r="L159" i="1"/>
  <c r="L160" i="1"/>
  <c r="L161" i="1"/>
  <c r="L162" i="1"/>
  <c r="L163" i="1"/>
  <c r="L164" i="1"/>
  <c r="L165" i="1"/>
  <c r="L166" i="1"/>
  <c r="L3" i="1"/>
  <c r="U59" i="1"/>
  <c r="AN59" i="1"/>
  <c r="K294" i="7"/>
  <c r="K286" i="7"/>
  <c r="K246" i="7"/>
  <c r="K238" i="7"/>
  <c r="K162" i="7"/>
  <c r="K154" i="7"/>
  <c r="K138" i="7"/>
  <c r="K253" i="7"/>
  <c r="K209" i="7"/>
  <c r="K195" i="7"/>
  <c r="K153" i="7"/>
  <c r="K252" i="7"/>
  <c r="K244" i="7"/>
  <c r="K236" i="7"/>
  <c r="K208" i="7"/>
  <c r="K160" i="7"/>
  <c r="K251" i="7"/>
  <c r="K243" i="7"/>
  <c r="K235" i="7"/>
  <c r="K193" i="7"/>
  <c r="K159" i="7"/>
  <c r="K151" i="7"/>
  <c r="K250" i="7"/>
  <c r="K206" i="7"/>
  <c r="K192" i="7"/>
  <c r="K158" i="7"/>
  <c r="K150" i="7"/>
  <c r="K289" i="7"/>
  <c r="K225" i="7"/>
  <c r="K191" i="7"/>
  <c r="K137" i="7"/>
  <c r="K149" i="7"/>
  <c r="K248" i="7"/>
  <c r="K240" i="7"/>
  <c r="K224" i="7"/>
  <c r="K198" i="7"/>
  <c r="K295" i="7"/>
  <c r="K287" i="7"/>
  <c r="K247" i="7"/>
  <c r="K239" i="7"/>
  <c r="K197" i="7"/>
  <c r="AH75" i="1"/>
  <c r="AW103" i="1"/>
  <c r="AW74" i="1"/>
  <c r="AW63" i="1"/>
  <c r="AW114" i="1"/>
  <c r="AW104" i="1"/>
  <c r="AW113" i="1"/>
  <c r="AW101" i="1"/>
  <c r="AW105" i="1"/>
  <c r="AW106" i="1"/>
  <c r="C237" i="7"/>
  <c r="V103" i="1"/>
  <c r="AO103" i="1"/>
  <c r="AN115" i="1"/>
  <c r="AO115" i="1"/>
  <c r="AZ112" i="1"/>
  <c r="BH112" i="1"/>
  <c r="BP112" i="1"/>
  <c r="BX112" i="1"/>
  <c r="CF112" i="1"/>
  <c r="BA112" i="1"/>
  <c r="BI112" i="1"/>
  <c r="BQ112" i="1"/>
  <c r="BY112" i="1"/>
  <c r="CG112" i="1"/>
  <c r="BB112" i="1"/>
  <c r="BJ112" i="1"/>
  <c r="BR112" i="1"/>
  <c r="BZ112" i="1"/>
  <c r="CH112" i="1"/>
  <c r="BC112" i="1"/>
  <c r="BK112" i="1"/>
  <c r="BS112" i="1"/>
  <c r="CA112" i="1"/>
  <c r="CI112" i="1"/>
  <c r="BE112" i="1"/>
  <c r="BM112" i="1"/>
  <c r="BU112" i="1"/>
  <c r="CC112" i="1"/>
  <c r="BG112" i="1"/>
  <c r="CD112" i="1"/>
  <c r="BL112" i="1"/>
  <c r="CE112" i="1"/>
  <c r="BN112" i="1"/>
  <c r="CJ112" i="1"/>
  <c r="BO112" i="1"/>
  <c r="AX112" i="1"/>
  <c r="BT112" i="1"/>
  <c r="AY112" i="1"/>
  <c r="BV112" i="1"/>
  <c r="BD112" i="1"/>
  <c r="BW112" i="1"/>
  <c r="BF112" i="1"/>
  <c r="CB112" i="1"/>
  <c r="AW112" i="1"/>
  <c r="AY111" i="1"/>
  <c r="BG111" i="1"/>
  <c r="BO111" i="1"/>
  <c r="BW111" i="1"/>
  <c r="CE111" i="1"/>
  <c r="AZ111" i="1"/>
  <c r="BH111" i="1"/>
  <c r="BP111" i="1"/>
  <c r="BX111" i="1"/>
  <c r="CF111" i="1"/>
  <c r="BA111" i="1"/>
  <c r="BI111" i="1"/>
  <c r="BQ111" i="1"/>
  <c r="BY111" i="1"/>
  <c r="CG111" i="1"/>
  <c r="BB111" i="1"/>
  <c r="BJ111" i="1"/>
  <c r="BR111" i="1"/>
  <c r="BZ111" i="1"/>
  <c r="CH111" i="1"/>
  <c r="BD111" i="1"/>
  <c r="BL111" i="1"/>
  <c r="BT111" i="1"/>
  <c r="CB111" i="1"/>
  <c r="CJ111" i="1"/>
  <c r="BE111" i="1"/>
  <c r="CA111" i="1"/>
  <c r="BF111" i="1"/>
  <c r="CC111" i="1"/>
  <c r="BK111" i="1"/>
  <c r="CD111" i="1"/>
  <c r="BM111" i="1"/>
  <c r="CI111" i="1"/>
  <c r="BN111" i="1"/>
  <c r="BS111" i="1"/>
  <c r="AX111" i="1"/>
  <c r="BU111" i="1"/>
  <c r="BC111" i="1"/>
  <c r="BV111" i="1"/>
  <c r="AZ105" i="1"/>
  <c r="BH105" i="1"/>
  <c r="BP105" i="1"/>
  <c r="BX105" i="1"/>
  <c r="CF105" i="1"/>
  <c r="BA105" i="1"/>
  <c r="BI105" i="1"/>
  <c r="BQ105" i="1"/>
  <c r="BY105" i="1"/>
  <c r="CG105" i="1"/>
  <c r="BC105" i="1"/>
  <c r="BK105" i="1"/>
  <c r="BS105" i="1"/>
  <c r="CA105" i="1"/>
  <c r="CI105" i="1"/>
  <c r="BD105" i="1"/>
  <c r="BL105" i="1"/>
  <c r="BT105" i="1"/>
  <c r="CB105" i="1"/>
  <c r="CJ105" i="1"/>
  <c r="BE105" i="1"/>
  <c r="BM105" i="1"/>
  <c r="BU105" i="1"/>
  <c r="CC105" i="1"/>
  <c r="AX105" i="1"/>
  <c r="BF105" i="1"/>
  <c r="BN105" i="1"/>
  <c r="BV105" i="1"/>
  <c r="CD105" i="1"/>
  <c r="AY105" i="1"/>
  <c r="BG105" i="1"/>
  <c r="BO105" i="1"/>
  <c r="BW105" i="1"/>
  <c r="CE105" i="1"/>
  <c r="BB105" i="1"/>
  <c r="BJ105" i="1"/>
  <c r="BR105" i="1"/>
  <c r="BZ105" i="1"/>
  <c r="CH105" i="1"/>
  <c r="BE102" i="1"/>
  <c r="BM102" i="1"/>
  <c r="BU102" i="1"/>
  <c r="CC102" i="1"/>
  <c r="AX102" i="1"/>
  <c r="BF102" i="1"/>
  <c r="BN102" i="1"/>
  <c r="BV102" i="1"/>
  <c r="CD102" i="1"/>
  <c r="AZ102" i="1"/>
  <c r="BH102" i="1"/>
  <c r="BP102" i="1"/>
  <c r="BX102" i="1"/>
  <c r="CF102" i="1"/>
  <c r="BA102" i="1"/>
  <c r="BI102" i="1"/>
  <c r="BQ102" i="1"/>
  <c r="BY102" i="1"/>
  <c r="CG102" i="1"/>
  <c r="BB102" i="1"/>
  <c r="BJ102" i="1"/>
  <c r="BR102" i="1"/>
  <c r="BZ102" i="1"/>
  <c r="CH102" i="1"/>
  <c r="BC102" i="1"/>
  <c r="BK102" i="1"/>
  <c r="BS102" i="1"/>
  <c r="CA102" i="1"/>
  <c r="CI102" i="1"/>
  <c r="BD102" i="1"/>
  <c r="BL102" i="1"/>
  <c r="BT102" i="1"/>
  <c r="CB102" i="1"/>
  <c r="CJ102" i="1"/>
  <c r="AY102" i="1"/>
  <c r="BG102" i="1"/>
  <c r="BO102" i="1"/>
  <c r="BW102" i="1"/>
  <c r="CE102" i="1"/>
  <c r="BA106" i="1"/>
  <c r="BI106" i="1"/>
  <c r="BQ106" i="1"/>
  <c r="BY106" i="1"/>
  <c r="CG106" i="1"/>
  <c r="BB106" i="1"/>
  <c r="BJ106" i="1"/>
  <c r="BR106" i="1"/>
  <c r="BZ106" i="1"/>
  <c r="CH106" i="1"/>
  <c r="BD106" i="1"/>
  <c r="BL106" i="1"/>
  <c r="BT106" i="1"/>
  <c r="CB106" i="1"/>
  <c r="CJ106" i="1"/>
  <c r="BE106" i="1"/>
  <c r="BM106" i="1"/>
  <c r="BU106" i="1"/>
  <c r="CC106" i="1"/>
  <c r="AX106" i="1"/>
  <c r="BF106" i="1"/>
  <c r="BN106" i="1"/>
  <c r="BV106" i="1"/>
  <c r="CD106" i="1"/>
  <c r="AY106" i="1"/>
  <c r="BG106" i="1"/>
  <c r="BO106" i="1"/>
  <c r="BW106" i="1"/>
  <c r="CE106" i="1"/>
  <c r="AZ106" i="1"/>
  <c r="BH106" i="1"/>
  <c r="BP106" i="1"/>
  <c r="BX106" i="1"/>
  <c r="CF106" i="1"/>
  <c r="BK106" i="1"/>
  <c r="BS106" i="1"/>
  <c r="CA106" i="1"/>
  <c r="CI106" i="1"/>
  <c r="BC106" i="1"/>
  <c r="BD113" i="1"/>
  <c r="BL113" i="1"/>
  <c r="BT113" i="1"/>
  <c r="CB113" i="1"/>
  <c r="CJ113" i="1"/>
  <c r="BE113" i="1"/>
  <c r="BM113" i="1"/>
  <c r="BU113" i="1"/>
  <c r="CC113" i="1"/>
  <c r="AX113" i="1"/>
  <c r="BF113" i="1"/>
  <c r="BN113" i="1"/>
  <c r="BV113" i="1"/>
  <c r="CD113" i="1"/>
  <c r="AY113" i="1"/>
  <c r="BG113" i="1"/>
  <c r="BO113" i="1"/>
  <c r="BW113" i="1"/>
  <c r="CE113" i="1"/>
  <c r="AZ113" i="1"/>
  <c r="BH113" i="1"/>
  <c r="BP113" i="1"/>
  <c r="BX113" i="1"/>
  <c r="CF113" i="1"/>
  <c r="BA113" i="1"/>
  <c r="BI113" i="1"/>
  <c r="BQ113" i="1"/>
  <c r="BY113" i="1"/>
  <c r="CG113" i="1"/>
  <c r="BC113" i="1"/>
  <c r="BK113" i="1"/>
  <c r="BS113" i="1"/>
  <c r="CA113" i="1"/>
  <c r="CI113" i="1"/>
  <c r="BB113" i="1"/>
  <c r="BJ113" i="1"/>
  <c r="BR113" i="1"/>
  <c r="BZ113" i="1"/>
  <c r="CH113" i="1"/>
  <c r="BD101" i="1"/>
  <c r="BE101" i="1"/>
  <c r="BF101" i="1"/>
  <c r="BH101" i="1"/>
  <c r="BP101" i="1"/>
  <c r="BX101" i="1"/>
  <c r="CF101" i="1"/>
  <c r="BI101" i="1"/>
  <c r="BQ101" i="1"/>
  <c r="BY101" i="1"/>
  <c r="CG101" i="1"/>
  <c r="AY101" i="1"/>
  <c r="BJ101" i="1"/>
  <c r="BR101" i="1"/>
  <c r="BZ101" i="1"/>
  <c r="CH101" i="1"/>
  <c r="BG101" i="1"/>
  <c r="AZ101" i="1"/>
  <c r="BK101" i="1"/>
  <c r="BS101" i="1"/>
  <c r="CA101" i="1"/>
  <c r="CI101" i="1"/>
  <c r="BO101" i="1"/>
  <c r="BA101" i="1"/>
  <c r="BL101" i="1"/>
  <c r="BT101" i="1"/>
  <c r="CB101" i="1"/>
  <c r="CJ101" i="1"/>
  <c r="BW101" i="1"/>
  <c r="BB101" i="1"/>
  <c r="BM101" i="1"/>
  <c r="BU101" i="1"/>
  <c r="CC101" i="1"/>
  <c r="AX101" i="1"/>
  <c r="BC101" i="1"/>
  <c r="BN101" i="1"/>
  <c r="BV101" i="1"/>
  <c r="CD101" i="1"/>
  <c r="CE101" i="1"/>
  <c r="BB64" i="1"/>
  <c r="BJ64" i="1"/>
  <c r="BR64" i="1"/>
  <c r="BZ64" i="1"/>
  <c r="CH64" i="1"/>
  <c r="BL64" i="1"/>
  <c r="BT64" i="1"/>
  <c r="CB64" i="1"/>
  <c r="CJ64" i="1"/>
  <c r="BE64" i="1"/>
  <c r="BU64" i="1"/>
  <c r="CC64" i="1"/>
  <c r="AX64" i="1"/>
  <c r="BF64" i="1"/>
  <c r="BN64" i="1"/>
  <c r="BV64" i="1"/>
  <c r="CD64" i="1"/>
  <c r="AY64" i="1"/>
  <c r="BG64" i="1"/>
  <c r="BO64" i="1"/>
  <c r="BW64" i="1"/>
  <c r="CE64" i="1"/>
  <c r="AZ64" i="1"/>
  <c r="BH64" i="1"/>
  <c r="BP64" i="1"/>
  <c r="BX64" i="1"/>
  <c r="CF64" i="1"/>
  <c r="BA64" i="1"/>
  <c r="CG64" i="1"/>
  <c r="BC64" i="1"/>
  <c r="CI64" i="1"/>
  <c r="BI64" i="1"/>
  <c r="BY64" i="1"/>
  <c r="BK64" i="1"/>
  <c r="BQ64" i="1"/>
  <c r="BS64" i="1"/>
  <c r="CA64" i="1"/>
  <c r="AX60" i="1"/>
  <c r="BF60" i="1"/>
  <c r="BN60" i="1"/>
  <c r="BV60" i="1"/>
  <c r="CD60" i="1"/>
  <c r="BG60" i="1"/>
  <c r="BW60" i="1"/>
  <c r="AY60" i="1"/>
  <c r="BO60" i="1"/>
  <c r="CE60" i="1"/>
  <c r="AZ60" i="1"/>
  <c r="BH60" i="1"/>
  <c r="BP60" i="1"/>
  <c r="BX60" i="1"/>
  <c r="CF60" i="1"/>
  <c r="BA60" i="1"/>
  <c r="BI60" i="1"/>
  <c r="BQ60" i="1"/>
  <c r="BY60" i="1"/>
  <c r="CG60" i="1"/>
  <c r="BB60" i="1"/>
  <c r="BJ60" i="1"/>
  <c r="BR60" i="1"/>
  <c r="BZ60" i="1"/>
  <c r="CH60" i="1"/>
  <c r="BC60" i="1"/>
  <c r="BK60" i="1"/>
  <c r="BS60" i="1"/>
  <c r="CA60" i="1"/>
  <c r="CI60" i="1"/>
  <c r="BD60" i="1"/>
  <c r="BL60" i="1"/>
  <c r="BT60" i="1"/>
  <c r="CB60" i="1"/>
  <c r="CJ60" i="1"/>
  <c r="BE60" i="1"/>
  <c r="BM60" i="1"/>
  <c r="CC60" i="1"/>
  <c r="BU60" i="1"/>
  <c r="AW107" i="1"/>
  <c r="BA107" i="1"/>
  <c r="BI107" i="1"/>
  <c r="BD107" i="1"/>
  <c r="BM107" i="1"/>
  <c r="BU107" i="1"/>
  <c r="CC107" i="1"/>
  <c r="AX107" i="1"/>
  <c r="BE107" i="1"/>
  <c r="BN107" i="1"/>
  <c r="BV107" i="1"/>
  <c r="CD107" i="1"/>
  <c r="BG107" i="1"/>
  <c r="BP107" i="1"/>
  <c r="BX107" i="1"/>
  <c r="CF107" i="1"/>
  <c r="AY107" i="1"/>
  <c r="BH107" i="1"/>
  <c r="BQ107" i="1"/>
  <c r="BY107" i="1"/>
  <c r="CG107" i="1"/>
  <c r="AZ107" i="1"/>
  <c r="BJ107" i="1"/>
  <c r="BR107" i="1"/>
  <c r="BZ107" i="1"/>
  <c r="CH107" i="1"/>
  <c r="BB107" i="1"/>
  <c r="BK107" i="1"/>
  <c r="BS107" i="1"/>
  <c r="CA107" i="1"/>
  <c r="CI107" i="1"/>
  <c r="BC107" i="1"/>
  <c r="BL107" i="1"/>
  <c r="BT107" i="1"/>
  <c r="CB107" i="1"/>
  <c r="CJ107" i="1"/>
  <c r="BO107" i="1"/>
  <c r="BW107" i="1"/>
  <c r="CE107" i="1"/>
  <c r="BF107" i="1"/>
  <c r="BA63" i="1"/>
  <c r="BI63" i="1"/>
  <c r="BQ63" i="1"/>
  <c r="BY63" i="1"/>
  <c r="CG63" i="1"/>
  <c r="BB63" i="1"/>
  <c r="BR63" i="1"/>
  <c r="BJ63" i="1"/>
  <c r="BC63" i="1"/>
  <c r="BK63" i="1"/>
  <c r="BS63" i="1"/>
  <c r="CA63" i="1"/>
  <c r="CI63" i="1"/>
  <c r="BD63" i="1"/>
  <c r="BL63" i="1"/>
  <c r="BT63" i="1"/>
  <c r="CB63" i="1"/>
  <c r="CJ63" i="1"/>
  <c r="BE63" i="1"/>
  <c r="BM63" i="1"/>
  <c r="BU63" i="1"/>
  <c r="CC63" i="1"/>
  <c r="AX63" i="1"/>
  <c r="BF63" i="1"/>
  <c r="BN63" i="1"/>
  <c r="BV63" i="1"/>
  <c r="CD63" i="1"/>
  <c r="AY63" i="1"/>
  <c r="BG63" i="1"/>
  <c r="BO63" i="1"/>
  <c r="BW63" i="1"/>
  <c r="CE63" i="1"/>
  <c r="AZ63" i="1"/>
  <c r="BH63" i="1"/>
  <c r="BP63" i="1"/>
  <c r="CF63" i="1"/>
  <c r="BX63" i="1"/>
  <c r="BZ63" i="1"/>
  <c r="CH63" i="1"/>
  <c r="BD59" i="1"/>
  <c r="BL59" i="1"/>
  <c r="BT59" i="1"/>
  <c r="CB59" i="1"/>
  <c r="CJ59" i="1"/>
  <c r="BF59" i="1"/>
  <c r="BN59" i="1"/>
  <c r="BV59" i="1"/>
  <c r="CD59" i="1"/>
  <c r="AY59" i="1"/>
  <c r="BG59" i="1"/>
  <c r="BO59" i="1"/>
  <c r="BW59" i="1"/>
  <c r="CE59" i="1"/>
  <c r="BP59" i="1"/>
  <c r="BX59" i="1"/>
  <c r="AZ59" i="1"/>
  <c r="BH59" i="1"/>
  <c r="CF59" i="1"/>
  <c r="BA59" i="1"/>
  <c r="BI59" i="1"/>
  <c r="BQ59" i="1"/>
  <c r="BY59" i="1"/>
  <c r="CG59" i="1"/>
  <c r="BB59" i="1"/>
  <c r="BJ59" i="1"/>
  <c r="BR59" i="1"/>
  <c r="BZ59" i="1"/>
  <c r="CH59" i="1"/>
  <c r="CC59" i="1"/>
  <c r="BC59" i="1"/>
  <c r="CI59" i="1"/>
  <c r="BE59" i="1"/>
  <c r="AX59" i="1"/>
  <c r="BK59" i="1"/>
  <c r="BM59" i="1"/>
  <c r="BU59" i="1"/>
  <c r="CA59" i="1"/>
  <c r="BS59" i="1"/>
  <c r="AX103" i="1"/>
  <c r="BF103" i="1"/>
  <c r="BN103" i="1"/>
  <c r="BV103" i="1"/>
  <c r="CD103" i="1"/>
  <c r="AY103" i="1"/>
  <c r="BG103" i="1"/>
  <c r="BO103" i="1"/>
  <c r="BW103" i="1"/>
  <c r="CE103" i="1"/>
  <c r="BA103" i="1"/>
  <c r="BI103" i="1"/>
  <c r="BQ103" i="1"/>
  <c r="BY103" i="1"/>
  <c r="CG103" i="1"/>
  <c r="BB103" i="1"/>
  <c r="BJ103" i="1"/>
  <c r="BR103" i="1"/>
  <c r="BZ103" i="1"/>
  <c r="CH103" i="1"/>
  <c r="BC103" i="1"/>
  <c r="BK103" i="1"/>
  <c r="BS103" i="1"/>
  <c r="CA103" i="1"/>
  <c r="CI103" i="1"/>
  <c r="BD103" i="1"/>
  <c r="BL103" i="1"/>
  <c r="BT103" i="1"/>
  <c r="CB103" i="1"/>
  <c r="CJ103" i="1"/>
  <c r="BE103" i="1"/>
  <c r="BM103" i="1"/>
  <c r="BU103" i="1"/>
  <c r="CC103" i="1"/>
  <c r="AZ103" i="1"/>
  <c r="BH103" i="1"/>
  <c r="BP103" i="1"/>
  <c r="BX103" i="1"/>
  <c r="CF103" i="1"/>
  <c r="AY104" i="1"/>
  <c r="BG104" i="1"/>
  <c r="BO104" i="1"/>
  <c r="BW104" i="1"/>
  <c r="CE104" i="1"/>
  <c r="AZ104" i="1"/>
  <c r="BH104" i="1"/>
  <c r="BP104" i="1"/>
  <c r="BX104" i="1"/>
  <c r="CF104" i="1"/>
  <c r="BB104" i="1"/>
  <c r="BJ104" i="1"/>
  <c r="BR104" i="1"/>
  <c r="BZ104" i="1"/>
  <c r="CH104" i="1"/>
  <c r="BC104" i="1"/>
  <c r="BK104" i="1"/>
  <c r="BS104" i="1"/>
  <c r="CA104" i="1"/>
  <c r="CI104" i="1"/>
  <c r="BD104" i="1"/>
  <c r="BL104" i="1"/>
  <c r="BT104" i="1"/>
  <c r="CB104" i="1"/>
  <c r="CJ104" i="1"/>
  <c r="BE104" i="1"/>
  <c r="BM104" i="1"/>
  <c r="BU104" i="1"/>
  <c r="CC104" i="1"/>
  <c r="AX104" i="1"/>
  <c r="BF104" i="1"/>
  <c r="BN104" i="1"/>
  <c r="BV104" i="1"/>
  <c r="CD104" i="1"/>
  <c r="BY104" i="1"/>
  <c r="CG104" i="1"/>
  <c r="BA104" i="1"/>
  <c r="BI104" i="1"/>
  <c r="BQ104" i="1"/>
  <c r="AW108" i="1"/>
  <c r="BD108" i="1"/>
  <c r="BL108" i="1"/>
  <c r="BT108" i="1"/>
  <c r="CB108" i="1"/>
  <c r="CJ108" i="1"/>
  <c r="BE108" i="1"/>
  <c r="BM108" i="1"/>
  <c r="BU108" i="1"/>
  <c r="CC108" i="1"/>
  <c r="AX108" i="1"/>
  <c r="BF108" i="1"/>
  <c r="BN108" i="1"/>
  <c r="BV108" i="1"/>
  <c r="CD108" i="1"/>
  <c r="AY108" i="1"/>
  <c r="BG108" i="1"/>
  <c r="BO108" i="1"/>
  <c r="BW108" i="1"/>
  <c r="CE108" i="1"/>
  <c r="AZ108" i="1"/>
  <c r="BH108" i="1"/>
  <c r="BP108" i="1"/>
  <c r="BX108" i="1"/>
  <c r="CF108" i="1"/>
  <c r="BA108" i="1"/>
  <c r="BI108" i="1"/>
  <c r="BQ108" i="1"/>
  <c r="BY108" i="1"/>
  <c r="CG108" i="1"/>
  <c r="BC108" i="1"/>
  <c r="BK108" i="1"/>
  <c r="BS108" i="1"/>
  <c r="CA108" i="1"/>
  <c r="CI108" i="1"/>
  <c r="BZ108" i="1"/>
  <c r="CH108" i="1"/>
  <c r="BB108" i="1"/>
  <c r="BJ108" i="1"/>
  <c r="BR108" i="1"/>
  <c r="AZ62" i="1"/>
  <c r="BH62" i="1"/>
  <c r="BP62" i="1"/>
  <c r="BX62" i="1"/>
  <c r="CF62" i="1"/>
  <c r="BI62" i="1"/>
  <c r="BY62" i="1"/>
  <c r="BA62" i="1"/>
  <c r="BQ62" i="1"/>
  <c r="CG62" i="1"/>
  <c r="BB62" i="1"/>
  <c r="BJ62" i="1"/>
  <c r="BR62" i="1"/>
  <c r="BZ62" i="1"/>
  <c r="CH62" i="1"/>
  <c r="BC62" i="1"/>
  <c r="BK62" i="1"/>
  <c r="BS62" i="1"/>
  <c r="CA62" i="1"/>
  <c r="CI62" i="1"/>
  <c r="BD62" i="1"/>
  <c r="BL62" i="1"/>
  <c r="BT62" i="1"/>
  <c r="CB62" i="1"/>
  <c r="CJ62" i="1"/>
  <c r="BE62" i="1"/>
  <c r="BM62" i="1"/>
  <c r="BU62" i="1"/>
  <c r="CC62" i="1"/>
  <c r="AX62" i="1"/>
  <c r="BF62" i="1"/>
  <c r="BN62" i="1"/>
  <c r="BV62" i="1"/>
  <c r="CD62" i="1"/>
  <c r="CE62" i="1"/>
  <c r="BO62" i="1"/>
  <c r="AY62" i="1"/>
  <c r="BG62" i="1"/>
  <c r="BW62" i="1"/>
  <c r="AW75" i="1"/>
  <c r="AW61" i="1"/>
  <c r="AY61" i="1"/>
  <c r="BG61" i="1"/>
  <c r="BO61" i="1"/>
  <c r="BW61" i="1"/>
  <c r="CE61" i="1"/>
  <c r="AZ61" i="1"/>
  <c r="BP61" i="1"/>
  <c r="CF61" i="1"/>
  <c r="BH61" i="1"/>
  <c r="BX61" i="1"/>
  <c r="BA61" i="1"/>
  <c r="BI61" i="1"/>
  <c r="BQ61" i="1"/>
  <c r="BY61" i="1"/>
  <c r="CG61" i="1"/>
  <c r="BB61" i="1"/>
  <c r="BJ61" i="1"/>
  <c r="BR61" i="1"/>
  <c r="BZ61" i="1"/>
  <c r="CH61" i="1"/>
  <c r="BC61" i="1"/>
  <c r="BK61" i="1"/>
  <c r="BS61" i="1"/>
  <c r="CA61" i="1"/>
  <c r="CI61" i="1"/>
  <c r="BD61" i="1"/>
  <c r="BL61" i="1"/>
  <c r="BT61" i="1"/>
  <c r="CB61" i="1"/>
  <c r="CJ61" i="1"/>
  <c r="BE61" i="1"/>
  <c r="BM61" i="1"/>
  <c r="BU61" i="1"/>
  <c r="CC61" i="1"/>
  <c r="BF61" i="1"/>
  <c r="BN61" i="1"/>
  <c r="BV61" i="1"/>
  <c r="CD61" i="1"/>
  <c r="AX61" i="1"/>
  <c r="AX114" i="1"/>
  <c r="BF114" i="1"/>
  <c r="BN114" i="1"/>
  <c r="BV114" i="1"/>
  <c r="CD114" i="1"/>
  <c r="AY114" i="1"/>
  <c r="BG114" i="1"/>
  <c r="BO114" i="1"/>
  <c r="BW114" i="1"/>
  <c r="CE114" i="1"/>
  <c r="AZ114" i="1"/>
  <c r="BH114" i="1"/>
  <c r="BP114" i="1"/>
  <c r="BX114" i="1"/>
  <c r="CF114" i="1"/>
  <c r="BA114" i="1"/>
  <c r="BI114" i="1"/>
  <c r="BQ114" i="1"/>
  <c r="BY114" i="1"/>
  <c r="CG114" i="1"/>
  <c r="BB114" i="1"/>
  <c r="BJ114" i="1"/>
  <c r="BR114" i="1"/>
  <c r="BZ114" i="1"/>
  <c r="CH114" i="1"/>
  <c r="BC114" i="1"/>
  <c r="BK114" i="1"/>
  <c r="BS114" i="1"/>
  <c r="CA114" i="1"/>
  <c r="CI114" i="1"/>
  <c r="BE114" i="1"/>
  <c r="BM114" i="1"/>
  <c r="BU114" i="1"/>
  <c r="CC114" i="1"/>
  <c r="BD114" i="1"/>
  <c r="BL114" i="1"/>
  <c r="BT114" i="1"/>
  <c r="CB114" i="1"/>
  <c r="CJ114" i="1"/>
  <c r="AH59" i="1"/>
  <c r="K164" i="7"/>
  <c r="K205" i="7"/>
  <c r="K298" i="7"/>
  <c r="K291" i="7"/>
  <c r="K163" i="7"/>
  <c r="K189" i="7"/>
  <c r="K223" i="7"/>
  <c r="K190" i="7"/>
  <c r="K157" i="7"/>
  <c r="K297" i="7"/>
  <c r="K290" i="7"/>
  <c r="K207" i="7"/>
  <c r="K194" i="7"/>
  <c r="K161" i="7"/>
  <c r="K293" i="7"/>
  <c r="K210" i="7"/>
  <c r="AG72" i="1"/>
  <c r="AG108" i="1"/>
  <c r="AG117" i="1"/>
  <c r="K140" i="7"/>
  <c r="K288" i="7"/>
  <c r="K241" i="7"/>
  <c r="K226" i="7"/>
  <c r="AG61" i="1"/>
  <c r="K299" i="7"/>
  <c r="K292" i="7"/>
  <c r="K237" i="7"/>
  <c r="K139" i="7"/>
  <c r="K156" i="7"/>
  <c r="K296" i="7"/>
  <c r="K249" i="7"/>
  <c r="K242" i="7"/>
  <c r="AG75" i="1"/>
  <c r="K152" i="7"/>
  <c r="K300" i="7"/>
  <c r="K245" i="7"/>
  <c r="K196" i="7"/>
  <c r="K155" i="7"/>
  <c r="AG73" i="1"/>
  <c r="AG59" i="1"/>
  <c r="AW76" i="1"/>
  <c r="AW72" i="1"/>
  <c r="AG109" i="1"/>
  <c r="AH109" i="1"/>
  <c r="AH117" i="1"/>
  <c r="AH111" i="1"/>
  <c r="AG101" i="1"/>
  <c r="P108" i="1"/>
  <c r="AG111" i="1"/>
  <c r="AW111" i="1"/>
  <c r="AW59" i="1"/>
  <c r="AW62" i="1"/>
  <c r="AW71" i="1"/>
  <c r="AX110" i="1"/>
  <c r="BF110" i="1"/>
  <c r="BN110" i="1"/>
  <c r="BV110" i="1"/>
  <c r="CD110" i="1"/>
  <c r="AY110" i="1"/>
  <c r="BG110" i="1"/>
  <c r="BO110" i="1"/>
  <c r="BW110" i="1"/>
  <c r="CE110" i="1"/>
  <c r="AZ110" i="1"/>
  <c r="BH110" i="1"/>
  <c r="BP110" i="1"/>
  <c r="BX110" i="1"/>
  <c r="CF110" i="1"/>
  <c r="BA110" i="1"/>
  <c r="BI110" i="1"/>
  <c r="BQ110" i="1"/>
  <c r="BY110" i="1"/>
  <c r="CG110" i="1"/>
  <c r="BC110" i="1"/>
  <c r="BK110" i="1"/>
  <c r="BS110" i="1"/>
  <c r="CA110" i="1"/>
  <c r="CI110" i="1"/>
  <c r="BB110" i="1"/>
  <c r="BU110" i="1"/>
  <c r="BD110" i="1"/>
  <c r="BZ110" i="1"/>
  <c r="BE110" i="1"/>
  <c r="CB110" i="1"/>
  <c r="BJ110" i="1"/>
  <c r="CC110" i="1"/>
  <c r="BL110" i="1"/>
  <c r="CH110" i="1"/>
  <c r="BM110" i="1"/>
  <c r="CJ110" i="1"/>
  <c r="BR110" i="1"/>
  <c r="BT110" i="1"/>
  <c r="AW110" i="1"/>
  <c r="AY115" i="1"/>
  <c r="BG115" i="1"/>
  <c r="BO115" i="1"/>
  <c r="BW115" i="1"/>
  <c r="CE115" i="1"/>
  <c r="AZ115" i="1"/>
  <c r="BH115" i="1"/>
  <c r="BP115" i="1"/>
  <c r="BX115" i="1"/>
  <c r="CF115" i="1"/>
  <c r="BA115" i="1"/>
  <c r="BI115" i="1"/>
  <c r="BQ115" i="1"/>
  <c r="BY115" i="1"/>
  <c r="CG115" i="1"/>
  <c r="BB115" i="1"/>
  <c r="BJ115" i="1"/>
  <c r="BR115" i="1"/>
  <c r="BZ115" i="1"/>
  <c r="CH115" i="1"/>
  <c r="BC115" i="1"/>
  <c r="BK115" i="1"/>
  <c r="BS115" i="1"/>
  <c r="CA115" i="1"/>
  <c r="CI115" i="1"/>
  <c r="BD115" i="1"/>
  <c r="BL115" i="1"/>
  <c r="BT115" i="1"/>
  <c r="CB115" i="1"/>
  <c r="CJ115" i="1"/>
  <c r="AX115" i="1"/>
  <c r="BF115" i="1"/>
  <c r="BN115" i="1"/>
  <c r="BV115" i="1"/>
  <c r="CD115" i="1"/>
  <c r="CC115" i="1"/>
  <c r="BE115" i="1"/>
  <c r="BM115" i="1"/>
  <c r="BU115" i="1"/>
  <c r="AW115" i="1"/>
  <c r="BE109" i="1"/>
  <c r="BM109" i="1"/>
  <c r="BU109" i="1"/>
  <c r="CC109" i="1"/>
  <c r="AX109" i="1"/>
  <c r="BF109" i="1"/>
  <c r="BN109" i="1"/>
  <c r="BV109" i="1"/>
  <c r="CD109" i="1"/>
  <c r="AY109" i="1"/>
  <c r="BG109" i="1"/>
  <c r="BO109" i="1"/>
  <c r="BW109" i="1"/>
  <c r="CE109" i="1"/>
  <c r="AZ109" i="1"/>
  <c r="BH109" i="1"/>
  <c r="BP109" i="1"/>
  <c r="BX109" i="1"/>
  <c r="CF109" i="1"/>
  <c r="BA109" i="1"/>
  <c r="BB109" i="1"/>
  <c r="BJ109" i="1"/>
  <c r="BR109" i="1"/>
  <c r="BZ109" i="1"/>
  <c r="CH109" i="1"/>
  <c r="BS109" i="1"/>
  <c r="BT109" i="1"/>
  <c r="BC109" i="1"/>
  <c r="BY109" i="1"/>
  <c r="BD109" i="1"/>
  <c r="CA109" i="1"/>
  <c r="BI109" i="1"/>
  <c r="CB109" i="1"/>
  <c r="BK109" i="1"/>
  <c r="CG109" i="1"/>
  <c r="BL109" i="1"/>
  <c r="CI109" i="1"/>
  <c r="BQ109" i="1"/>
  <c r="CJ109" i="1"/>
  <c r="AW109" i="1"/>
  <c r="BA117" i="1"/>
  <c r="BI117" i="1"/>
  <c r="BQ117" i="1"/>
  <c r="BY117" i="1"/>
  <c r="CG117" i="1"/>
  <c r="BB117" i="1"/>
  <c r="BJ117" i="1"/>
  <c r="BR117" i="1"/>
  <c r="BZ117" i="1"/>
  <c r="CH117" i="1"/>
  <c r="BC117" i="1"/>
  <c r="BK117" i="1"/>
  <c r="BS117" i="1"/>
  <c r="CA117" i="1"/>
  <c r="CI117" i="1"/>
  <c r="BD117" i="1"/>
  <c r="BL117" i="1"/>
  <c r="BT117" i="1"/>
  <c r="CB117" i="1"/>
  <c r="CJ117" i="1"/>
  <c r="BE117" i="1"/>
  <c r="BM117" i="1"/>
  <c r="BU117" i="1"/>
  <c r="CC117" i="1"/>
  <c r="AX117" i="1"/>
  <c r="BF117" i="1"/>
  <c r="BN117" i="1"/>
  <c r="BV117" i="1"/>
  <c r="CD117" i="1"/>
  <c r="AZ117" i="1"/>
  <c r="BH117" i="1"/>
  <c r="BP117" i="1"/>
  <c r="BX117" i="1"/>
  <c r="CF117" i="1"/>
  <c r="BO117" i="1"/>
  <c r="BW117" i="1"/>
  <c r="CE117" i="1"/>
  <c r="AY117" i="1"/>
  <c r="BG117" i="1"/>
  <c r="AW117" i="1"/>
  <c r="AW116" i="1"/>
  <c r="AZ116" i="1"/>
  <c r="BH116" i="1"/>
  <c r="BP116" i="1"/>
  <c r="BX116" i="1"/>
  <c r="CF116" i="1"/>
  <c r="BA116" i="1"/>
  <c r="BI116" i="1"/>
  <c r="BQ116" i="1"/>
  <c r="BY116" i="1"/>
  <c r="CG116" i="1"/>
  <c r="BB116" i="1"/>
  <c r="BJ116" i="1"/>
  <c r="BR116" i="1"/>
  <c r="BZ116" i="1"/>
  <c r="CH116" i="1"/>
  <c r="BC116" i="1"/>
  <c r="BK116" i="1"/>
  <c r="BS116" i="1"/>
  <c r="CA116" i="1"/>
  <c r="CI116" i="1"/>
  <c r="BD116" i="1"/>
  <c r="BL116" i="1"/>
  <c r="BT116" i="1"/>
  <c r="CB116" i="1"/>
  <c r="CJ116" i="1"/>
  <c r="BE116" i="1"/>
  <c r="BM116" i="1"/>
  <c r="BU116" i="1"/>
  <c r="CC116" i="1"/>
  <c r="AY116" i="1"/>
  <c r="BG116" i="1"/>
  <c r="BO116" i="1"/>
  <c r="BW116" i="1"/>
  <c r="CE116" i="1"/>
  <c r="AX116" i="1"/>
  <c r="BF116" i="1"/>
  <c r="BN116" i="1"/>
  <c r="BV116" i="1"/>
  <c r="CD116" i="1"/>
  <c r="BB118" i="1"/>
  <c r="BJ118" i="1"/>
  <c r="BR118" i="1"/>
  <c r="BZ118" i="1"/>
  <c r="CH118" i="1"/>
  <c r="BC118" i="1"/>
  <c r="BK118" i="1"/>
  <c r="BS118" i="1"/>
  <c r="CA118" i="1"/>
  <c r="CI118" i="1"/>
  <c r="BD118" i="1"/>
  <c r="BL118" i="1"/>
  <c r="BT118" i="1"/>
  <c r="CB118" i="1"/>
  <c r="CJ118" i="1"/>
  <c r="BE118" i="1"/>
  <c r="BM118" i="1"/>
  <c r="BU118" i="1"/>
  <c r="CC118" i="1"/>
  <c r="AX118" i="1"/>
  <c r="BF118" i="1"/>
  <c r="BN118" i="1"/>
  <c r="BV118" i="1"/>
  <c r="CD118" i="1"/>
  <c r="AY118" i="1"/>
  <c r="BG118" i="1"/>
  <c r="BO118" i="1"/>
  <c r="BW118" i="1"/>
  <c r="CE118" i="1"/>
  <c r="BA118" i="1"/>
  <c r="BI118" i="1"/>
  <c r="BQ118" i="1"/>
  <c r="BY118" i="1"/>
  <c r="CG118" i="1"/>
  <c r="AZ118" i="1"/>
  <c r="BH118" i="1"/>
  <c r="BP118" i="1"/>
  <c r="BX118" i="1"/>
  <c r="CF118" i="1"/>
  <c r="AW118" i="1"/>
  <c r="AW64" i="1"/>
  <c r="BD64" i="1"/>
  <c r="BM64" i="1"/>
  <c r="AW73" i="1"/>
  <c r="AW60" i="1"/>
  <c r="AP57" i="1"/>
  <c r="CE70" i="1"/>
  <c r="BW70" i="1"/>
  <c r="BO70" i="1"/>
  <c r="BG70" i="1"/>
  <c r="AY70" i="1"/>
  <c r="CD70" i="1"/>
  <c r="BV70" i="1"/>
  <c r="BN70" i="1"/>
  <c r="BF70" i="1"/>
  <c r="AX70" i="1"/>
  <c r="CC70" i="1"/>
  <c r="BU70" i="1"/>
  <c r="BM70" i="1"/>
  <c r="BE70" i="1"/>
  <c r="AW70" i="1"/>
  <c r="CJ70" i="1"/>
  <c r="CB70" i="1"/>
  <c r="BT70" i="1"/>
  <c r="BL70" i="1"/>
  <c r="BD70" i="1"/>
  <c r="CI70" i="1"/>
  <c r="CA70" i="1"/>
  <c r="BS70" i="1"/>
  <c r="BK70" i="1"/>
  <c r="BC70" i="1"/>
  <c r="CH70" i="1"/>
  <c r="BZ70" i="1"/>
  <c r="BR70" i="1"/>
  <c r="BJ70" i="1"/>
  <c r="BB70" i="1"/>
  <c r="CG70" i="1"/>
  <c r="BY70" i="1"/>
  <c r="BQ70" i="1"/>
  <c r="BI70" i="1"/>
  <c r="BA70" i="1"/>
  <c r="CF70" i="1"/>
  <c r="BX70" i="1"/>
  <c r="BP70" i="1"/>
  <c r="BH70" i="1"/>
  <c r="AZ70" i="1"/>
  <c r="P19" i="1"/>
  <c r="AP19" i="1"/>
  <c r="AP164" i="1"/>
  <c r="AP15" i="1"/>
  <c r="AP21" i="1"/>
  <c r="P21" i="1"/>
  <c r="AP155" i="1"/>
  <c r="AP55" i="1"/>
  <c r="AP161" i="1"/>
  <c r="AP17" i="1"/>
  <c r="AP27" i="1"/>
  <c r="P56" i="1"/>
  <c r="AP56" i="1"/>
  <c r="AW102" i="1"/>
  <c r="AN155" i="1"/>
  <c r="W155" i="1"/>
  <c r="P155" i="1"/>
  <c r="AN158" i="1"/>
  <c r="W158" i="1"/>
  <c r="AN157" i="1"/>
  <c r="W157" i="1"/>
  <c r="AN156" i="1"/>
  <c r="W156" i="1"/>
  <c r="P55" i="1"/>
  <c r="P15" i="1"/>
  <c r="Q15" i="1"/>
  <c r="AN23" i="1"/>
  <c r="P83" i="1"/>
  <c r="AG115" i="1"/>
  <c r="AG71" i="1"/>
  <c r="AT71" i="1"/>
  <c r="P17" i="1"/>
  <c r="AG107" i="1"/>
  <c r="AT107" i="1"/>
  <c r="P110" i="1"/>
  <c r="AT65" i="1"/>
  <c r="Q108" i="1"/>
  <c r="AH76" i="1"/>
  <c r="P76" i="1"/>
  <c r="AH104" i="1"/>
  <c r="P104" i="1"/>
  <c r="AH103" i="1"/>
  <c r="AG63" i="1"/>
  <c r="AG105" i="1"/>
  <c r="AT105" i="1"/>
  <c r="AG113" i="1"/>
  <c r="AT113" i="1"/>
  <c r="AT118" i="1"/>
  <c r="AT64" i="1"/>
  <c r="AT104" i="1"/>
  <c r="AT72" i="1"/>
  <c r="AT3" i="1"/>
  <c r="AT111" i="1"/>
  <c r="AT103" i="1"/>
  <c r="AT57" i="1"/>
  <c r="AT25" i="1"/>
  <c r="AT79" i="1"/>
  <c r="AT117" i="1"/>
  <c r="AT109" i="1"/>
  <c r="AT101" i="1"/>
  <c r="AT108" i="1"/>
  <c r="AT76" i="1"/>
  <c r="AT22" i="1"/>
  <c r="AT75" i="1"/>
  <c r="AT61" i="1"/>
  <c r="AT21" i="1"/>
  <c r="AT24" i="1"/>
  <c r="AT28" i="1"/>
  <c r="AT84" i="1"/>
  <c r="AT73" i="1"/>
  <c r="AT59" i="1"/>
  <c r="AH64" i="1"/>
  <c r="P57" i="1"/>
  <c r="AH118" i="1"/>
  <c r="P118" i="1"/>
  <c r="AG60" i="1"/>
  <c r="AT60" i="1"/>
  <c r="AG106" i="1"/>
  <c r="AG74" i="1"/>
  <c r="AT74" i="1"/>
  <c r="P62" i="1"/>
  <c r="P28" i="1"/>
  <c r="AW65" i="1"/>
  <c r="AG66" i="1"/>
  <c r="AT66" i="1"/>
  <c r="K213" i="7"/>
  <c r="K199" i="7"/>
  <c r="K203" i="7"/>
  <c r="AW68" i="1"/>
  <c r="AW69" i="1"/>
  <c r="K212" i="7"/>
  <c r="K200" i="7"/>
  <c r="K204" i="7"/>
  <c r="Q166" i="1"/>
  <c r="AG62" i="1"/>
  <c r="AG69" i="1"/>
  <c r="AT69" i="1"/>
  <c r="K211" i="7"/>
  <c r="P64" i="1"/>
  <c r="Q64" i="1"/>
  <c r="P154" i="1"/>
  <c r="Q154" i="1"/>
  <c r="K285" i="7"/>
  <c r="K269" i="7"/>
  <c r="K218" i="7"/>
  <c r="K217" i="7"/>
  <c r="K216" i="7"/>
  <c r="K215" i="7"/>
  <c r="K222" i="7"/>
  <c r="K221" i="7"/>
  <c r="K220" i="7"/>
  <c r="K219" i="7"/>
  <c r="K186" i="7"/>
  <c r="K182" i="7"/>
  <c r="K178" i="7"/>
  <c r="K174" i="7"/>
  <c r="K170" i="7"/>
  <c r="K166" i="7"/>
  <c r="K146" i="7"/>
  <c r="K142" i="7"/>
  <c r="K188" i="7"/>
  <c r="K184" i="7"/>
  <c r="K180" i="7"/>
  <c r="K176" i="7"/>
  <c r="K172" i="7"/>
  <c r="K168" i="7"/>
  <c r="K148" i="7"/>
  <c r="K144" i="7"/>
  <c r="K284" i="7"/>
  <c r="K283" i="7"/>
  <c r="K282" i="7"/>
  <c r="K281" i="7"/>
  <c r="K280" i="7"/>
  <c r="K279" i="7"/>
  <c r="K278" i="7"/>
  <c r="K277" i="7"/>
  <c r="K276" i="7"/>
  <c r="K275" i="7"/>
  <c r="K274" i="7"/>
  <c r="K273" i="7"/>
  <c r="K272" i="7"/>
  <c r="K271" i="7"/>
  <c r="K270" i="7"/>
  <c r="K268" i="7"/>
  <c r="K267" i="7"/>
  <c r="K266" i="7"/>
  <c r="K265" i="7"/>
  <c r="K264" i="7"/>
  <c r="K263" i="7"/>
  <c r="K262" i="7"/>
  <c r="K261" i="7"/>
  <c r="K260" i="7"/>
  <c r="K259" i="7"/>
  <c r="K258" i="7"/>
  <c r="K257" i="7"/>
  <c r="K256" i="7"/>
  <c r="K255" i="7"/>
  <c r="K254" i="7"/>
  <c r="K234" i="7"/>
  <c r="K233" i="7"/>
  <c r="K232" i="7"/>
  <c r="K231" i="7"/>
  <c r="K230" i="7"/>
  <c r="K229" i="7"/>
  <c r="K228" i="7"/>
  <c r="K227" i="7"/>
  <c r="K185" i="7"/>
  <c r="K177" i="7"/>
  <c r="K169" i="7"/>
  <c r="K145" i="7"/>
  <c r="K183" i="7"/>
  <c r="K175" i="7"/>
  <c r="K167" i="7"/>
  <c r="K143" i="7"/>
  <c r="K181" i="7"/>
  <c r="K173" i="7"/>
  <c r="K165" i="7"/>
  <c r="K141" i="7"/>
  <c r="K187" i="7"/>
  <c r="K179" i="7"/>
  <c r="K171" i="7"/>
  <c r="K147" i="7"/>
  <c r="AW66" i="1"/>
  <c r="AW67" i="1"/>
  <c r="AG70" i="1"/>
  <c r="K214" i="7"/>
  <c r="K202" i="7"/>
  <c r="AG110" i="1"/>
  <c r="AT110" i="1"/>
  <c r="P71" i="1"/>
  <c r="P22" i="1"/>
  <c r="AP29" i="1"/>
  <c r="P59" i="1"/>
  <c r="AP22" i="1"/>
  <c r="P113" i="1"/>
  <c r="P158" i="1"/>
  <c r="P72" i="1"/>
  <c r="P58" i="1"/>
  <c r="Q58" i="1"/>
  <c r="AP154" i="1"/>
  <c r="P63" i="1"/>
  <c r="Q63" i="1"/>
  <c r="P74" i="1"/>
  <c r="P60" i="1"/>
  <c r="AP23" i="1"/>
  <c r="Q23" i="1"/>
  <c r="P24" i="1"/>
  <c r="P29" i="1"/>
  <c r="P111" i="1"/>
  <c r="P156" i="1"/>
  <c r="Q21" i="1"/>
  <c r="P153" i="1"/>
  <c r="P27" i="1"/>
  <c r="P115" i="1"/>
  <c r="P161" i="1"/>
  <c r="AP153" i="1"/>
  <c r="AH114" i="1"/>
  <c r="P114" i="1"/>
  <c r="AG114" i="1"/>
  <c r="AH112" i="1"/>
  <c r="P112" i="1"/>
  <c r="AG112" i="1"/>
  <c r="AG102" i="1"/>
  <c r="AH102" i="1"/>
  <c r="AO105" i="1"/>
  <c r="P105" i="1"/>
  <c r="P117" i="1"/>
  <c r="AN117" i="1"/>
  <c r="AP116" i="1"/>
  <c r="P116" i="1"/>
  <c r="AP101" i="1"/>
  <c r="P101" i="1"/>
  <c r="Q81" i="1"/>
  <c r="P16" i="1"/>
  <c r="AP16" i="1"/>
  <c r="AP18" i="1"/>
  <c r="P18" i="1"/>
  <c r="AN61" i="1"/>
  <c r="P61" i="1"/>
  <c r="Q22" i="1"/>
  <c r="P6" i="1"/>
  <c r="AH73" i="1"/>
  <c r="AN164" i="1"/>
  <c r="P164" i="1"/>
  <c r="P163" i="1"/>
  <c r="Q163" i="1"/>
  <c r="P4" i="1"/>
  <c r="Q19" i="1"/>
  <c r="P65" i="1"/>
  <c r="AH70" i="1"/>
  <c r="P70" i="1"/>
  <c r="P75" i="1"/>
  <c r="P106" i="1"/>
  <c r="P107" i="1"/>
  <c r="AP30" i="1"/>
  <c r="P5" i="1"/>
  <c r="AG67" i="1"/>
  <c r="AT67" i="1"/>
  <c r="P77" i="1"/>
  <c r="AP4" i="1"/>
  <c r="P160" i="1"/>
  <c r="P67" i="1"/>
  <c r="Q56" i="1"/>
  <c r="P151" i="1"/>
  <c r="AP151" i="1"/>
  <c r="AP159" i="1"/>
  <c r="P157" i="1"/>
  <c r="AP157" i="1"/>
  <c r="P26" i="1"/>
  <c r="AP26" i="1"/>
  <c r="P25" i="1"/>
  <c r="AP25" i="1"/>
  <c r="AP5" i="1"/>
  <c r="AH66" i="1"/>
  <c r="AN160" i="1"/>
  <c r="AG116" i="1"/>
  <c r="AT116" i="1"/>
  <c r="P69" i="1"/>
  <c r="P80" i="1"/>
  <c r="AP163" i="1"/>
  <c r="P159" i="1"/>
  <c r="AN82" i="1"/>
  <c r="P82" i="1"/>
  <c r="AP162" i="1"/>
  <c r="P162" i="1"/>
  <c r="AP109" i="1"/>
  <c r="P109" i="1"/>
  <c r="Q62" i="1"/>
  <c r="AG68" i="1"/>
  <c r="AT68" i="1"/>
  <c r="AH68" i="1"/>
  <c r="AP83" i="1"/>
  <c r="P79" i="1"/>
  <c r="AP79" i="1"/>
  <c r="P84" i="1"/>
  <c r="AP84" i="1"/>
  <c r="P78" i="1"/>
  <c r="AP78" i="1"/>
  <c r="AP77" i="1"/>
  <c r="AN75" i="1"/>
  <c r="AN68" i="1"/>
  <c r="Q55" i="1"/>
  <c r="P103" i="1"/>
  <c r="AT115" i="1"/>
  <c r="AL15" i="1"/>
  <c r="CN15" i="1"/>
  <c r="CO15" i="1"/>
  <c r="CP15" i="1"/>
  <c r="CQ15" i="1"/>
  <c r="CR15" i="1"/>
  <c r="CS15" i="1"/>
  <c r="CT15" i="1"/>
  <c r="CU15" i="1"/>
  <c r="AL21" i="1"/>
  <c r="CN21" i="1"/>
  <c r="CO21" i="1"/>
  <c r="CP21" i="1"/>
  <c r="CQ21" i="1"/>
  <c r="CR21" i="1"/>
  <c r="CS21" i="1"/>
  <c r="CT21" i="1"/>
  <c r="CU21" i="1"/>
  <c r="CN58" i="1"/>
  <c r="CO58" i="1"/>
  <c r="CP58" i="1"/>
  <c r="CQ58" i="1"/>
  <c r="CR58" i="1"/>
  <c r="CS58" i="1"/>
  <c r="CT58" i="1"/>
  <c r="CU58" i="1"/>
  <c r="AL63" i="1"/>
  <c r="CN63" i="1"/>
  <c r="CO63" i="1"/>
  <c r="CP63" i="1"/>
  <c r="CQ63" i="1"/>
  <c r="CR63" i="1"/>
  <c r="CS63" i="1"/>
  <c r="CT63" i="1"/>
  <c r="CU63" i="1"/>
  <c r="CN56" i="1"/>
  <c r="CO56" i="1"/>
  <c r="CP56" i="1"/>
  <c r="CQ56" i="1"/>
  <c r="CR56" i="1"/>
  <c r="CS56" i="1"/>
  <c r="CT56" i="1"/>
  <c r="CU56" i="1"/>
  <c r="AL22" i="1"/>
  <c r="CN22" i="1"/>
  <c r="CO22" i="1"/>
  <c r="CP22" i="1"/>
  <c r="CQ22" i="1"/>
  <c r="CR22" i="1"/>
  <c r="CS22" i="1"/>
  <c r="CT22" i="1"/>
  <c r="CU22" i="1"/>
  <c r="AL81" i="1"/>
  <c r="CN81" i="1"/>
  <c r="CO81" i="1"/>
  <c r="CQ81" i="1"/>
  <c r="CR81" i="1"/>
  <c r="CS81" i="1"/>
  <c r="CT81" i="1"/>
  <c r="CU81" i="1"/>
  <c r="CP81" i="1"/>
  <c r="AL64" i="1"/>
  <c r="CN64" i="1"/>
  <c r="CO64" i="1"/>
  <c r="CP64" i="1"/>
  <c r="CQ64" i="1"/>
  <c r="CR64" i="1"/>
  <c r="CS64" i="1"/>
  <c r="CT64" i="1"/>
  <c r="CU64" i="1"/>
  <c r="CN55" i="1"/>
  <c r="CO55" i="1"/>
  <c r="CP55" i="1"/>
  <c r="CQ55" i="1"/>
  <c r="CR55" i="1"/>
  <c r="CS55" i="1"/>
  <c r="CT55" i="1"/>
  <c r="CU55" i="1"/>
  <c r="AL108" i="1"/>
  <c r="CR108" i="1"/>
  <c r="CS108" i="1"/>
  <c r="CT108" i="1"/>
  <c r="CU108" i="1"/>
  <c r="CN108" i="1"/>
  <c r="CO108" i="1"/>
  <c r="CP108" i="1"/>
  <c r="CQ108" i="1"/>
  <c r="CW108" i="1"/>
  <c r="AL19" i="1"/>
  <c r="CN19" i="1"/>
  <c r="CO19" i="1"/>
  <c r="CP19" i="1"/>
  <c r="CQ19" i="1"/>
  <c r="CR19" i="1"/>
  <c r="CS19" i="1"/>
  <c r="CT19" i="1"/>
  <c r="CU19" i="1"/>
  <c r="AL62" i="1"/>
  <c r="CN62" i="1"/>
  <c r="CO62" i="1"/>
  <c r="CP62" i="1"/>
  <c r="CQ62" i="1"/>
  <c r="CR62" i="1"/>
  <c r="CS62" i="1"/>
  <c r="CT62" i="1"/>
  <c r="CU62" i="1"/>
  <c r="AL23" i="1"/>
  <c r="CN23" i="1"/>
  <c r="CO23" i="1"/>
  <c r="CP23" i="1"/>
  <c r="CQ23" i="1"/>
  <c r="CR23" i="1"/>
  <c r="CS23" i="1"/>
  <c r="CT23" i="1"/>
  <c r="CU23" i="1"/>
  <c r="AL154" i="1"/>
  <c r="CR154" i="1"/>
  <c r="CO154" i="1"/>
  <c r="CP154" i="1"/>
  <c r="CN154" i="1"/>
  <c r="CQ154" i="1"/>
  <c r="CS154" i="1"/>
  <c r="CT154" i="1"/>
  <c r="CU154" i="1"/>
  <c r="AL166" i="1"/>
  <c r="CR166" i="1"/>
  <c r="CQ166" i="1"/>
  <c r="CS166" i="1"/>
  <c r="CT166" i="1"/>
  <c r="CU166" i="1"/>
  <c r="CN166" i="1"/>
  <c r="CO166" i="1"/>
  <c r="CP166" i="1"/>
  <c r="AL163" i="1"/>
  <c r="CO163" i="1"/>
  <c r="CR163" i="1"/>
  <c r="CS163" i="1"/>
  <c r="CT163" i="1"/>
  <c r="CU163" i="1"/>
  <c r="CN163" i="1"/>
  <c r="CQ163" i="1"/>
  <c r="CP163" i="1"/>
  <c r="Q17" i="1"/>
  <c r="Q83" i="1"/>
  <c r="AO156" i="1"/>
  <c r="AO157" i="1"/>
  <c r="AO158" i="1"/>
  <c r="AO155" i="1"/>
  <c r="Q110" i="1"/>
  <c r="CV19" i="1"/>
  <c r="CV81" i="1"/>
  <c r="CV55" i="1"/>
  <c r="CV21" i="1"/>
  <c r="CW15" i="1"/>
  <c r="CW23" i="1"/>
  <c r="CW21" i="1"/>
  <c r="CW55" i="1"/>
  <c r="CV15" i="1"/>
  <c r="CV108" i="1"/>
  <c r="CV56" i="1"/>
  <c r="CW166" i="1"/>
  <c r="CW56" i="1"/>
  <c r="CW19" i="1"/>
  <c r="CW81" i="1"/>
  <c r="Q115" i="1"/>
  <c r="Q161" i="1"/>
  <c r="Q70" i="1"/>
  <c r="Q103" i="1"/>
  <c r="Q105" i="1"/>
  <c r="Q27" i="1"/>
  <c r="Q77" i="1"/>
  <c r="Q65" i="1"/>
  <c r="Q60" i="1"/>
  <c r="Q113" i="1"/>
  <c r="Q116" i="1"/>
  <c r="Q111" i="1"/>
  <c r="Q118" i="1"/>
  <c r="Q67" i="1"/>
  <c r="Q57" i="1"/>
  <c r="Q78" i="1"/>
  <c r="Q69" i="1"/>
  <c r="Q4" i="1"/>
  <c r="Q59" i="1"/>
  <c r="Q79" i="1"/>
  <c r="Q72" i="1"/>
  <c r="Q80" i="1"/>
  <c r="CV22" i="1"/>
  <c r="Q76" i="1"/>
  <c r="AT63" i="1"/>
  <c r="Q104" i="1"/>
  <c r="P102" i="1"/>
  <c r="P66" i="1"/>
  <c r="Q71" i="1"/>
  <c r="Q74" i="1"/>
  <c r="AT62" i="1"/>
  <c r="AT102" i="1"/>
  <c r="AT112" i="1"/>
  <c r="AT70" i="1"/>
  <c r="AT106" i="1"/>
  <c r="AT114" i="1"/>
  <c r="Q24" i="1"/>
  <c r="Q28" i="1"/>
  <c r="Q18" i="1"/>
  <c r="Q155" i="1"/>
  <c r="Q158" i="1"/>
  <c r="P73" i="1"/>
  <c r="P30" i="1"/>
  <c r="Q117" i="1"/>
  <c r="AP3" i="1"/>
  <c r="Q153" i="1"/>
  <c r="Q29" i="1"/>
  <c r="Q5" i="1"/>
  <c r="AP156" i="1"/>
  <c r="P68" i="1"/>
  <c r="Q101" i="1"/>
  <c r="Q112" i="1"/>
  <c r="Q114" i="1"/>
  <c r="P3" i="1"/>
  <c r="Q16" i="1"/>
  <c r="Q6" i="1"/>
  <c r="Q164" i="1"/>
  <c r="Q156" i="1"/>
  <c r="Q75" i="1"/>
  <c r="Q61" i="1"/>
  <c r="Q106" i="1"/>
  <c r="P152" i="1"/>
  <c r="AP152" i="1"/>
  <c r="Q160" i="1"/>
  <c r="Q107" i="1"/>
  <c r="AP165" i="1"/>
  <c r="P165" i="1"/>
  <c r="P20" i="1"/>
  <c r="AP20" i="1"/>
  <c r="Q151" i="1"/>
  <c r="Q26" i="1"/>
  <c r="Q157" i="1"/>
  <c r="Q25" i="1"/>
  <c r="Q162" i="1"/>
  <c r="Q159" i="1"/>
  <c r="Q84" i="1"/>
  <c r="Q109" i="1"/>
  <c r="Q82" i="1"/>
  <c r="CV166" i="1"/>
  <c r="CV23" i="1"/>
  <c r="AL82" i="1"/>
  <c r="CN82" i="1"/>
  <c r="CO82" i="1"/>
  <c r="CQ82" i="1"/>
  <c r="CR82" i="1"/>
  <c r="CS82" i="1"/>
  <c r="CT82" i="1"/>
  <c r="CU82" i="1"/>
  <c r="CP82" i="1"/>
  <c r="AL157" i="1"/>
  <c r="CR157" i="1"/>
  <c r="CO157" i="1"/>
  <c r="CP157" i="1"/>
  <c r="CS157" i="1"/>
  <c r="CT157" i="1"/>
  <c r="CU157" i="1"/>
  <c r="CQ157" i="1"/>
  <c r="CN157" i="1"/>
  <c r="AL29" i="1"/>
  <c r="CN29" i="1"/>
  <c r="CO29" i="1"/>
  <c r="CP29" i="1"/>
  <c r="CQ29" i="1"/>
  <c r="CR29" i="1"/>
  <c r="CS29" i="1"/>
  <c r="CT29" i="1"/>
  <c r="CU29" i="1"/>
  <c r="AL104" i="1"/>
  <c r="CR104" i="1"/>
  <c r="CS104" i="1"/>
  <c r="CT104" i="1"/>
  <c r="CU104" i="1"/>
  <c r="CN104" i="1"/>
  <c r="CO104" i="1"/>
  <c r="CP104" i="1"/>
  <c r="CQ104" i="1"/>
  <c r="AL77" i="1"/>
  <c r="CN77" i="1"/>
  <c r="CO77" i="1"/>
  <c r="CQ77" i="1"/>
  <c r="CR77" i="1"/>
  <c r="CS77" i="1"/>
  <c r="CT77" i="1"/>
  <c r="CU77" i="1"/>
  <c r="CP77" i="1"/>
  <c r="AL103" i="1"/>
  <c r="CR103" i="1"/>
  <c r="CS103" i="1"/>
  <c r="CT103" i="1"/>
  <c r="CU103" i="1"/>
  <c r="CN103" i="1"/>
  <c r="CO103" i="1"/>
  <c r="CP103" i="1"/>
  <c r="CQ103" i="1"/>
  <c r="AL25" i="1"/>
  <c r="CN25" i="1"/>
  <c r="CO25" i="1"/>
  <c r="CP25" i="1"/>
  <c r="CQ25" i="1"/>
  <c r="CR25" i="1"/>
  <c r="CS25" i="1"/>
  <c r="CT25" i="1"/>
  <c r="CU25" i="1"/>
  <c r="AL26" i="1"/>
  <c r="CN26" i="1"/>
  <c r="CO26" i="1"/>
  <c r="CP26" i="1"/>
  <c r="CQ26" i="1"/>
  <c r="CR26" i="1"/>
  <c r="CS26" i="1"/>
  <c r="CT26" i="1"/>
  <c r="CU26" i="1"/>
  <c r="AL164" i="1"/>
  <c r="CR164" i="1"/>
  <c r="CT164" i="1"/>
  <c r="CU164" i="1"/>
  <c r="CS164" i="1"/>
  <c r="CQ164" i="1"/>
  <c r="CN164" i="1"/>
  <c r="CO164" i="1"/>
  <c r="CP164" i="1"/>
  <c r="AL159" i="1"/>
  <c r="CR159" i="1"/>
  <c r="CO159" i="1"/>
  <c r="CP159" i="1"/>
  <c r="CN159" i="1"/>
  <c r="CQ159" i="1"/>
  <c r="CS159" i="1"/>
  <c r="CT159" i="1"/>
  <c r="CU159" i="1"/>
  <c r="AL75" i="1"/>
  <c r="CN75" i="1"/>
  <c r="CO75" i="1"/>
  <c r="CQ75" i="1"/>
  <c r="CR75" i="1"/>
  <c r="CS75" i="1"/>
  <c r="CT75" i="1"/>
  <c r="CU75" i="1"/>
  <c r="CP75" i="1"/>
  <c r="AL17" i="1"/>
  <c r="CN17" i="1"/>
  <c r="CO17" i="1"/>
  <c r="CP17" i="1"/>
  <c r="CQ17" i="1"/>
  <c r="CR17" i="1"/>
  <c r="CS17" i="1"/>
  <c r="CT17" i="1"/>
  <c r="CU17" i="1"/>
  <c r="AL117" i="1"/>
  <c r="CR117" i="1"/>
  <c r="CS117" i="1"/>
  <c r="CT117" i="1"/>
  <c r="CU117" i="1"/>
  <c r="CN117" i="1"/>
  <c r="CO117" i="1"/>
  <c r="CP117" i="1"/>
  <c r="CQ117" i="1"/>
  <c r="AL28" i="1"/>
  <c r="CN28" i="1"/>
  <c r="CO28" i="1"/>
  <c r="CP28" i="1"/>
  <c r="CQ28" i="1"/>
  <c r="CR28" i="1"/>
  <c r="CS28" i="1"/>
  <c r="CT28" i="1"/>
  <c r="CU28" i="1"/>
  <c r="AL74" i="1"/>
  <c r="CN74" i="1"/>
  <c r="CO74" i="1"/>
  <c r="CQ74" i="1"/>
  <c r="CR74" i="1"/>
  <c r="CS74" i="1"/>
  <c r="CT74" i="1"/>
  <c r="CU74" i="1"/>
  <c r="CP74" i="1"/>
  <c r="AL80" i="1"/>
  <c r="CN80" i="1"/>
  <c r="CO80" i="1"/>
  <c r="CQ80" i="1"/>
  <c r="CR80" i="1"/>
  <c r="CS80" i="1"/>
  <c r="CT80" i="1"/>
  <c r="CU80" i="1"/>
  <c r="CP80" i="1"/>
  <c r="AL4" i="1"/>
  <c r="CN4" i="1"/>
  <c r="CO4" i="1"/>
  <c r="CP4" i="1"/>
  <c r="CQ4" i="1"/>
  <c r="CR4" i="1"/>
  <c r="CS4" i="1"/>
  <c r="CT4" i="1"/>
  <c r="CU4" i="1"/>
  <c r="AL111" i="1"/>
  <c r="CR111" i="1"/>
  <c r="CS111" i="1"/>
  <c r="CT111" i="1"/>
  <c r="CU111" i="1"/>
  <c r="CN111" i="1"/>
  <c r="CO111" i="1"/>
  <c r="CP111" i="1"/>
  <c r="CQ111" i="1"/>
  <c r="AL161" i="1"/>
  <c r="CR161" i="1"/>
  <c r="CO161" i="1"/>
  <c r="CN161" i="1"/>
  <c r="CP161" i="1"/>
  <c r="CQ161" i="1"/>
  <c r="CS161" i="1"/>
  <c r="CT161" i="1"/>
  <c r="CU161" i="1"/>
  <c r="AL83" i="1"/>
  <c r="CN83" i="1"/>
  <c r="CO83" i="1"/>
  <c r="CQ83" i="1"/>
  <c r="CR83" i="1"/>
  <c r="CS83" i="1"/>
  <c r="CT83" i="1"/>
  <c r="CU83" i="1"/>
  <c r="CP83" i="1"/>
  <c r="AL156" i="1"/>
  <c r="CR156" i="1"/>
  <c r="CO156" i="1"/>
  <c r="CP156" i="1"/>
  <c r="CN156" i="1"/>
  <c r="CQ156" i="1"/>
  <c r="CS156" i="1"/>
  <c r="CT156" i="1"/>
  <c r="CU156" i="1"/>
  <c r="AL84" i="1"/>
  <c r="CN84" i="1"/>
  <c r="CO84" i="1"/>
  <c r="CQ84" i="1"/>
  <c r="CR84" i="1"/>
  <c r="CS84" i="1"/>
  <c r="CT84" i="1"/>
  <c r="CU84" i="1"/>
  <c r="CP84" i="1"/>
  <c r="AL160" i="1"/>
  <c r="CR160" i="1"/>
  <c r="CO160" i="1"/>
  <c r="CT160" i="1"/>
  <c r="CU160" i="1"/>
  <c r="CS160" i="1"/>
  <c r="CN160" i="1"/>
  <c r="CP160" i="1"/>
  <c r="CQ160" i="1"/>
  <c r="AL106" i="1"/>
  <c r="CR106" i="1"/>
  <c r="CS106" i="1"/>
  <c r="CT106" i="1"/>
  <c r="CU106" i="1"/>
  <c r="CN106" i="1"/>
  <c r="CO106" i="1"/>
  <c r="CP106" i="1"/>
  <c r="CQ106" i="1"/>
  <c r="AL162" i="1"/>
  <c r="CR162" i="1"/>
  <c r="CO162" i="1"/>
  <c r="CP162" i="1"/>
  <c r="CQ162" i="1"/>
  <c r="CS162" i="1"/>
  <c r="CT162" i="1"/>
  <c r="CU162" i="1"/>
  <c r="CN162" i="1"/>
  <c r="AL151" i="1"/>
  <c r="CR151" i="1"/>
  <c r="CO151" i="1"/>
  <c r="CP151" i="1"/>
  <c r="CS151" i="1"/>
  <c r="CT151" i="1"/>
  <c r="CU151" i="1"/>
  <c r="CQ151" i="1"/>
  <c r="CN151" i="1"/>
  <c r="AL61" i="1"/>
  <c r="CN61" i="1"/>
  <c r="CO61" i="1"/>
  <c r="CP61" i="1"/>
  <c r="CQ61" i="1"/>
  <c r="CR61" i="1"/>
  <c r="CW61" i="1"/>
  <c r="CS61" i="1"/>
  <c r="CT61" i="1"/>
  <c r="CU61" i="1"/>
  <c r="AL112" i="1"/>
  <c r="CR112" i="1"/>
  <c r="CS112" i="1"/>
  <c r="CT112" i="1"/>
  <c r="CU112" i="1"/>
  <c r="CN112" i="1"/>
  <c r="CV112" i="1"/>
  <c r="CO112" i="1"/>
  <c r="CP112" i="1"/>
  <c r="CQ112" i="1"/>
  <c r="AL153" i="1"/>
  <c r="CR153" i="1"/>
  <c r="CO153" i="1"/>
  <c r="CP153" i="1"/>
  <c r="CS153" i="1"/>
  <c r="CT153" i="1"/>
  <c r="CU153" i="1"/>
  <c r="CQ153" i="1"/>
  <c r="CW153" i="1"/>
  <c r="CN153" i="1"/>
  <c r="AL158" i="1"/>
  <c r="CR158" i="1"/>
  <c r="CO158" i="1"/>
  <c r="CN158" i="1"/>
  <c r="CV158" i="1"/>
  <c r="CP158" i="1"/>
  <c r="CQ158" i="1"/>
  <c r="CS158" i="1"/>
  <c r="CT158" i="1"/>
  <c r="CU158" i="1"/>
  <c r="AL76" i="1"/>
  <c r="CN76" i="1"/>
  <c r="CO76" i="1"/>
  <c r="CQ76" i="1"/>
  <c r="CR76" i="1"/>
  <c r="CS76" i="1"/>
  <c r="CT76" i="1"/>
  <c r="CU76" i="1"/>
  <c r="CP76" i="1"/>
  <c r="AL69" i="1"/>
  <c r="CN69" i="1"/>
  <c r="CO69" i="1"/>
  <c r="CP69" i="1"/>
  <c r="CQ69" i="1"/>
  <c r="CR69" i="1"/>
  <c r="CS69" i="1"/>
  <c r="CT69" i="1"/>
  <c r="CU69" i="1"/>
  <c r="AL116" i="1"/>
  <c r="CR116" i="1"/>
  <c r="CS116" i="1"/>
  <c r="CT116" i="1"/>
  <c r="CU116" i="1"/>
  <c r="CN116" i="1"/>
  <c r="CO116" i="1"/>
  <c r="CP116" i="1"/>
  <c r="CQ116" i="1"/>
  <c r="AL27" i="1"/>
  <c r="CN27" i="1"/>
  <c r="CO27" i="1"/>
  <c r="CP27" i="1"/>
  <c r="CQ27" i="1"/>
  <c r="CR27" i="1"/>
  <c r="CS27" i="1"/>
  <c r="CT27" i="1"/>
  <c r="CU27" i="1"/>
  <c r="AL71" i="1"/>
  <c r="CN71" i="1"/>
  <c r="CO71" i="1"/>
  <c r="CP71" i="1"/>
  <c r="CQ71" i="1"/>
  <c r="CR71" i="1"/>
  <c r="CS71" i="1"/>
  <c r="CT71" i="1"/>
  <c r="CU71" i="1"/>
  <c r="AL72" i="1"/>
  <c r="CN72" i="1"/>
  <c r="CO72" i="1"/>
  <c r="CQ72" i="1"/>
  <c r="CW72" i="1"/>
  <c r="CR72" i="1"/>
  <c r="CS72" i="1"/>
  <c r="CT72" i="1"/>
  <c r="CU72" i="1"/>
  <c r="CP72" i="1"/>
  <c r="AL78" i="1"/>
  <c r="CN78" i="1"/>
  <c r="CO78" i="1"/>
  <c r="CQ78" i="1"/>
  <c r="CW78" i="1"/>
  <c r="CR78" i="1"/>
  <c r="CS78" i="1"/>
  <c r="CT78" i="1"/>
  <c r="CU78" i="1"/>
  <c r="CP78" i="1"/>
  <c r="AL105" i="1"/>
  <c r="CR105" i="1"/>
  <c r="CW105" i="1"/>
  <c r="CS105" i="1"/>
  <c r="CT105" i="1"/>
  <c r="CU105" i="1"/>
  <c r="CN105" i="1"/>
  <c r="CO105" i="1"/>
  <c r="CP105" i="1"/>
  <c r="CQ105" i="1"/>
  <c r="AL70" i="1"/>
  <c r="CN70" i="1"/>
  <c r="CV70" i="1"/>
  <c r="CO70" i="1"/>
  <c r="CP70" i="1"/>
  <c r="CQ70" i="1"/>
  <c r="CR70" i="1"/>
  <c r="CS70" i="1"/>
  <c r="CT70" i="1"/>
  <c r="CU70" i="1"/>
  <c r="AL115" i="1"/>
  <c r="CR115" i="1"/>
  <c r="CS115" i="1"/>
  <c r="CW115" i="1"/>
  <c r="CT115" i="1"/>
  <c r="CU115" i="1"/>
  <c r="CN115" i="1"/>
  <c r="CV115" i="1"/>
  <c r="CO115" i="1"/>
  <c r="CP115" i="1"/>
  <c r="CQ115" i="1"/>
  <c r="CN57" i="1"/>
  <c r="CO57" i="1"/>
  <c r="CP57" i="1"/>
  <c r="CQ57" i="1"/>
  <c r="CR57" i="1"/>
  <c r="CS57" i="1"/>
  <c r="CT57" i="1"/>
  <c r="CU57" i="1"/>
  <c r="AL113" i="1"/>
  <c r="CR113" i="1"/>
  <c r="CS113" i="1"/>
  <c r="CT113" i="1"/>
  <c r="CU113" i="1"/>
  <c r="CN113" i="1"/>
  <c r="CV113" i="1"/>
  <c r="CO113" i="1"/>
  <c r="CP113" i="1"/>
  <c r="CQ113" i="1"/>
  <c r="CW113" i="1"/>
  <c r="AL109" i="1"/>
  <c r="CR109" i="1"/>
  <c r="CS109" i="1"/>
  <c r="CT109" i="1"/>
  <c r="CU109" i="1"/>
  <c r="CN109" i="1"/>
  <c r="CO109" i="1"/>
  <c r="CP109" i="1"/>
  <c r="CQ109" i="1"/>
  <c r="AL16" i="1"/>
  <c r="CN16" i="1"/>
  <c r="CO16" i="1"/>
  <c r="CP16" i="1"/>
  <c r="CQ16" i="1"/>
  <c r="CW16" i="1"/>
  <c r="CR16" i="1"/>
  <c r="CS16" i="1"/>
  <c r="CT16" i="1"/>
  <c r="CU16" i="1"/>
  <c r="AL114" i="1"/>
  <c r="CR114" i="1"/>
  <c r="CS114" i="1"/>
  <c r="CT114" i="1"/>
  <c r="CU114" i="1"/>
  <c r="CN114" i="1"/>
  <c r="CO114" i="1"/>
  <c r="CP114" i="1"/>
  <c r="CV114" i="1"/>
  <c r="CQ114" i="1"/>
  <c r="AL101" i="1"/>
  <c r="CR101" i="1"/>
  <c r="CS101" i="1"/>
  <c r="CT101" i="1"/>
  <c r="CU101" i="1"/>
  <c r="CN101" i="1"/>
  <c r="CO101" i="1"/>
  <c r="CP101" i="1"/>
  <c r="CV101" i="1"/>
  <c r="CQ101" i="1"/>
  <c r="CW101" i="1"/>
  <c r="AL155" i="1"/>
  <c r="CR155" i="1"/>
  <c r="CO155" i="1"/>
  <c r="CP155" i="1"/>
  <c r="CS155" i="1"/>
  <c r="CT155" i="1"/>
  <c r="CU155" i="1"/>
  <c r="CN155" i="1"/>
  <c r="CV155" i="1"/>
  <c r="CQ155" i="1"/>
  <c r="AL18" i="1"/>
  <c r="CN18" i="1"/>
  <c r="CO18" i="1"/>
  <c r="CV18" i="1"/>
  <c r="CP18" i="1"/>
  <c r="CQ18" i="1"/>
  <c r="CR18" i="1"/>
  <c r="CS18" i="1"/>
  <c r="CT18" i="1"/>
  <c r="CU18" i="1"/>
  <c r="AL79" i="1"/>
  <c r="CN79" i="1"/>
  <c r="CO79" i="1"/>
  <c r="CQ79" i="1"/>
  <c r="CR79" i="1"/>
  <c r="CS79" i="1"/>
  <c r="CT79" i="1"/>
  <c r="CU79" i="1"/>
  <c r="CP79" i="1"/>
  <c r="AL67" i="1"/>
  <c r="CN67" i="1"/>
  <c r="CO67" i="1"/>
  <c r="CP67" i="1"/>
  <c r="CQ67" i="1"/>
  <c r="CR67" i="1"/>
  <c r="CS67" i="1"/>
  <c r="CT67" i="1"/>
  <c r="CU67" i="1"/>
  <c r="AL60" i="1"/>
  <c r="CN60" i="1"/>
  <c r="CO60" i="1"/>
  <c r="CP60" i="1"/>
  <c r="CQ60" i="1"/>
  <c r="CR60" i="1"/>
  <c r="CS60" i="1"/>
  <c r="CW60" i="1"/>
  <c r="CT60" i="1"/>
  <c r="CU60" i="1"/>
  <c r="AL6" i="1"/>
  <c r="CN6" i="1"/>
  <c r="CO6" i="1"/>
  <c r="CP6" i="1"/>
  <c r="CQ6" i="1"/>
  <c r="CR6" i="1"/>
  <c r="CS6" i="1"/>
  <c r="CW6" i="1"/>
  <c r="CT6" i="1"/>
  <c r="CU6" i="1"/>
  <c r="AL107" i="1"/>
  <c r="CR107" i="1"/>
  <c r="CS107" i="1"/>
  <c r="CT107" i="1"/>
  <c r="CU107" i="1"/>
  <c r="CN107" i="1"/>
  <c r="CO107" i="1"/>
  <c r="CP107" i="1"/>
  <c r="CQ107" i="1"/>
  <c r="AL5" i="1"/>
  <c r="CN5" i="1"/>
  <c r="CO5" i="1"/>
  <c r="CP5" i="1"/>
  <c r="CQ5" i="1"/>
  <c r="CR5" i="1"/>
  <c r="CS5" i="1"/>
  <c r="CT5" i="1"/>
  <c r="CU5" i="1"/>
  <c r="AL24" i="1"/>
  <c r="CN24" i="1"/>
  <c r="CO24" i="1"/>
  <c r="CP24" i="1"/>
  <c r="CQ24" i="1"/>
  <c r="CR24" i="1"/>
  <c r="CS24" i="1"/>
  <c r="CT24" i="1"/>
  <c r="CU24" i="1"/>
  <c r="AL59" i="1"/>
  <c r="CN59" i="1"/>
  <c r="CO59" i="1"/>
  <c r="CP59" i="1"/>
  <c r="CQ59" i="1"/>
  <c r="CR59" i="1"/>
  <c r="CS59" i="1"/>
  <c r="CT59" i="1"/>
  <c r="CU59" i="1"/>
  <c r="AL118" i="1"/>
  <c r="CR118" i="1"/>
  <c r="CS118" i="1"/>
  <c r="CT118" i="1"/>
  <c r="CU118" i="1"/>
  <c r="CN118" i="1"/>
  <c r="CO118" i="1"/>
  <c r="CP118" i="1"/>
  <c r="CQ118" i="1"/>
  <c r="AL65" i="1"/>
  <c r="CN65" i="1"/>
  <c r="CO65" i="1"/>
  <c r="CP65" i="1"/>
  <c r="CQ65" i="1"/>
  <c r="CR65" i="1"/>
  <c r="CS65" i="1"/>
  <c r="CT65" i="1"/>
  <c r="CU65" i="1"/>
  <c r="AL110" i="1"/>
  <c r="CR110" i="1"/>
  <c r="CS110" i="1"/>
  <c r="CT110" i="1"/>
  <c r="CU110" i="1"/>
  <c r="CN110" i="1"/>
  <c r="CO110" i="1"/>
  <c r="CP110" i="1"/>
  <c r="CQ110" i="1"/>
  <c r="Q102" i="1"/>
  <c r="CV63" i="1"/>
  <c r="CV24" i="1"/>
  <c r="CV116" i="1"/>
  <c r="CV77" i="1"/>
  <c r="CV84" i="1"/>
  <c r="CV28" i="1"/>
  <c r="CV25" i="1"/>
  <c r="CV157" i="1"/>
  <c r="CV74" i="1"/>
  <c r="CV57" i="1"/>
  <c r="CV164" i="1"/>
  <c r="CV80" i="1"/>
  <c r="CV58" i="1"/>
  <c r="CW62" i="1"/>
  <c r="CV156" i="1"/>
  <c r="CW64" i="1"/>
  <c r="CV82" i="1"/>
  <c r="CV109" i="1"/>
  <c r="CV151" i="1"/>
  <c r="CW29" i="1"/>
  <c r="CV163" i="1"/>
  <c r="CW75" i="1"/>
  <c r="CW22" i="1"/>
  <c r="CW106" i="1"/>
  <c r="CV69" i="1"/>
  <c r="CV62" i="1"/>
  <c r="CV160" i="1"/>
  <c r="CW63" i="1"/>
  <c r="CW161" i="1"/>
  <c r="CW27" i="1"/>
  <c r="CW159" i="1"/>
  <c r="CW154" i="1"/>
  <c r="CW156" i="1"/>
  <c r="CW163" i="1"/>
  <c r="CV106" i="1"/>
  <c r="CW71" i="1"/>
  <c r="CW164" i="1"/>
  <c r="CW74" i="1"/>
  <c r="CW117" i="1"/>
  <c r="CW157" i="1"/>
  <c r="CW111" i="1"/>
  <c r="CV104" i="1"/>
  <c r="CV153" i="1"/>
  <c r="CV26" i="1"/>
  <c r="CV159" i="1"/>
  <c r="CW84" i="1"/>
  <c r="CW4" i="1"/>
  <c r="CV161" i="1"/>
  <c r="CV154" i="1"/>
  <c r="CW58" i="1"/>
  <c r="CW151" i="1"/>
  <c r="CW77" i="1"/>
  <c r="CW26" i="1"/>
  <c r="CW116" i="1"/>
  <c r="CV76" i="1"/>
  <c r="CV64" i="1"/>
  <c r="CW103" i="1"/>
  <c r="CW162" i="1"/>
  <c r="Q30" i="1"/>
  <c r="Q66" i="1"/>
  <c r="Q73" i="1"/>
  <c r="Q3" i="1"/>
  <c r="Q68" i="1"/>
  <c r="Q152" i="1"/>
  <c r="Q20" i="1"/>
  <c r="Q165" i="1"/>
  <c r="CW59" i="1"/>
  <c r="CW57" i="1"/>
  <c r="CV79" i="1"/>
  <c r="CV72" i="1"/>
  <c r="CW67" i="1"/>
  <c r="CW118" i="1"/>
  <c r="CV5" i="1"/>
  <c r="CW28" i="1"/>
  <c r="CV117" i="1"/>
  <c r="CW109" i="1"/>
  <c r="CV118" i="1"/>
  <c r="CV78" i="1"/>
  <c r="CW76" i="1"/>
  <c r="CW155" i="1"/>
  <c r="CW114" i="1"/>
  <c r="CV16" i="1"/>
  <c r="CW18" i="1"/>
  <c r="CW112" i="1"/>
  <c r="CV67" i="1"/>
  <c r="CW24" i="1"/>
  <c r="CW5" i="1"/>
  <c r="CV107" i="1"/>
  <c r="CV61" i="1"/>
  <c r="CV162" i="1"/>
  <c r="CW160" i="1"/>
  <c r="CV75" i="1"/>
  <c r="CV65" i="1"/>
  <c r="CW158" i="1"/>
  <c r="CW110" i="1"/>
  <c r="CW69" i="1"/>
  <c r="CW80" i="1"/>
  <c r="CV59" i="1"/>
  <c r="CW79" i="1"/>
  <c r="CW17" i="1"/>
  <c r="CV71" i="1"/>
  <c r="CW82" i="1"/>
  <c r="CW104" i="1"/>
  <c r="CV29" i="1"/>
  <c r="CW65" i="1"/>
  <c r="CW107" i="1"/>
  <c r="CV6" i="1"/>
  <c r="CV60" i="1"/>
  <c r="CW70" i="1"/>
  <c r="CV105" i="1"/>
  <c r="CV17" i="1"/>
  <c r="CW25" i="1"/>
  <c r="CV103" i="1"/>
  <c r="AL20" i="1"/>
  <c r="CN20" i="1"/>
  <c r="CO20" i="1"/>
  <c r="CP20" i="1"/>
  <c r="CQ20" i="1"/>
  <c r="CR20" i="1"/>
  <c r="CS20" i="1"/>
  <c r="CT20" i="1"/>
  <c r="CU20" i="1"/>
  <c r="CV27" i="1"/>
  <c r="AL165" i="1"/>
  <c r="CR165" i="1"/>
  <c r="CS165" i="1"/>
  <c r="CT165" i="1"/>
  <c r="CU165" i="1"/>
  <c r="CN165" i="1"/>
  <c r="CO165" i="1"/>
  <c r="CP165" i="1"/>
  <c r="CQ165" i="1"/>
  <c r="CV4" i="1"/>
  <c r="AL68" i="1"/>
  <c r="CN68" i="1"/>
  <c r="CO68" i="1"/>
  <c r="CP68" i="1"/>
  <c r="CQ68" i="1"/>
  <c r="CR68" i="1"/>
  <c r="CS68" i="1"/>
  <c r="CT68" i="1"/>
  <c r="CU68" i="1"/>
  <c r="AL3" i="1"/>
  <c r="CO3" i="1"/>
  <c r="CT3" i="1"/>
  <c r="CU3" i="1"/>
  <c r="CN3" i="1"/>
  <c r="CS3" i="1"/>
  <c r="CR3" i="1"/>
  <c r="CP3" i="1"/>
  <c r="CQ3" i="1"/>
  <c r="AL102" i="1"/>
  <c r="CR102" i="1"/>
  <c r="CS102" i="1"/>
  <c r="CT102" i="1"/>
  <c r="CU102" i="1"/>
  <c r="CN102" i="1"/>
  <c r="CO102" i="1"/>
  <c r="CP102" i="1"/>
  <c r="CV102" i="1"/>
  <c r="CQ102" i="1"/>
  <c r="AL152" i="1"/>
  <c r="CR152" i="1"/>
  <c r="CO152" i="1"/>
  <c r="CP152" i="1"/>
  <c r="CN152" i="1"/>
  <c r="CQ152" i="1"/>
  <c r="CS152" i="1"/>
  <c r="CT152" i="1"/>
  <c r="CU152" i="1"/>
  <c r="CV110" i="1"/>
  <c r="CW83" i="1"/>
  <c r="CV111" i="1"/>
  <c r="AL73" i="1"/>
  <c r="CN73" i="1"/>
  <c r="CO73" i="1"/>
  <c r="CQ73" i="1"/>
  <c r="CR73" i="1"/>
  <c r="CS73" i="1"/>
  <c r="CT73" i="1"/>
  <c r="CU73" i="1"/>
  <c r="CP73" i="1"/>
  <c r="AL30" i="1"/>
  <c r="CN30" i="1"/>
  <c r="CO30" i="1"/>
  <c r="CP30" i="1"/>
  <c r="CQ30" i="1"/>
  <c r="CR30" i="1"/>
  <c r="CS30" i="1"/>
  <c r="CT30" i="1"/>
  <c r="CU30" i="1"/>
  <c r="AL66" i="1"/>
  <c r="CN66" i="1"/>
  <c r="CO66" i="1"/>
  <c r="CP66" i="1"/>
  <c r="CQ66" i="1"/>
  <c r="CR66" i="1"/>
  <c r="CS66" i="1"/>
  <c r="CT66" i="1"/>
  <c r="CU66" i="1"/>
  <c r="CV83" i="1"/>
  <c r="CW165" i="1"/>
  <c r="CV152" i="1"/>
  <c r="CV20" i="1"/>
  <c r="CW68" i="1"/>
  <c r="CW3" i="1"/>
  <c r="CW20" i="1"/>
  <c r="CV66" i="1"/>
  <c r="CV30" i="1"/>
  <c r="CW102" i="1"/>
  <c r="CW73" i="1"/>
  <c r="CW152" i="1"/>
  <c r="CV73" i="1"/>
  <c r="CV3" i="1"/>
  <c r="CV68" i="1"/>
  <c r="CV165" i="1"/>
  <c r="CW30" i="1"/>
  <c r="CW66" i="1"/>
  <c r="B13" i="23" l="1"/>
  <c r="B12"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AU2" authorId="0" shapeId="0" xr:uid="{00000000-0006-0000-0100-000001000000}">
      <text>
        <r>
          <rPr>
            <b/>
            <sz val="9"/>
            <color indexed="81"/>
            <rFont val="Tahoma"/>
            <family val="2"/>
          </rPr>
          <t>Sacchi Romain:</t>
        </r>
        <r>
          <rPr>
            <sz val="9"/>
            <color indexed="81"/>
            <rFont val="Tahoma"/>
            <family val="2"/>
          </rPr>
          <t xml:space="preserve">
kg/km</t>
        </r>
      </text>
    </comment>
  </commentList>
</comments>
</file>

<file path=xl/sharedStrings.xml><?xml version="1.0" encoding="utf-8"?>
<sst xmlns="http://schemas.openxmlformats.org/spreadsheetml/2006/main" count="20148" uniqueCount="986">
  <si>
    <t>Vehicle</t>
  </si>
  <si>
    <t>Size</t>
  </si>
  <si>
    <t>Year</t>
  </si>
  <si>
    <t>Powertrain</t>
  </si>
  <si>
    <t>Lifetime [km]</t>
  </si>
  <si>
    <t>Lifetime [years]</t>
  </si>
  <si>
    <t>Annual kilometers [km]</t>
  </si>
  <si>
    <t>Passengers [unit]</t>
  </si>
  <si>
    <t>Passenger mass [kg]</t>
  </si>
  <si>
    <t>Cargo mass [kg]</t>
  </si>
  <si>
    <t>Driving mass [kg]</t>
  </si>
  <si>
    <t>Curb mass [kg]</t>
  </si>
  <si>
    <t>Power [kW]</t>
  </si>
  <si>
    <t>Glider mass [kg]</t>
  </si>
  <si>
    <t>Lightweighting rate [%]</t>
  </si>
  <si>
    <t>Glider base mass [kg]</t>
  </si>
  <si>
    <t>Mechanical powertrain mass [kg]</t>
  </si>
  <si>
    <t>Electric energy stored [kWh]</t>
  </si>
  <si>
    <t>Energy battery mass [kg]</t>
  </si>
  <si>
    <t>Energy battery cell mass [kg]</t>
  </si>
  <si>
    <t>Energy battery BoP mass [kg]</t>
  </si>
  <si>
    <t>Energy battery replacement [unit]</t>
  </si>
  <si>
    <t>Fuel mass [kg]</t>
  </si>
  <si>
    <t>Oxydation energy stored [kWh]</t>
  </si>
  <si>
    <t>Fuel tank mass [kg]</t>
  </si>
  <si>
    <t>Charging station power [kW]</t>
  </si>
  <si>
    <t>Range [km]</t>
  </si>
  <si>
    <t>Gasoline consumption [MJ/km]</t>
  </si>
  <si>
    <t>Electricity consumption [MJ/km]</t>
  </si>
  <si>
    <t>Road wear [kg/km]</t>
  </si>
  <si>
    <t>Tire wear [kg/km]</t>
  </si>
  <si>
    <t>Brake wear [kg/km]</t>
  </si>
  <si>
    <t>BEV</t>
  </si>
  <si>
    <t>Bicycle, conventional, urban</t>
  </si>
  <si>
    <t>43m</t>
  </si>
  <si>
    <t>ICEV-p</t>
  </si>
  <si>
    <t>Location</t>
  </si>
  <si>
    <t>CH</t>
  </si>
  <si>
    <t>Functional unit</t>
  </si>
  <si>
    <t>vkm</t>
  </si>
  <si>
    <t>pkm</t>
  </si>
  <si>
    <t>Bicycle, electric, cargo bike, label certified electricity</t>
  </si>
  <si>
    <t>Energy battery type</t>
  </si>
  <si>
    <t>NMC</t>
  </si>
  <si>
    <t>LFP</t>
  </si>
  <si>
    <t>NCA</t>
  </si>
  <si>
    <t>Gasoline</t>
  </si>
  <si>
    <t>Diesel</t>
  </si>
  <si>
    <t>CNG</t>
  </si>
  <si>
    <t>Fuel density [kg/l]</t>
  </si>
  <si>
    <t>Fuel volume [l]</t>
  </si>
  <si>
    <t>LHV [kWh/kg]</t>
  </si>
  <si>
    <t>Charging station per vehicle [unit]</t>
  </si>
  <si>
    <t>CO2 [kg/kg]</t>
  </si>
  <si>
    <t>SO2 [kg/kg]</t>
  </si>
  <si>
    <t>Benzene</t>
  </si>
  <si>
    <t>CH4</t>
  </si>
  <si>
    <t>CO</t>
  </si>
  <si>
    <t>N2O</t>
  </si>
  <si>
    <t>NH3</t>
  </si>
  <si>
    <t>NOx</t>
  </si>
  <si>
    <t>NMHC</t>
  </si>
  <si>
    <t>PM2.5</t>
  </si>
  <si>
    <t>Depth of discharge [%]</t>
  </si>
  <si>
    <t>Electric energy available [kWh]</t>
  </si>
  <si>
    <t>Emission standard</t>
  </si>
  <si>
    <t>CO2</t>
  </si>
  <si>
    <t>SO2</t>
  </si>
  <si>
    <t>skip</t>
  </si>
  <si>
    <t>MobiTool - other vehicles</t>
  </si>
  <si>
    <t>Database</t>
  </si>
  <si>
    <t>Activity</t>
  </si>
  <si>
    <t>location</t>
  </si>
  <si>
    <t>reference product</t>
  </si>
  <si>
    <t>type</t>
  </si>
  <si>
    <t>process</t>
  </si>
  <si>
    <t>unit</t>
  </si>
  <si>
    <t>kilogram</t>
  </si>
  <si>
    <t>source</t>
  </si>
  <si>
    <t>Exchanges</t>
  </si>
  <si>
    <t>name</t>
  </si>
  <si>
    <t>amount</t>
  </si>
  <si>
    <t>categories</t>
  </si>
  <si>
    <t>comment</t>
  </si>
  <si>
    <t>production</t>
  </si>
  <si>
    <t/>
  </si>
  <si>
    <t>vehicle</t>
  </si>
  <si>
    <t>size</t>
  </si>
  <si>
    <t>year</t>
  </si>
  <si>
    <t>technosphere</t>
  </si>
  <si>
    <t>names</t>
  </si>
  <si>
    <t>bicycle production</t>
  </si>
  <si>
    <t>RER</t>
  </si>
  <si>
    <t>bicycle</t>
  </si>
  <si>
    <t>multiplication factor</t>
  </si>
  <si>
    <t>GLO</t>
  </si>
  <si>
    <t>kilowatt hour</t>
  </si>
  <si>
    <t>market for petrol, low-sulfur</t>
  </si>
  <si>
    <t>market for electricity, low voltage</t>
  </si>
  <si>
    <t>petrol, low-sulfur</t>
  </si>
  <si>
    <t>electricity, low voltage</t>
  </si>
  <si>
    <t>tram</t>
  </si>
  <si>
    <t>tram production</t>
  </si>
  <si>
    <t>Road/track use [m*year/vkm or pkm]</t>
  </si>
  <si>
    <t>tram track construction</t>
  </si>
  <si>
    <t>meter-year</t>
  </si>
  <si>
    <t>tram track</t>
  </si>
  <si>
    <t>road construction</t>
  </si>
  <si>
    <t>road</t>
  </si>
  <si>
    <t>market for electricity, medium voltage</t>
  </si>
  <si>
    <t>Road maintenance [m*year/vkm]</t>
  </si>
  <si>
    <t>road maintenance</t>
  </si>
  <si>
    <t>motor scooter production</t>
  </si>
  <si>
    <t>motor scooter, 50 cubic cm engine</t>
  </si>
  <si>
    <t>polyethylene production, high density, granulate</t>
  </si>
  <si>
    <t>polyethylene, high density, granulate</t>
  </si>
  <si>
    <t>Servicing [unit]</t>
  </si>
  <si>
    <t>maintenance, bicycle</t>
  </si>
  <si>
    <t>maintenance, tram</t>
  </si>
  <si>
    <t>maintenance, motor scooter</t>
  </si>
  <si>
    <t>maintenance, electric scooter, without battery</t>
  </si>
  <si>
    <t>glider, for electric scooter</t>
  </si>
  <si>
    <t>electricity, medium voltage</t>
  </si>
  <si>
    <t>Full name</t>
  </si>
  <si>
    <t>full name</t>
  </si>
  <si>
    <t>lifetime</t>
  </si>
  <si>
    <t>passengers</t>
  </si>
  <si>
    <t>service</t>
  </si>
  <si>
    <t>battery replacement</t>
  </si>
  <si>
    <t>annual kilometers</t>
  </si>
  <si>
    <t>curb mass</t>
  </si>
  <si>
    <t>power</t>
  </si>
  <si>
    <t>battery mass</t>
  </si>
  <si>
    <t>battery capacity</t>
  </si>
  <si>
    <t>range</t>
  </si>
  <si>
    <t>emission standard</t>
  </si>
  <si>
    <t>tank capacity</t>
  </si>
  <si>
    <t>fuel mass</t>
  </si>
  <si>
    <t>None</t>
  </si>
  <si>
    <t>EURO-3</t>
  </si>
  <si>
    <t>EURO-4</t>
  </si>
  <si>
    <t>EURO-5</t>
  </si>
  <si>
    <t>Discarding glider [kg]</t>
  </si>
  <si>
    <t>Discarding powertrain [kg]</t>
  </si>
  <si>
    <t>Discarding battery [kg]</t>
  </si>
  <si>
    <t>market for used Li-ion battery</t>
  </si>
  <si>
    <t>used Li-ion battery</t>
  </si>
  <si>
    <t>treatment of used electric bicycle</t>
  </si>
  <si>
    <t>used electric bicycle</t>
  </si>
  <si>
    <t>powertrain, for electric scooter</t>
  </si>
  <si>
    <t>manual dismantling of electric scooter</t>
  </si>
  <si>
    <t>manual dismantling of used electric scooter</t>
  </si>
  <si>
    <t>Carbon dioxide, fossil</t>
  </si>
  <si>
    <t>Methane, fossil</t>
  </si>
  <si>
    <t>Carbon monoxide, fossil</t>
  </si>
  <si>
    <t>Ammonia</t>
  </si>
  <si>
    <t>Nitrogen oxides</t>
  </si>
  <si>
    <t>treatment of road wear emissions, passenger car</t>
  </si>
  <si>
    <t>treatment of tyre wear emissions, passenger car</t>
  </si>
  <si>
    <t>road wear emissions, passenger car</t>
  </si>
  <si>
    <t>tyre wear emissions, passenger car</t>
  </si>
  <si>
    <t>brake wear emissions, passenger car</t>
  </si>
  <si>
    <t>category</t>
  </si>
  <si>
    <t>air</t>
  </si>
  <si>
    <t>kilometer</t>
  </si>
  <si>
    <t>biosphere</t>
  </si>
  <si>
    <t>treatment of brake wear emissions, passenger car</t>
  </si>
  <si>
    <t>person-kilometer</t>
  </si>
  <si>
    <t>Bicycle, conventional, urban - 2020 - CH</t>
  </si>
  <si>
    <t>Bicycle, conventional, urban - 2030 - CH</t>
  </si>
  <si>
    <t>Bicycle, conventional, urban - 2040 - CH</t>
  </si>
  <si>
    <t>Bicycle, conventional, urban - 2050 - CH</t>
  </si>
  <si>
    <t>transport</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</si>
  <si>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</si>
  <si>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</si>
  <si>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</si>
  <si>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</si>
  <si>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</si>
  <si>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production amount</t>
  </si>
  <si>
    <t>Car db</t>
  </si>
  <si>
    <t>database</t>
  </si>
  <si>
    <t>market for aluminium alloy, AlLi</t>
  </si>
  <si>
    <t>aluminium alloy, AlLi</t>
  </si>
  <si>
    <t>market for steel, low-alloyed, hot rolled</t>
  </si>
  <si>
    <t>ecoinvent 3.5 cutoff</t>
  </si>
  <si>
    <t>steel, low-alloyed, hot rolled</t>
  </si>
  <si>
    <t>charging station, 500W</t>
  </si>
  <si>
    <t>charging station, 3kW</t>
  </si>
  <si>
    <t>market for electric powertrain, for electric scooter</t>
  </si>
  <si>
    <t>market for glider, for electric scooter</t>
  </si>
  <si>
    <t>market for maintenance, electric scooter, without battery</t>
  </si>
  <si>
    <t>megajoule</t>
  </si>
  <si>
    <t>aluminium, wrought alloy</t>
  </si>
  <si>
    <t>ton kilometer</t>
  </si>
  <si>
    <t>market group for electricity, medium voltage</t>
  </si>
  <si>
    <t>heat, district or industrial, natural gas</t>
  </si>
  <si>
    <t>Europe without Switzerland</t>
  </si>
  <si>
    <t>market for synthetic rubber</t>
  </si>
  <si>
    <t>synthetic rubber</t>
  </si>
  <si>
    <t>injection moulding</t>
  </si>
  <si>
    <t>market for metal working factory</t>
  </si>
  <si>
    <t>metal working factory</t>
  </si>
  <si>
    <t>metal working, average for aluminium product manufacturing</t>
  </si>
  <si>
    <t>market for metal working, average for steel product manufacturing</t>
  </si>
  <si>
    <t>metal working, average for steel product manufacturing</t>
  </si>
  <si>
    <t>market for steel, low-alloyed</t>
  </si>
  <si>
    <t>steel, low-alloyed</t>
  </si>
  <si>
    <t>water</t>
  </si>
  <si>
    <t>biosphere3</t>
  </si>
  <si>
    <t>NMVOC, non-methane volatile organic compounds, unspecified origin</t>
  </si>
  <si>
    <t>cubic meter</t>
  </si>
  <si>
    <t>square meter</t>
  </si>
  <si>
    <t>Sulfur dioxide</t>
  </si>
  <si>
    <t>Dinitrogen monoxide</t>
  </si>
  <si>
    <t>Particulates, &lt; 2.5 um</t>
  </si>
  <si>
    <t>Uses an electric scooter charger from ecoinvent 3.7 as a proxy. Shipping from Guangzhou to Amsterdam (15,900 km). Lorry within Europe (1,000 km).</t>
  </si>
  <si>
    <t>transport, freight, sea, container ship</t>
  </si>
  <si>
    <t>market for polyethylene, high density, granulate</t>
  </si>
  <si>
    <t>road vehicle factory</t>
  </si>
  <si>
    <t>road vehicle factory construction</t>
  </si>
  <si>
    <t>municipal solid waste</t>
  </si>
  <si>
    <t>market group for municipal solid waste</t>
  </si>
  <si>
    <t>market group for heat, district or industrial, natural gas</t>
  </si>
  <si>
    <t>market for aluminium, wrought alloy</t>
  </si>
  <si>
    <t>wire drawing, steel</t>
  </si>
  <si>
    <t>section bar extrusion, aluminium</t>
  </si>
  <si>
    <t>electric motor, vehicle</t>
  </si>
  <si>
    <t>market for electric motor, vehicle</t>
  </si>
  <si>
    <t>heat, district or industrial, other than natural gas</t>
  </si>
  <si>
    <t>market group for heat, district or industrial, other than natural gas</t>
  </si>
  <si>
    <t>tap water</t>
  </si>
  <si>
    <t>market group for tap water</t>
  </si>
  <si>
    <t>aluminium, cast alloy</t>
  </si>
  <si>
    <t>market for aluminium, cast alloy</t>
  </si>
  <si>
    <t>polyurethane, flexible foam</t>
  </si>
  <si>
    <t>market for polyurethane, flexible foam</t>
  </si>
  <si>
    <t>steel, chromium steel 18/8, hot rolled</t>
  </si>
  <si>
    <t>market for steel, chromium steel 18/8, hot rolled</t>
  </si>
  <si>
    <t>powder coat, aluminium sheet</t>
  </si>
  <si>
    <t>powder coating, aluminium sheet</t>
  </si>
  <si>
    <t>chromium steel removed by turning, average, conventional</t>
  </si>
  <si>
    <t>chromium steel turning, average, conventional</t>
  </si>
  <si>
    <t>meter</t>
  </si>
  <si>
    <t>welding, arc, aluminium</t>
  </si>
  <si>
    <t>wastewater, average</t>
  </si>
  <si>
    <t>market for wastewater, average</t>
  </si>
  <si>
    <t>Water</t>
  </si>
  <si>
    <t>This is a copy of the ecoinvent dataset "electric bicycle production" where the battery and the electric motor have been removed.</t>
  </si>
  <si>
    <t>electric bicycle, without battery and motor</t>
  </si>
  <si>
    <t>electric bicycle production, without battery and motor</t>
  </si>
  <si>
    <t>maintenance, electric bicycle, without battery</t>
  </si>
  <si>
    <t>aluminium alloy, AlMg3</t>
  </si>
  <si>
    <t>market for aluminium alloy, AlMg3</t>
  </si>
  <si>
    <t>waste plastic, mixture</t>
  </si>
  <si>
    <t>market for waste plastic, mixture</t>
  </si>
  <si>
    <t>waste rubber, unspecified</t>
  </si>
  <si>
    <t>market for waste rubber, unspecified</t>
  </si>
  <si>
    <t>market for tap water</t>
  </si>
  <si>
    <t>ecoinvent</t>
  </si>
  <si>
    <t>This is a copy of the ecoinvent dataset "maintenance, electric bicycle" where the battery replacement and treatment has been removed.</t>
  </si>
  <si>
    <t>origin</t>
  </si>
  <si>
    <t>China</t>
  </si>
  <si>
    <t>distance by ship [km]</t>
  </si>
  <si>
    <t>distance by truck [km]</t>
  </si>
  <si>
    <t>Bicycle, electric (&lt;25 km/h)</t>
  </si>
  <si>
    <t>Bicycle, electric (&lt;45 km/h)</t>
  </si>
  <si>
    <t>Tram, electric</t>
  </si>
  <si>
    <t>Motorbike, electric, &lt;4kW</t>
  </si>
  <si>
    <t>Motorbike, electric, 4-11kW</t>
  </si>
  <si>
    <t>Motorbike, electric, 11-35kW</t>
  </si>
  <si>
    <t>Motorbike, electric, &gt;35kW</t>
  </si>
  <si>
    <t>Bicycle, electric, cargo bike</t>
  </si>
  <si>
    <t>Tram, electric - 2020 - CH</t>
  </si>
  <si>
    <t>Tram, electric - 2030 - CH</t>
  </si>
  <si>
    <t>Tram, electric - 2040 - CH</t>
  </si>
  <si>
    <t>Tram, electric - 2050 - CH</t>
  </si>
  <si>
    <t>Electric powertrain mass [kg]</t>
  </si>
  <si>
    <t>Europe</t>
  </si>
  <si>
    <t>Title</t>
  </si>
  <si>
    <t>Authors</t>
  </si>
  <si>
    <t>Reviewed by</t>
  </si>
  <si>
    <t>Cox B. (INFRAS)</t>
  </si>
  <si>
    <t>Vehicles' specifications and definitions are listed in "vehicles specifications".</t>
  </si>
  <si>
    <t>Any modification in "vehicles specifications" is automatically reflected in the unit processes.</t>
  </si>
  <si>
    <t>treatment of used tram</t>
  </si>
  <si>
    <t>used tram</t>
  </si>
  <si>
    <t>Road/track decommissioning [m*year/vkm or pkm]</t>
  </si>
  <si>
    <t>decommissioned tram track</t>
  </si>
  <si>
    <t>treatment of decommissioned tram track</t>
  </si>
  <si>
    <t>treatment of used bicycle</t>
  </si>
  <si>
    <t>used bicycle</t>
  </si>
  <si>
    <t>market for refrigerant R134a</t>
  </si>
  <si>
    <t>refrigerant R134a</t>
  </si>
  <si>
    <t>Air conditioning [kg/pkm]</t>
  </si>
  <si>
    <t>Ethane, 1,1,1,2-tetrafluoro-, HFC-134a</t>
  </si>
  <si>
    <t>R134a leakage</t>
  </si>
  <si>
    <t>Particulates, &gt; 10 um</t>
  </si>
  <si>
    <t>Copper</t>
  </si>
  <si>
    <t>Chromium</t>
  </si>
  <si>
    <t>Nickel</t>
  </si>
  <si>
    <t>Contact line abrasion. Source: https://iir-de-2020.wikidot.com/1-a-3-c-railways</t>
  </si>
  <si>
    <t>Wheels on rail abrasion.  Source: https://iir-de-2020.wikidot.com/1-a-3-c-railways</t>
  </si>
  <si>
    <t>Brake wear abrasion. Source: https://iir-de-2020.wikidot.com/1-a-3-c-railways</t>
  </si>
  <si>
    <t>ei 3.7</t>
  </si>
  <si>
    <t>Shipping to market included?</t>
  </si>
  <si>
    <t>End Of Life treatment included?</t>
  </si>
  <si>
    <t>electric bicycle production</t>
  </si>
  <si>
    <t>electric scooter production</t>
  </si>
  <si>
    <t>uvek</t>
  </si>
  <si>
    <t>motorbike production</t>
  </si>
  <si>
    <t>electric motorbike production</t>
  </si>
  <si>
    <t>Tabs starting with "lci-" contain unit processes to be consumed by brightway2. The inventories should link to ecoinvent 3.7, cut-off.</t>
  </si>
  <si>
    <t>Last revision</t>
  </si>
  <si>
    <r>
      <t xml:space="preserve">Unit processes consist of </t>
    </r>
    <r>
      <rPr>
        <u/>
        <sz val="11"/>
        <color indexed="8"/>
        <rFont val="Calibri"/>
        <family val="2"/>
      </rPr>
      <t>vehicles datasets</t>
    </r>
    <r>
      <rPr>
        <sz val="11"/>
        <color theme="1"/>
        <rFont val="Calibri"/>
        <family val="2"/>
        <scheme val="minor"/>
      </rPr>
      <t xml:space="preserve"> on the one hand (with the unit "unit"), and </t>
    </r>
    <r>
      <rPr>
        <u/>
        <sz val="11"/>
        <color indexed="8"/>
        <rFont val="Calibri"/>
        <family val="2"/>
      </rPr>
      <t>transport activity datasets</t>
    </r>
    <r>
      <rPr>
        <sz val="11"/>
        <color theme="1"/>
        <rFont val="Calibri"/>
        <family val="2"/>
        <scheme val="minor"/>
      </rPr>
      <t xml:space="preserve"> on the other (with the unit "kilometer" or "person-kilometer").</t>
    </r>
  </si>
  <si>
    <t>For some vehicles, the disposal treatment is included in the vehicle production dataset. For example, the dataset "bicycle production" contains the EoL treatment. In case the EoL treatment is not icnluded in the vehicle production dataset, it is added within the vehicle dataset.</t>
  </si>
  <si>
    <t>Finally, the transport to market is also added in the vehicle dataset, where most of the vehicles' components are assumed to be produced and assembled in Asia and shipped to Europe, to be distributed afterwards in Switzerland.</t>
  </si>
  <si>
    <t>Ethane</t>
  </si>
  <si>
    <t>Propane</t>
  </si>
  <si>
    <t>Butane</t>
  </si>
  <si>
    <t>Pentane</t>
  </si>
  <si>
    <t>Hexane</t>
  </si>
  <si>
    <t>Cyclohexane</t>
  </si>
  <si>
    <t>Heptane</t>
  </si>
  <si>
    <t>Ethene</t>
  </si>
  <si>
    <t>Propene</t>
  </si>
  <si>
    <t>1-Pentene</t>
  </si>
  <si>
    <t>Toluene</t>
  </si>
  <si>
    <t>m-Xylene</t>
  </si>
  <si>
    <t>o-Xylene</t>
  </si>
  <si>
    <t>Formaldehyde</t>
  </si>
  <si>
    <t>Acetaldehyde</t>
  </si>
  <si>
    <t>Benzaldehyde</t>
  </si>
  <si>
    <t>Acetone</t>
  </si>
  <si>
    <t>Acrolein</t>
  </si>
  <si>
    <t>Styrene</t>
  </si>
  <si>
    <t>Methyl ethyl ketone</t>
  </si>
  <si>
    <t>PAHs</t>
  </si>
  <si>
    <t>Arsenic</t>
  </si>
  <si>
    <t>Selenium</t>
  </si>
  <si>
    <t>Zinc</t>
  </si>
  <si>
    <t>Mercury</t>
  </si>
  <si>
    <t>Cadmium</t>
  </si>
  <si>
    <t>Chromium VI</t>
  </si>
  <si>
    <t>PAH, polycyclic aromatic hydrocarbons</t>
  </si>
  <si>
    <t>Scooter, electric, 4-11kW</t>
  </si>
  <si>
    <t>Scooter, gasoline, 4-11kW, EURO-3</t>
  </si>
  <si>
    <t>Scooter, gasoline, 4-11kW, EURO-4</t>
  </si>
  <si>
    <t>Scooter, gasoline, 4-11kW, EURO-5</t>
  </si>
  <si>
    <t>Scooter, gasoline, 4-11kW, EURO-3 - 2006 - CH</t>
  </si>
  <si>
    <t>Scooter, gasoline, 4-11kW, EURO-4 - 2016 - CH</t>
  </si>
  <si>
    <t>Scooter, gasoline, 4-11kW, EURO-5 - 2020 - CH</t>
  </si>
  <si>
    <t>Scooter, gasoline, 4-11kW, EURO-5 - 2030 - CH</t>
  </si>
  <si>
    <t>Scooter, gasoline, 4-11kW, EURO-5 - 2040 - CH</t>
  </si>
  <si>
    <t>Scooter, gasoline, 4-11kW, EURO-5 - 2050 - CH</t>
  </si>
  <si>
    <t>Moped, gasoline, &lt;4kW, EURO-3</t>
  </si>
  <si>
    <t>Moped, gasoline, &lt;4kW, EURO-4</t>
  </si>
  <si>
    <t>Moped, gasoline, &lt;4kW, EURO-5</t>
  </si>
  <si>
    <t>Moped, gasoline, &lt;4kW, EURO-3 - 2006 - CH</t>
  </si>
  <si>
    <t>Moped, gasoline, &lt;4kW, EURO-4 - 2016 - CH</t>
  </si>
  <si>
    <t>Moped, gasoline, &lt;4kW, EURO-5 - 2020 - CH</t>
  </si>
  <si>
    <t>Moped, gasoline, &lt;4kW, EURO-5 - 2030 - CH</t>
  </si>
  <si>
    <t>Moped, gasoline, &lt;4kW, EURO-5 - 2040 - CH</t>
  </si>
  <si>
    <t>Moped, gasoline, &lt;4kW, EURO-5 - 2050 - CH</t>
  </si>
  <si>
    <t>battery capacity available</t>
  </si>
  <si>
    <t>petrol blending for two-stroke engines</t>
  </si>
  <si>
    <t>petrol, two-stroke blend</t>
  </si>
  <si>
    <t>charging station, 100W</t>
  </si>
  <si>
    <t>Uses a fraction of an electric scooter charger from ecoinvent 3.7 as a proxy. Weight: approx. 0.5 kg. Power output: approx: 100W. Shipping from Guangzhou to Amsterdam (15,900 km). Lorry within Europe (1,000 km).</t>
  </si>
  <si>
    <t>NMVOC</t>
  </si>
  <si>
    <t>Methyl</t>
  </si>
  <si>
    <t>Mopeds 2-stroke &lt;50 cm³</t>
  </si>
  <si>
    <t>Mopeds 4-stroke &lt;50 cm³</t>
  </si>
  <si>
    <t>Motorcycles 2-stroke &gt;50 cm³</t>
  </si>
  <si>
    <t>Motorcycles 4-stroke &lt;250 cm³</t>
  </si>
  <si>
    <t>Motorcycles 4-stroke 250 - 750 cm³</t>
  </si>
  <si>
    <t>Motorcycles 4-stroke &gt;750 cm³</t>
  </si>
  <si>
    <t>VOC</t>
  </si>
  <si>
    <t>g/MJ</t>
  </si>
  <si>
    <t>Sacchi R. (PSI), Bauer C. (PSI), 2021</t>
  </si>
  <si>
    <t>source:</t>
  </si>
  <si>
    <t>https://www.eea.europa.eu/publications/emep-eea-guidebook-2019/part-b-sectoral-guidance-chapters/1-energy/1-a-combustion/1-a-3-b-i/view</t>
  </si>
  <si>
    <t>Vehicle datasets typically entail the manufacture of the vehicle (and the energy storage unit), its supply to the intended market and the disposal of the vehicle.</t>
  </si>
  <si>
    <t>Transport activity datasets typically entail the share of the vehicle necessary to operate a transport operation over 1 km (1 over its lifetime in kilometers), the fuel (or electricity) supply, the exhaust and non-exhaust emissions, the maintenance of the vehicle as well as the construction and maintenance of the road.</t>
  </si>
  <si>
    <t>Scooter, electric, &lt;4kW</t>
  </si>
  <si>
    <t>Scooter, gasoline, &lt;4kW, EURO-3</t>
  </si>
  <si>
    <t>Scooter, gasoline, &lt;4kW, EURO-4</t>
  </si>
  <si>
    <t>Scooter, gasoline, &lt;4kW, EURO-5</t>
  </si>
  <si>
    <t>Scooter, gasoline, &lt;4kW, EURO-3 - 2006 - CH</t>
  </si>
  <si>
    <t>Scooter, gasoline, &lt;4kW, EURO-4 - 2016 - CH</t>
  </si>
  <si>
    <t>Scooter, gasoline, &lt;4kW, EURO-5 - 2020 - CH</t>
  </si>
  <si>
    <t>Scooter, gasoline, &lt;4kW, EURO-5 - 2030 - CH</t>
  </si>
  <si>
    <t>Scooter, gasoline, &lt;4kW, EURO-5 - 2040 - CH</t>
  </si>
  <si>
    <t>Scooter, gasoline, &lt;4kW, EURO-5 - 2050 - CH</t>
  </si>
  <si>
    <t>Kick Scooter, electric, &lt;1kW</t>
  </si>
  <si>
    <t>All traffic situations</t>
  </si>
  <si>
    <t>Motorbike, gasoline, 11-35kW, EURO-3</t>
  </si>
  <si>
    <t>Motorbike, gasoline, 11-35kW, EURO-4</t>
  </si>
  <si>
    <t>Motorbike, gasoline, 11-35kW, EURO-5</t>
  </si>
  <si>
    <t>Motorbike, gasoline, 11-35kW, EURO-3 - 2006 - CH</t>
  </si>
  <si>
    <t>Motorbike, gasoline, 11-35kW, EURO-4 - 2016 - CH</t>
  </si>
  <si>
    <t>Motorbike, gasoline, 11-35kW, EURO-5 - 2020 - CH</t>
  </si>
  <si>
    <t>Motorbike, gasoline, 11-35kW, EURO-5 - 2030 - CH</t>
  </si>
  <si>
    <t>Motorbike, gasoline, 11-35kW, EURO-5 - 2040 - CH</t>
  </si>
  <si>
    <t>Motorbike, gasoline, 11-35kW, EURO-5 - 2050 - CH</t>
  </si>
  <si>
    <t>Motorbike, gasoline, &gt;35kW, EURO-3</t>
  </si>
  <si>
    <t>Motorbike, gasoline, &gt;35kW, EURO-4</t>
  </si>
  <si>
    <t>Motorbike, gasoline, &gt;35kW, EURO-5</t>
  </si>
  <si>
    <t>Motorbike, gasoline, &gt;35kW, EURO-3 - 2006 - CH</t>
  </si>
  <si>
    <t>Motorbike, gasoline, &gt;35kW, EURO-4 - 2016 - CH</t>
  </si>
  <si>
    <t>Motorbike, gasoline, &gt;35kW, EURO-5 - 2020 - CH</t>
  </si>
  <si>
    <t>Motorbike, gasoline, &gt;35kW, EURO-5 - 2030 - CH</t>
  </si>
  <si>
    <t>Motorbike, gasoline, &gt;35kW, EURO-5 - 2040 - CH</t>
  </si>
  <si>
    <t>Motorbike, gasoline, &gt;35kW, EURO-5 - 2050 - CH</t>
  </si>
  <si>
    <t>Motorbike, gasoline, 4-11kW, EURO-3</t>
  </si>
  <si>
    <t>Motorbike, gasoline, 4-11kW, EURO-4</t>
  </si>
  <si>
    <t>Motorbike, gasoline, 4-11kW, EURO-5</t>
  </si>
  <si>
    <t>Motorbike, gasoline, 4-11kW, EURO-3 - 2006 - CH</t>
  </si>
  <si>
    <t>Motorbike, gasoline, 4-11kW, EURO-4 - 2016 - CH</t>
  </si>
  <si>
    <t>Motorbike, gasoline, 4-11kW, EURO-5 - 2020 - CH</t>
  </si>
  <si>
    <t>Motorbike, gasoline, 4-11kW, EURO-5 - 2030 - CH</t>
  </si>
  <si>
    <t>Motorbike, gasoline, 4-11kW, EURO-5 - 2040 - CH</t>
  </si>
  <si>
    <t>Motorbike, gasoline, 4-11kW, EURO-5 - 2050 - CH</t>
  </si>
  <si>
    <t>Fuel tank shaping</t>
  </si>
  <si>
    <t>Tire wear emissions (kg emission/kg vehicle/km)</t>
  </si>
  <si>
    <t>Brake wear emissions (kg emission/kg vehicle/km)</t>
  </si>
  <si>
    <t>Road wear emissions (kg emission/kg vehicle/km)</t>
  </si>
  <si>
    <t>energy battery cell density [kg/kWh]</t>
  </si>
  <si>
    <t>battery type</t>
  </si>
  <si>
    <t>Kick Scooter, electric, &lt;1kW - 2020 - NMC - CH</t>
  </si>
  <si>
    <t>Kick Scooter, electric, &lt;1kW - 2030 - NMC - CH</t>
  </si>
  <si>
    <t>Kick Scooter, electric, &lt;1kW - 2040 - NMC - CH</t>
  </si>
  <si>
    <t>Kick Scooter, electric, &lt;1kW - 2050 - NMC - CH</t>
  </si>
  <si>
    <t>Kick Scooter, electric, &lt;1kW - 2020 - LFP - CH</t>
  </si>
  <si>
    <t>Kick Scooter, electric, &lt;1kW - 2030 - LFP - CH</t>
  </si>
  <si>
    <t>Kick Scooter, electric, &lt;1kW - 2040 - LFP - CH</t>
  </si>
  <si>
    <t>Kick Scooter, electric, &lt;1kW - 2050 - LFP - CH</t>
  </si>
  <si>
    <t>Kick Scooter, electric, &lt;1kW - 2020 - NCA - CH</t>
  </si>
  <si>
    <t>Kick Scooter, electric, &lt;1kW - 2030 - NCA - CH</t>
  </si>
  <si>
    <t>Kick Scooter, electric, &lt;1kW - 2040 - NCA - CH</t>
  </si>
  <si>
    <t>Kick Scooter, electric, &lt;1kW - 2050 - NCA - CH</t>
  </si>
  <si>
    <t>Bicycle, electric (&lt;25 km/h) - 2020 - NMC - CH</t>
  </si>
  <si>
    <t>Bicycle, electric (&lt;25 km/h) - 2030 - NMC - CH</t>
  </si>
  <si>
    <t>Bicycle, electric (&lt;25 km/h) - 2040 - NMC - CH</t>
  </si>
  <si>
    <t>Bicycle, electric (&lt;25 km/h) - 2050 - NMC - CH</t>
  </si>
  <si>
    <t>Bicycle, electric (&lt;45 km/h) - 2020 - NMC - CH</t>
  </si>
  <si>
    <t>Bicycle, electric (&lt;45 km/h) - 2030 - NMC - CH</t>
  </si>
  <si>
    <t>Bicycle, electric (&lt;45 km/h) - 2040 - NMC - CH</t>
  </si>
  <si>
    <t>Bicycle, electric (&lt;45 km/h) - 2050 - NMC - CH</t>
  </si>
  <si>
    <t>Bicycle, electric, cargo bike - 2020 - NMC - CH</t>
  </si>
  <si>
    <t>Bicycle, electric, cargo bike - 2030 - NMC - CH</t>
  </si>
  <si>
    <t>Bicycle, electric, cargo bike - 2040 - NMC - CH</t>
  </si>
  <si>
    <t>Bicycle, electric, cargo bike - 2050 - NMC - CH</t>
  </si>
  <si>
    <t>Bicycle, electric (&lt;25 km/h) - 2020 - LFP - CH</t>
  </si>
  <si>
    <t>Bicycle, electric (&lt;25 km/h) - 2030 - LFP - CH</t>
  </si>
  <si>
    <t>Bicycle, electric (&lt;25 km/h) - 2040 - LFP - CH</t>
  </si>
  <si>
    <t>Bicycle, electric (&lt;25 km/h) - 2050 - LFP - CH</t>
  </si>
  <si>
    <t>Bicycle, electric (&lt;45 km/h) - 2020 - LFP - CH</t>
  </si>
  <si>
    <t>Bicycle, electric (&lt;45 km/h) - 2030 - LFP - CH</t>
  </si>
  <si>
    <t>Bicycle, electric (&lt;45 km/h) - 2040 - LFP - CH</t>
  </si>
  <si>
    <t>Bicycle, electric (&lt;45 km/h) - 2050 - LFP - CH</t>
  </si>
  <si>
    <t>Bicycle, electric, cargo bike - 2020 - LFP - CH</t>
  </si>
  <si>
    <t>Bicycle, electric, cargo bike - 2030 - LFP - CH</t>
  </si>
  <si>
    <t>Bicycle, electric, cargo bike - 2040 - LFP - CH</t>
  </si>
  <si>
    <t>Bicycle, electric, cargo bike - 2050 - LFP - CH</t>
  </si>
  <si>
    <t>Bicycle, electric (&lt;25 km/h) - 2020 - NCA - CH</t>
  </si>
  <si>
    <t>Bicycle, electric (&lt;25 km/h) - 2030 - NCA - CH</t>
  </si>
  <si>
    <t>Bicycle, electric (&lt;25 km/h) - 2040 - NCA - CH</t>
  </si>
  <si>
    <t>Bicycle, electric (&lt;25 km/h) - 2050 - NCA - CH</t>
  </si>
  <si>
    <t>Bicycle, electric (&lt;45 km/h) - 2020 - NCA - CH</t>
  </si>
  <si>
    <t>Bicycle, electric (&lt;45 km/h) - 2030 - NCA - CH</t>
  </si>
  <si>
    <t>Bicycle, electric (&lt;45 km/h) - 2040 - NCA - CH</t>
  </si>
  <si>
    <t>Bicycle, electric (&lt;45 km/h) - 2050 - NCA - CH</t>
  </si>
  <si>
    <t>Bicycle, electric, cargo bike - 2020 - NCA - CH</t>
  </si>
  <si>
    <t>Bicycle, electric, cargo bike - 2030 - NCA - CH</t>
  </si>
  <si>
    <t>Bicycle, electric, cargo bike - 2040 - NCA - CH</t>
  </si>
  <si>
    <t>Bicycle, electric, cargo bike - 2050 - NCA - CH</t>
  </si>
  <si>
    <t>Scooter, electric, 4-11kW - 2020 - NMC - CH</t>
  </si>
  <si>
    <t>Scooter, electric, 4-11kW - 2030 - NMC - CH</t>
  </si>
  <si>
    <t>Scooter, electric, 4-11kW - 2040 - NMC - CH</t>
  </si>
  <si>
    <t>Scooter, electric, 4-11kW - 2050 - NMC - CH</t>
  </si>
  <si>
    <t>Scooter, electric, 4-11kW - 2020 - LFP - CH</t>
  </si>
  <si>
    <t>Scooter, electric, 4-11kW - 2030 - LFP - CH</t>
  </si>
  <si>
    <t>Scooter, electric, 4-11kW - 2040 - LFP - CH</t>
  </si>
  <si>
    <t>Scooter, electric, 4-11kW - 2050 - LFP - CH</t>
  </si>
  <si>
    <t>Scooter, electric, 4-11kW - 2020 - NCA - CH</t>
  </si>
  <si>
    <t>Scooter, electric, 4-11kW - 2030 - NCA - CH</t>
  </si>
  <si>
    <t>Scooter, electric, 4-11kW - 2040 - NCA - CH</t>
  </si>
  <si>
    <t>Scooter, electric, 4-11kW - 2050 - NCA - CH</t>
  </si>
  <si>
    <t>Motorbike, electric, &lt;4kW - 2020 - NMC - CH</t>
  </si>
  <si>
    <t>Motorbike, electric, &lt;4kW - 2030 - NMC - CH</t>
  </si>
  <si>
    <t>Motorbike, electric, &lt;4kW - 2040 - NMC - CH</t>
  </si>
  <si>
    <t>Motorbike, electric, &lt;4kW - 2050 - NMC - CH</t>
  </si>
  <si>
    <t>Motorbike, electric, 4-11kW - 2020 - NMC - CH</t>
  </si>
  <si>
    <t>Motorbike, electric, 4-11kW - 2030 - NMC - CH</t>
  </si>
  <si>
    <t>Motorbike, electric, 4-11kW - 2040 - NMC - CH</t>
  </si>
  <si>
    <t>Motorbike, electric, 4-11kW - 2050 - NMC - CH</t>
  </si>
  <si>
    <t>Motorbike, electric, 11-35kW - 2020 - NMC - CH</t>
  </si>
  <si>
    <t>Motorbike, electric, 11-35kW - 2030 - NMC - CH</t>
  </si>
  <si>
    <t>Motorbike, electric, 11-35kW - 2040 - NMC - CH</t>
  </si>
  <si>
    <t>Motorbike, electric, 11-35kW - 2050 - NMC - CH</t>
  </si>
  <si>
    <t>Motorbike, electric, &gt;35kW - 2020 - NMC - CH</t>
  </si>
  <si>
    <t>Motorbike, electric, &gt;35kW - 2030 - NMC - CH</t>
  </si>
  <si>
    <t>Motorbike, electric, &gt;35kW - 2040 - NMC - CH</t>
  </si>
  <si>
    <t>Motorbike, electric, &gt;35kW - 2050 - NMC - CH</t>
  </si>
  <si>
    <t>Motorbike, electric, &lt;4kW - 2030 - LFP - CH</t>
  </si>
  <si>
    <t>Motorbike, electric, &lt;4kW - 2040 - LFP - CH</t>
  </si>
  <si>
    <t>Motorbike, electric, &lt;4kW - 2050 - LFP - CH</t>
  </si>
  <si>
    <t>Motorbike, electric, 4-11kW - 2020 - LFP - CH</t>
  </si>
  <si>
    <t>Motorbike, electric, 4-11kW - 2030 - LFP - CH</t>
  </si>
  <si>
    <t>Motorbike, electric, 4-11kW - 2040 - LFP - CH</t>
  </si>
  <si>
    <t>Motorbike, electric, 4-11kW - 2050 - LFP - CH</t>
  </si>
  <si>
    <t>Motorbike, electric, 11-35kW - 2020 - LFP - CH</t>
  </si>
  <si>
    <t>Motorbike, electric, 11-35kW - 2030 - LFP - CH</t>
  </si>
  <si>
    <t>Motorbike, electric, 11-35kW - 2040 - LFP - CH</t>
  </si>
  <si>
    <t>Motorbike, electric, 11-35kW - 2050 - LFP - CH</t>
  </si>
  <si>
    <t>Motorbike, electric, &gt;35kW - 2020 - LFP - CH</t>
  </si>
  <si>
    <t>Motorbike, electric, &gt;35kW - 2030 - LFP - CH</t>
  </si>
  <si>
    <t>Motorbike, electric, &gt;35kW - 2040 - LFP - CH</t>
  </si>
  <si>
    <t>Motorbike, electric, &gt;35kW - 2050 - LFP - CH</t>
  </si>
  <si>
    <t>Motorbike, electric, &lt;4kW - 2030 - NCA - CH</t>
  </si>
  <si>
    <t>Motorbike, electric, &lt;4kW - 2040 - NCA - CH</t>
  </si>
  <si>
    <t>Motorbike, electric, &lt;4kW - 2050 - NCA - CH</t>
  </si>
  <si>
    <t>Motorbike, electric, 4-11kW - 2020 - NCA - CH</t>
  </si>
  <si>
    <t>Motorbike, electric, 4-11kW - 2030 - NCA - CH</t>
  </si>
  <si>
    <t>Motorbike, electric, 4-11kW - 2040 - NCA - CH</t>
  </si>
  <si>
    <t>Motorbike, electric, 4-11kW - 2050 - NCA - CH</t>
  </si>
  <si>
    <t>Motorbike, electric, 11-35kW - 2020 - NCA - CH</t>
  </si>
  <si>
    <t>Motorbike, electric, 11-35kW - 2030 - NCA - CH</t>
  </si>
  <si>
    <t>Motorbike, electric, 11-35kW - 2040 - NCA - CH</t>
  </si>
  <si>
    <t>Motorbike, electric, 11-35kW - 2050 - NCA - CH</t>
  </si>
  <si>
    <t>Motorbike, electric, &gt;35kW - 2020 - NCA - CH</t>
  </si>
  <si>
    <t>Motorbike, electric, &gt;35kW - 2030 - NCA - CH</t>
  </si>
  <si>
    <t>Motorbike, electric, &gt;35kW - 2040 - NCA - CH</t>
  </si>
  <si>
    <t>Motorbike, electric, &gt;35kW - 2050 - NCA - CH</t>
  </si>
  <si>
    <t>Scooter, electric, &lt;4kW - 2020 - NMC - CH</t>
  </si>
  <si>
    <t>Scooter, electric, &lt;4kW - 2030 - NMC - CH</t>
  </si>
  <si>
    <t>Scooter, electric, &lt;4kW - 2040 - NMC - CH</t>
  </si>
  <si>
    <t>Scooter, electric, &lt;4kW - 2050 - NMC - CH</t>
  </si>
  <si>
    <t>Scooter, electric, &lt;4kW - 2020 - LFP - CH</t>
  </si>
  <si>
    <t>Scooter, electric, &lt;4kW - 2030 - LFP - CH</t>
  </si>
  <si>
    <t>Scooter, electric, &lt;4kW - 2040 - LFP - CH</t>
  </si>
  <si>
    <t>Scooter, electric, &lt;4kW - 2050 - LFP - CH</t>
  </si>
  <si>
    <t>Scooter, electric, &lt;4kW - 2020 - NCA - CH</t>
  </si>
  <si>
    <t>Scooter, electric, &lt;4kW - 2030 - NCA - CH</t>
  </si>
  <si>
    <t>Scooter, electric, &lt;4kW - 2040 - NCA - CH</t>
  </si>
  <si>
    <t>Scooter, electric, &lt;4kW - 2050 - NCA - CH</t>
  </si>
  <si>
    <t>Motorbike, electric, &lt;4kW - 2020 - LFP - CH</t>
  </si>
  <si>
    <t>Motorbike, electric, &lt;4kW - 2020 - NCA - CH</t>
  </si>
  <si>
    <t>air::urban air close to ground</t>
  </si>
  <si>
    <t>market for transport, freight, lorry, unspecified</t>
  </si>
  <si>
    <t>transport, freight, lorry, unspecified</t>
  </si>
  <si>
    <t>Bioethanol blend [% wt]</t>
  </si>
  <si>
    <t>CO2, bio</t>
  </si>
  <si>
    <t>Life-cycle inventories for on-road vehicles</t>
  </si>
  <si>
    <t>Carbon dioxide, from soil or biomass stock</t>
  </si>
  <si>
    <t>Ethanol, from wheat straw, at fuelling station</t>
  </si>
  <si>
    <t>ethanol, without water, in 99.7% solution state, vehicle grade</t>
  </si>
  <si>
    <t>fuel supply for gasoline vehicles</t>
  </si>
  <si>
    <t>gasoline blend</t>
  </si>
  <si>
    <t>IEA’s Extended World Energy Balances database for biofuel share in blend</t>
  </si>
  <si>
    <t>direct</t>
  </si>
  <si>
    <t>maintenance</t>
  </si>
  <si>
    <t>energy chain</t>
  </si>
  <si>
    <t>Metal depletion [kg Fe-eq.]</t>
  </si>
  <si>
    <t>Global warming potential [100-year horizon, kg CO2-eq.]</t>
  </si>
  <si>
    <t>Human toxicity [kg 1,4 DB-eq.]</t>
  </si>
  <si>
    <t>Freshwater toxicity [kg 1,4 DB-eq.]</t>
  </si>
  <si>
    <t>Terrestrial toxicity [kg 1,4 DB-eq.]</t>
  </si>
  <si>
    <t>Non-renewable primary energy [MJ]</t>
  </si>
  <si>
    <t>Electricity</t>
  </si>
  <si>
    <t>label-certified electricity</t>
  </si>
  <si>
    <t>direct - non exhaust</t>
  </si>
  <si>
    <t>sum</t>
  </si>
  <si>
    <t>Impact category</t>
  </si>
  <si>
    <t>IPCC GWP 100a</t>
  </si>
  <si>
    <t>Ecological scarcity 2013</t>
  </si>
  <si>
    <t>Unit</t>
  </si>
  <si>
    <t>kg CO2 eq</t>
  </si>
  <si>
    <t>UBP Pt</t>
  </si>
  <si>
    <t>transport, Motorbike, electric, 4-11kW, NMC battery, 2030, label-certified electricity/CH U</t>
  </si>
  <si>
    <t>transport, Kick Scooter, electric, &lt;1kW, NMC battery, 2030/CH U</t>
  </si>
  <si>
    <t>transport, Kick Scooter, electric, &lt;1kW, NMC battery, 2040/CH U</t>
  </si>
  <si>
    <t>transport, Kick Scooter, electric, &lt;1kW, NMC battery, 2050/CH U</t>
  </si>
  <si>
    <t>transport, Kick Scooter, electric, &lt;1kW, LFP battery, 2030/CH U</t>
  </si>
  <si>
    <t>transport, Kick Scooter, electric, &lt;1kW, LFP battery, 2040/CH U</t>
  </si>
  <si>
    <t>transport, Kick Scooter, electric, &lt;1kW, LFP battery, 2050/CH U</t>
  </si>
  <si>
    <t>transport, Kick Scooter, electric, &lt;1kW, NCA battery, 2030/CH U</t>
  </si>
  <si>
    <t>transport, Kick Scooter, electric, &lt;1kW, NCA battery, 2040/CH U</t>
  </si>
  <si>
    <t>transport, Kick Scooter, electric, &lt;1kW, NCA battery, 2050/CH U</t>
  </si>
  <si>
    <t>transport, Bicycle, conventional, urban, 2030/CH U</t>
  </si>
  <si>
    <t>transport, Bicycle, conventional, urban, 2040/CH U</t>
  </si>
  <si>
    <t>transport, Bicycle, conventional, urban, 2050/CH U</t>
  </si>
  <si>
    <t>transport, Bicycle, electric (&lt;25 km/h), NMC battery, 2030/CH U</t>
  </si>
  <si>
    <t>transport, Bicycle, electric (&lt;25 km/h), NMC battery, 2040/CH U</t>
  </si>
  <si>
    <t>transport, Bicycle, electric (&lt;25 km/h), NMC battery, 2050/CH U</t>
  </si>
  <si>
    <t>transport, Bicycle, electric (&lt;45 km/h), NMC battery, 2030/CH U</t>
  </si>
  <si>
    <t>transport, Bicycle, electric (&lt;45 km/h), NMC battery, 2040/CH U</t>
  </si>
  <si>
    <t>transport, Bicycle, electric (&lt;45 km/h), NMC battery, 2050/CH U</t>
  </si>
  <si>
    <t>transport, Bicycle, electric, cargo bike, NMC battery, 2030/CH U</t>
  </si>
  <si>
    <t>transport, Bicycle, electric, cargo bike, NMC battery, 2040/CH U</t>
  </si>
  <si>
    <t>transport, Bicycle, electric, cargo bike, NMC battery, 2050/CH U</t>
  </si>
  <si>
    <t>transport, Bicycle, electric (&lt;25 km/h), LFP battery, 2030/CH U</t>
  </si>
  <si>
    <t>transport, Bicycle, electric (&lt;25 km/h), LFP battery, 2040/CH U</t>
  </si>
  <si>
    <t>transport, Bicycle, electric (&lt;25 km/h), LFP battery, 2050/CH U</t>
  </si>
  <si>
    <t>transport, Bicycle, electric (&lt;45 km/h), LFP battery, 2030/CH U</t>
  </si>
  <si>
    <t>transport, Bicycle, electric (&lt;45 km/h), LFP battery, 2040/CH U</t>
  </si>
  <si>
    <t>transport, Bicycle, electric (&lt;45 km/h), LFP battery, 2050/CH U</t>
  </si>
  <si>
    <t>transport, Bicycle, electric, cargo bike, LFP battery, 2030/CH U</t>
  </si>
  <si>
    <t>transport, Bicycle, electric, cargo bike, LFP battery, 2040/CH U</t>
  </si>
  <si>
    <t>transport, Bicycle, electric, cargo bike, LFP battery, 2050/CH U</t>
  </si>
  <si>
    <t>transport, Bicycle, electric (&lt;25 km/h), NCA battery, 2030/CH U</t>
  </si>
  <si>
    <t>transport, Bicycle, electric (&lt;25 km/h), NCA battery, 2040/CH U</t>
  </si>
  <si>
    <t>transport, Bicycle, electric (&lt;25 km/h), NCA battery, 2050/CH U</t>
  </si>
  <si>
    <t>transport, Bicycle, electric (&lt;45 km/h), NCA battery, 2030/CH U</t>
  </si>
  <si>
    <t>transport, Bicycle, electric (&lt;45 km/h), NCA battery, 2040/CH U</t>
  </si>
  <si>
    <t>transport, Bicycle, electric (&lt;45 km/h), NCA battery, 2050/CH U</t>
  </si>
  <si>
    <t>transport, Bicycle, electric, cargo bike, NCA battery, 2030/CH U</t>
  </si>
  <si>
    <t>transport, Bicycle, electric, cargo bike, NCA battery, 2040/CH U</t>
  </si>
  <si>
    <t>transport, Bicycle, electric, cargo bike, NCA battery, 2050/CH U</t>
  </si>
  <si>
    <t>transport, Bicycle, electric (&lt;25 km/h), NMC battery, 2030, label-certified electricity/CH U</t>
  </si>
  <si>
    <t>transport, Bicycle, electric (&lt;25 km/h), NMC battery, 2040, label-certified electricity/CH U</t>
  </si>
  <si>
    <t>transport, Bicycle, electric (&lt;25 km/h), NMC battery, 2050, label-certified electricity/CH U</t>
  </si>
  <si>
    <t>transport, Bicycle, electric (&lt;45 km/h), NMC battery, 2030, label-certified electricity/CH U</t>
  </si>
  <si>
    <t>transport, Bicycle, electric (&lt;45 km/h), NMC battery, 2040, label-certified electricity/CH U</t>
  </si>
  <si>
    <t>transport, Bicycle, electric (&lt;45 km/h), NMC battery, 2050, label-certified electricity/CH U</t>
  </si>
  <si>
    <t>transport, Bicycle, electric, cargo bike, NMC battery, 2030, label-certified electricity/CH U</t>
  </si>
  <si>
    <t>transport, Bicycle, electric, cargo bike, NMC battery, 2040, label-certified electricity/CH U</t>
  </si>
  <si>
    <t>transport, Bicycle, electric, cargo bike, NMC battery, 2050, label-certified electricity/CH U</t>
  </si>
  <si>
    <t>transport, Bicycle, electric (&lt;25 km/h), LFP battery, 2030, label-certified electricity/CH U</t>
  </si>
  <si>
    <t>transport, Bicycle, electric (&lt;25 km/h), LFP battery, 2040, label-certified electricity/CH U</t>
  </si>
  <si>
    <t>transport, Bicycle, electric (&lt;25 km/h), LFP battery, 2050, label-certified electricity/CH U</t>
  </si>
  <si>
    <t>transport, Bicycle, electric (&lt;45 km/h), LFP battery, 2030, label-certified electricity/CH U</t>
  </si>
  <si>
    <t>transport, Bicycle, electric (&lt;45 km/h), LFP battery, 2040, label-certified electricity/CH U</t>
  </si>
  <si>
    <t>transport, Bicycle, electric (&lt;45 km/h), LFP battery, 2050, label-certified electricity/CH U</t>
  </si>
  <si>
    <t>transport, Bicycle, electric, cargo bike, LFP battery, 2030, label-certified electricity/CH U</t>
  </si>
  <si>
    <t>transport, Bicycle, electric, cargo bike, LFP battery, 2040, label-certified electricity/CH U</t>
  </si>
  <si>
    <t>transport, Bicycle, electric, cargo bike, LFP battery, 2050, label-certified electricity/CH U</t>
  </si>
  <si>
    <t>transport, Bicycle, electric (&lt;25 km/h), NCA battery, 2030, label-certified electricity/CH U</t>
  </si>
  <si>
    <t>transport, Bicycle, electric (&lt;25 km/h), NCA battery, 2040, label-certified electricity/CH U</t>
  </si>
  <si>
    <t>transport, Bicycle, electric (&lt;25 km/h), NCA battery, 2050, label-certified electricity/CH U</t>
  </si>
  <si>
    <t>transport, Bicycle, electric (&lt;45 km/h), NCA battery, 2030, label-certified electricity/CH U</t>
  </si>
  <si>
    <t>transport, Bicycle, electric (&lt;45 km/h), NCA battery, 2040, label-certified electricity/CH U</t>
  </si>
  <si>
    <t>transport, Bicycle, electric (&lt;45 km/h), NCA battery, 2050, label-certified electricity/CH U</t>
  </si>
  <si>
    <t>transport, Bicycle, electric, cargo bike, NCA battery, 2030, label-certified electricity/CH U</t>
  </si>
  <si>
    <t>transport, Bicycle, electric, cargo bike, NCA battery, 2040, label-certified electricity/CH U</t>
  </si>
  <si>
    <t>transport, Bicycle, electric, cargo bike, NCA battery, 2050, label-certified electricity/CH U</t>
  </si>
  <si>
    <t>transport, Moped, gasoline, &lt;4kW, EURO-5, 2030/CH U</t>
  </si>
  <si>
    <t>transport, Moped, gasoline, &lt;4kW, EURO-5, 2040/CH U</t>
  </si>
  <si>
    <t>transport, Moped, gasoline, &lt;4kW, EURO-5, 2050/CH U</t>
  </si>
  <si>
    <t>transport, Scooter, gasoline, &lt;4kW, EURO-5, 2030/CH U</t>
  </si>
  <si>
    <t>transport, Scooter, gasoline, &lt;4kW, EURO-5, 2040/CH U</t>
  </si>
  <si>
    <t>transport, Scooter, gasoline, &lt;4kW, EURO-5, 2050/CH U</t>
  </si>
  <si>
    <t>transport, Scooter, gasoline, 4-11kW, EURO-5, 2030/CH U</t>
  </si>
  <si>
    <t>transport, Scooter, gasoline, 4-11kW, EURO-5, 2040/CH U</t>
  </si>
  <si>
    <t>transport, Scooter, gasoline, 4-11kW, EURO-5, 2050/CH U</t>
  </si>
  <si>
    <t>transport, Scooter, electric, &lt;4kW, NMC battery, 2030/CH U</t>
  </si>
  <si>
    <t>transport, Scooter, electric, &lt;4kW, NMC battery, 2040/CH U</t>
  </si>
  <si>
    <t>transport, Scooter, electric, &lt;4kW, NMC battery, 2050/CH U</t>
  </si>
  <si>
    <t>transport, Scooter, electric, 4-11kW, NMC battery, 2030/CH U</t>
  </si>
  <si>
    <t>transport, Scooter, electric, 4-11kW, NMC battery, 2040/CH U</t>
  </si>
  <si>
    <t>transport, Scooter, electric, 4-11kW, NMC battery, 2050/CH U</t>
  </si>
  <si>
    <t>transport, Scooter, electric, &lt;4kW, LFP battery, 2030/CH U</t>
  </si>
  <si>
    <t>transport, Scooter, electric, &lt;4kW, LFP battery, 2040/CH U</t>
  </si>
  <si>
    <t>transport, Scooter, electric, &lt;4kW, LFP battery, 2050/CH U</t>
  </si>
  <si>
    <t>transport, Scooter, electric, 4-11kW, LFP battery, 2030/CH U</t>
  </si>
  <si>
    <t>transport, Scooter, electric, 4-11kW, LFP battery, 2040/CH U</t>
  </si>
  <si>
    <t>transport, Scooter, electric, 4-11kW, LFP battery, 2050/CH U</t>
  </si>
  <si>
    <t>transport, Scooter, electric, &lt;4kW, NCA battery, 2030/CH U</t>
  </si>
  <si>
    <t>transport, Scooter, electric, &lt;4kW, NCA battery, 2040/CH U</t>
  </si>
  <si>
    <t>transport, Scooter, electric, &lt;4kW, NCA battery, 2050/CH U</t>
  </si>
  <si>
    <t>transport, Scooter, electric, 4-11kW, NCA battery, 2030/CH U</t>
  </si>
  <si>
    <t>transport, Scooter, electric, 4-11kW, NCA battery, 2040/CH U</t>
  </si>
  <si>
    <t>transport, Scooter, electric, 4-11kW, NCA battery, 2050/CH U</t>
  </si>
  <si>
    <t>transport, Scooter, electric, &lt;4kW, NMC battery, 2030, label-certified electricity/CH U</t>
  </si>
  <si>
    <t>transport, Scooter, electric, &lt;4kW, NMC battery, 2040, label-certified electricity/CH U</t>
  </si>
  <si>
    <t>transport, Scooter, electric, &lt;4kW, NMC battery, 2050, label-certified electricity/CH U</t>
  </si>
  <si>
    <t>transport, Scooter, electric, 4-11kW, NMC battery, 2030, label-certified electricity/CH U</t>
  </si>
  <si>
    <t>transport, Scooter, electric, 4-11kW, NMC battery, 2040, label-certified electricity/CH U</t>
  </si>
  <si>
    <t>transport, Scooter, electric, 4-11kW, NMC battery, 2050, label-certified electricity/CH U</t>
  </si>
  <si>
    <t>transport, Scooter, electric, &lt;4kW, LFP battery, 2030, label-certified electricity/CH U</t>
  </si>
  <si>
    <t>transport, Scooter, electric, &lt;4kW, LFP battery, 2040, label-certified electricity/CH U</t>
  </si>
  <si>
    <t>transport, Scooter, electric, &lt;4kW, LFP battery, 2050, label-certified electricity/CH U</t>
  </si>
  <si>
    <t>transport, Scooter, electric, 4-11kW, LFP battery, 2030, label-certified electricity/CH U</t>
  </si>
  <si>
    <t>transport, Scooter, electric, 4-11kW, LFP battery, 2040, label-certified electricity/CH U</t>
  </si>
  <si>
    <t>transport, Scooter, electric, 4-11kW, LFP battery, 2050, label-certified electricity/CH U</t>
  </si>
  <si>
    <t>transport, Scooter, electric, &lt;4kW, NCA battery, 2030, label-certified electricity/CH U</t>
  </si>
  <si>
    <t>transport, Scooter, electric, &lt;4kW, NCA battery, 2040, label-certified electricity/CH U</t>
  </si>
  <si>
    <t>transport, Scooter, electric, &lt;4kW, NCA battery, 2050, label-certified electricity/CH U</t>
  </si>
  <si>
    <t>transport, Scooter, electric, 4-11kW, NCA battery, 2030, label-certified electricity/CH U</t>
  </si>
  <si>
    <t>transport, Scooter, electric, 4-11kW, NCA battery, 2040, label-certified electricity/CH U</t>
  </si>
  <si>
    <t>transport, Scooter, electric, 4-11kW, NCA battery, 2050, label-certified electricity/CH U</t>
  </si>
  <si>
    <t>transport, Motorbike, electric, &lt;4kW, NMC battery, 2030/CH U</t>
  </si>
  <si>
    <t>transport, Motorbike, electric, &lt;4kW, NMC battery, 2040/CH U</t>
  </si>
  <si>
    <t>transport, Motorbike, electric, &lt;4kW, NMC battery, 2050/CH U</t>
  </si>
  <si>
    <t>transport, Motorbike, electric, 4-11kW, NMC battery, 2030/CH U</t>
  </si>
  <si>
    <t>transport, Motorbike, electric, 4-11kW, NMC battery, 2040/CH U</t>
  </si>
  <si>
    <t>transport, Motorbike, electric, 4-11kW, NMC battery, 2050/CH U</t>
  </si>
  <si>
    <t>transport, Motorbike, electric, 11-35kW, NMC battery, 2030/CH U</t>
  </si>
  <si>
    <t>transport, Motorbike, electric, 11-35kW, NMC battery, 2040/CH U</t>
  </si>
  <si>
    <t>transport, Motorbike, electric, 11-35kW, NMC battery, 2050/CH U</t>
  </si>
  <si>
    <t>transport, Motorbike, electric, &gt;35kW, NMC battery, 2030/CH U</t>
  </si>
  <si>
    <t>transport, Motorbike, electric, &gt;35kW, NMC battery, 2040/CH U</t>
  </si>
  <si>
    <t>transport, Motorbike, electric, &gt;35kW, NMC battery, 2050/CH U</t>
  </si>
  <si>
    <t>transport, Motorbike, electric, &lt;4kW, LFP battery, 2030/CH U</t>
  </si>
  <si>
    <t>transport, Motorbike, electric, &lt;4kW, LFP battery, 2040/CH U</t>
  </si>
  <si>
    <t>transport, Motorbike, electric, &lt;4kW, LFP battery, 2050/CH U</t>
  </si>
  <si>
    <t>transport, Motorbike, electric, 4-11kW, LFP battery, 2030/CH U</t>
  </si>
  <si>
    <t>transport, Motorbike, electric, 4-11kW, LFP battery, 2040/CH U</t>
  </si>
  <si>
    <t>transport, Motorbike, electric, 4-11kW, LFP battery, 2050/CH U</t>
  </si>
  <si>
    <t>transport, Motorbike, electric, 11-35kW, LFP battery, 2030/CH U</t>
  </si>
  <si>
    <t>transport, Motorbike, electric, 11-35kW, LFP battery, 2040/CH U</t>
  </si>
  <si>
    <t>transport, Motorbike, electric, 11-35kW, LFP battery, 2050/CH U</t>
  </si>
  <si>
    <t>transport, Motorbike, electric, &gt;35kW, LFP battery, 2030/CH U</t>
  </si>
  <si>
    <t>transport, Motorbike, electric, &gt;35kW, LFP battery, 2040/CH U</t>
  </si>
  <si>
    <t>transport, Motorbike, electric, &gt;35kW, LFP battery, 2050/CH U</t>
  </si>
  <si>
    <t>transport, Motorbike, electric, &lt;4kW, NCA battery, 2030/CH U</t>
  </si>
  <si>
    <t>transport, Motorbike, electric, &lt;4kW, NCA battery, 2040/CH U</t>
  </si>
  <si>
    <t>transport, Motorbike, electric, &lt;4kW, NCA battery, 2050/CH U</t>
  </si>
  <si>
    <t>transport, Motorbike, electric, 4-11kW, NCA battery, 2030/CH U</t>
  </si>
  <si>
    <t>transport, Motorbike, electric, 4-11kW, NCA battery, 2040/CH U</t>
  </si>
  <si>
    <t>transport, Motorbike, electric, 4-11kW, NCA battery, 2050/CH U</t>
  </si>
  <si>
    <t>transport, Motorbike, electric, 11-35kW, NCA battery, 2030/CH U</t>
  </si>
  <si>
    <t>transport, Motorbike, electric, 11-35kW, NCA battery, 2040/CH U</t>
  </si>
  <si>
    <t>transport, Motorbike, electric, 11-35kW, NCA battery, 2050/CH U</t>
  </si>
  <si>
    <t>transport, Motorbike, electric, &gt;35kW, NCA battery, 2030/CH U</t>
  </si>
  <si>
    <t>transport, Motorbike, electric, &gt;35kW, NCA battery, 2040/CH U</t>
  </si>
  <si>
    <t>transport, Motorbike, electric, &gt;35kW, NCA battery, 2050/CH U</t>
  </si>
  <si>
    <t>transport, Motorbike, electric, &lt;4kW, NMC battery, 2030, label-certified electricity/CH U</t>
  </si>
  <si>
    <t>transport, Motorbike, electric, &lt;4kW, NMC battery, 2040, label-certified electricity/CH U</t>
  </si>
  <si>
    <t>transport, Motorbike, electric, &lt;4kW, NMC battery, 2050, label-certified electricity/CH U</t>
  </si>
  <si>
    <t>transport, Motorbike, electric, 4-11kW, NMC battery, 2040, label-certified electricity/CH U</t>
  </si>
  <si>
    <t>transport, Motorbike, electric, 4-11kW, NMC battery, 2050, label-certified electricity/CH U</t>
  </si>
  <si>
    <t>transport, Motorbike, electric, 11-35kW, NMC battery, 2030, label-certified electricity/CH U</t>
  </si>
  <si>
    <t>transport, Motorbike, electric, 11-35kW, NMC battery, 2040, label-certified electricity/CH U</t>
  </si>
  <si>
    <t>transport, Motorbike, electric, 11-35kW, NMC battery, 2050, label-certified electricity/CH U</t>
  </si>
  <si>
    <t>transport, Motorbike, electric, &gt;35kW, NMC battery, 2030, label-certified electricity/CH U</t>
  </si>
  <si>
    <t>transport, Motorbike, electric, &gt;35kW, NMC battery, 2040, label-certified electricity/CH U</t>
  </si>
  <si>
    <t>transport, Motorbike, electric, &gt;35kW, NMC battery, 2050, label-certified electricity/CH U</t>
  </si>
  <si>
    <t>transport, Motorbike, electric, &lt;4kW, LFP battery, 2030, label-certified electricity/CH U</t>
  </si>
  <si>
    <t>transport, Motorbike, electric, &lt;4kW, LFP battery, 2040, label-certified electricity/CH U</t>
  </si>
  <si>
    <t>transport, Motorbike, electric, &lt;4kW, LFP battery, 2050, label-certified electricity/CH U</t>
  </si>
  <si>
    <t>transport, Motorbike, electric, 4-11kW, LFP battery, 2030, label-certified electricity/CH U</t>
  </si>
  <si>
    <t>transport, Motorbike, electric, 4-11kW, LFP battery, 2040, label-certified electricity/CH U</t>
  </si>
  <si>
    <t>transport, Motorbike, electric, 4-11kW, LFP battery, 2050, label-certified electricity/CH U</t>
  </si>
  <si>
    <t>transport, Motorbike, electric, 11-35kW, LFP battery, 2030, label-certified electricity/CH U</t>
  </si>
  <si>
    <t>transport, Motorbike, electric, 11-35kW, LFP battery, 2040, label-certified electricity/CH U</t>
  </si>
  <si>
    <t>transport, Motorbike, electric, 11-35kW, LFP battery, 2050, label-certified electricity/CH U</t>
  </si>
  <si>
    <t>transport, Motorbike, electric, &gt;35kW, LFP battery, 2030, label-certified electricity/CH U</t>
  </si>
  <si>
    <t>transport, Motorbike, electric, &gt;35kW, LFP battery, 2040, label-certified electricity/CH U</t>
  </si>
  <si>
    <t>transport, Motorbike, electric, &gt;35kW, LFP battery, 2050, label-certified electricity/CH U</t>
  </si>
  <si>
    <t>transport, Motorbike, electric, &lt;4kW, NCA battery, 2030, label-certified electricity/CH U</t>
  </si>
  <si>
    <t>transport, Motorbike, electric, &lt;4kW, NCA battery, 2040, label-certified electricity/CH U</t>
  </si>
  <si>
    <t>transport, Motorbike, electric, &lt;4kW, NCA battery, 2050, label-certified electricity/CH U</t>
  </si>
  <si>
    <t>transport, Motorbike, electric, 4-11kW, NCA battery, 2030, label-certified electricity/CH U</t>
  </si>
  <si>
    <t>transport, Motorbike, electric, 4-11kW, NCA battery, 2040, label-certified electricity/CH U</t>
  </si>
  <si>
    <t>transport, Motorbike, electric, 4-11kW, NCA battery, 2050, label-certified electricity/CH U</t>
  </si>
  <si>
    <t>transport, Motorbike, electric, 11-35kW, NCA battery, 2030, label-certified electricity/CH U</t>
  </si>
  <si>
    <t>transport, Motorbike, electric, 11-35kW, NCA battery, 2040, label-certified electricity/CH U</t>
  </si>
  <si>
    <t>transport, Motorbike, electric, 11-35kW, NCA battery, 2050, label-certified electricity/CH U</t>
  </si>
  <si>
    <t>transport, Motorbike, electric, &gt;35kW, NCA battery, 2030, label-certified electricity/CH U</t>
  </si>
  <si>
    <t>transport, Motorbike, electric, &gt;35kW, NCA battery, 2040, label-certified electricity/CH U</t>
  </si>
  <si>
    <t>transport, Motorbike, electric, &gt;35kW, NCA battery, 2050, label-certified electricity/CH U</t>
  </si>
  <si>
    <t>transport, Tram, electric, 2030/CH U</t>
  </si>
  <si>
    <t>transport, Tram, electric, 2040/CH U</t>
  </si>
  <si>
    <t>transport, Tram, electric, 2050/CH U</t>
  </si>
  <si>
    <t>transport, Motorbike, gasoline, 4-11kW, EURO-5, 2030/CH U</t>
  </si>
  <si>
    <t>transport, Motorbike, gasoline, 4-11kW, EURO-5, 2040/CH U</t>
  </si>
  <si>
    <t>transport, Motorbike, gasoline, 4-11kW, EURO-5, 2050/CH U</t>
  </si>
  <si>
    <t>transport, Motorbike, gasoline, 11-35kW, EURO-5, 2030/CH U</t>
  </si>
  <si>
    <t>transport, Motorbike, gasoline, 11-35kW, EURO-5, 2040/CH U</t>
  </si>
  <si>
    <t>transport, Motorbike, gasoline, 11-35kW, EURO-5, 2050/CH U</t>
  </si>
  <si>
    <t>transport, Motorbike, gasoline, &gt;35kW, EURO-5, 2030/CH U</t>
  </si>
  <si>
    <t>transport, Motorbike, gasoline, &gt;35kW, EURO-5, 2040/CH U</t>
  </si>
  <si>
    <t>transport, Motorbike, gasoline, &gt;35kW, EURO-5, 2050/CH U</t>
  </si>
  <si>
    <t>Sacchi R., Bauer C. Life cycle inventories for on-road vehicles. Paul Scherrer Institut, 2021.</t>
  </si>
  <si>
    <t>urban</t>
  </si>
  <si>
    <t>rural</t>
  </si>
  <si>
    <t>motorway</t>
  </si>
  <si>
    <t>Re-suspended road dust [kg/km]</t>
  </si>
  <si>
    <t>b</t>
  </si>
  <si>
    <t>c</t>
  </si>
  <si>
    <t>PM 2.5</t>
  </si>
  <si>
    <t>PM 10</t>
  </si>
  <si>
    <t>Tyre</t>
  </si>
  <si>
    <t>Brake</t>
  </si>
  <si>
    <t>Road</t>
  </si>
  <si>
    <t>Re-susp.</t>
  </si>
  <si>
    <t>Rural [%]</t>
  </si>
  <si>
    <t>Urban [%]</t>
  </si>
  <si>
    <t>Motorway [%]</t>
  </si>
  <si>
    <t>Urban, tire wear</t>
  </si>
  <si>
    <t>Rural, tire wear</t>
  </si>
  <si>
    <t>Motorway, tire wear</t>
  </si>
  <si>
    <t>Urban, brake wear</t>
  </si>
  <si>
    <t>Rural, brake wear</t>
  </si>
  <si>
    <t xml:space="preserve">A report from the Steel Recycling Institute (Sebastian and Thimons 2017) indicates that every kilogram of steel in a car glider can be subsituted by 0.75 kilogram of AHSS or 0.68 kilogram of aluminium. Looking at the material composition of different car models three years apart, (Hottle et al. 2017) show that steel is in fact increasingly replaced by a combination of both aluminium and AHSS. However, they also show that the use of AHSS is generally preferred to aluminium as it allows greater mass reduction at a lower cost. Hence, we will consider that, for a given mass reduction to achieve, two-third comes from using AHSS, and one third comes from using aluminium. This means that one kilogram of mass reduction is achieved by replacing 3.57 kilogram of steel by: 1.76 kilogram of AHSS and 0.8 kilogram of aluminium.
</t>
  </si>
  <si>
    <t>Glider lightweighting</t>
  </si>
  <si>
    <t>market for battery cell, Li-ion, NMC811</t>
  </si>
  <si>
    <t>battery cell, Li-ion, NMC811</t>
  </si>
  <si>
    <t>market for battery management system, for Li-ion battery</t>
  </si>
  <si>
    <t>battery management system, for Li-ion battery</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</si>
  <si>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t>
  </si>
  <si>
    <t>transport, Tram, electric</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</si>
  <si>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t>
  </si>
  <si>
    <t>transport, Bicycle, electric, cargo bike</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</si>
  <si>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</si>
  <si>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</si>
  <si>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transport, Bicycle, electric (&lt;45 km/h)</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</si>
  <si>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</si>
  <si>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</si>
  <si>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transport, Bicycle, electric (&lt;25 km/h)</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</si>
  <si>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</si>
  <si>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</si>
  <si>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Power: 0 kW. Lifetime: 15000 km. Annual kilometers: 1000 km. Number of passengers: 1. Curb mass: 12 kg. Lightweighting of glider: 0%.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</si>
  <si>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Bicycle, conventional, urban</t>
  </si>
  <si>
    <t>Power: 0 kW. Lifetime: 15000 km. Annual kilometers: 1000 km. Number of passengers: 1. Curb mass: 12 kg. Lightweighting of glider: 0%.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t>
  </si>
  <si>
    <t>Power: 2.5 kW. Lifetime: 25000 km. Annual kilometers: 1570 km. Number of passengers: 1. Curb mass: 65.1 kg. Lightweighting of glider: -5%. Emission standard: EURO-3. Service visits throughout lifetime: 1. Range: 266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</si>
  <si>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63.8 kg. Lightweighting of glider: -2%. Emission standard: EURO-4. Service visits throughout lifetime: 1. Range: 269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</si>
  <si>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 kg. Lightweighting of glider: 0%. Emission standard: EURO-5. Service visits throughout lifetime: 1. Range: 272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</si>
  <si>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Moped, gasoline, &lt;4kW, EURO-3</t>
  </si>
  <si>
    <t>Power: 2.5 kW. Lifetime: 25000 km. Annual kilometers: 1570 km. Number of passengers: 1. Curb mass: 65.1 kg. Lightweighting of glider: -5%. Emission standard: EURO-3. Service visits throughout lifetime: 1. Range: 266 km.  Fuel tank capacity: 62.1 kWh. Fuel mass: 5.3 kg. Documentation: Life-cycle inventories for on-road vehicles, Sacchi R. (PSI), Bauer C. (PSI), 2021. Sacchi R., Bauer C. Life cycle inventories for on-road vehicles. Paul Scherrer Institut, 2021.</t>
  </si>
  <si>
    <t>transport, Moped, gasoline, &lt;4kW, EURO-4</t>
  </si>
  <si>
    <t>Power: 2.5 kW. Lifetime: 25000 km. Annual kilometers: 1570 km. Number of passengers: 1. Curb mass: 63.8 kg. Lightweighting of glider: -2%. Emission standard: EURO-4. Service visits throughout lifetime: 1. Range: 269 km.  Fuel tank capacity: 62.1 kWh. Fuel mass: 5.3 kg. Documentation: Life-cycle inventories for on-road vehicles, Sacchi R. (PSI), Bauer C. (PSI), 2021. Sacchi R., Bauer C. Life cycle inventories for on-road vehicles. Paul Scherrer Institut, 2021.</t>
  </si>
  <si>
    <t>transport, Moped, gasoline, &lt;4kW, EURO-5</t>
  </si>
  <si>
    <t>Power: 2.5 kW. Lifetime: 25000 km. Annual kilometers: 1570 km. Number of passengers: 1. Curb mass: 63 kg. Lightweighting of glider: 0%. Emission standard: EURO-5. Service visits throughout lifetime: 1. Range: 272 km.  Fuel tank capacity: 62.1 kWh. Fuel mass: 5.3 kg. Documentation: Life-cycle inventories for on-road vehicles, Sacchi R. (PSI), Bauer C. (PSI), 2021. Sacchi R., Bauer C. Life cycle inventories for on-road vehicles. Paul Scherrer Institut, 2021.</t>
  </si>
  <si>
    <t>transport, Scooter, electric, 4-11kW</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</si>
  <si>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</si>
  <si>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Documentation: Life-cycle inventories for on-road vehicles, Sacchi R. (PSI), Bauer C. (PSI), 2021. Sacchi R., Bauer C. Life cycle inventories for on-road vehicles. Paul Scherrer Institut, 2021.</t>
  </si>
  <si>
    <t>transport, Scooter, electric, &lt;4kW</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</si>
  <si>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</si>
  <si>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Documentation: Life-cycle inventories for on-road vehicles, Sacchi R. (PSI), Bauer C. (PSI), 2021. Sacchi R., Bauer C. Life cycle inventories for on-road vehicles. Paul Scherrer Institut, 2021.</t>
  </si>
  <si>
    <t>Power: 8.8 kW. Lifetime: 30000 km. Annual kilometers: 1870 km. Number of passengers: 1. Curb mass: 133.3 kg. Lightweighting of glider: -5%. Emission standard: EURO-5. Service visits throughout lifetime: 1.2. Range: 272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</si>
  <si>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131.2 kg. Lightweighting of glider: -2%. Emission standard: EURO-4. Service visits throughout lifetime: 1.2. Range: 274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</si>
  <si>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129.8 kg. Lightweighting of glider: 0%. Emission standard: EURO-5. Service visits throughout lifetime: 1.2. Range: 277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</si>
  <si>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4-11kW, EURO-3</t>
  </si>
  <si>
    <t>Power: 8.8 kW. Lifetime: 30000 km. Annual kilometers: 1870 km. Number of passengers: 1. Curb mass: 133.3 kg. Lightweighting of glider: -5%. Emission standard: EURO-5. Service visits throughout lifetime: 1.2. Range: 272 km. Fuel tank capacity: 79.9 kWh. Fuel mass: 6.8 kg. Documentation: Life-cycle inventories for on-road vehicles, Sacchi R. (PSI), Bauer C. (PSI), 2021. Sacchi R., Bauer C. Life cycle inventories for on-road vehicles. Paul Scherrer Institut, 2021.</t>
  </si>
  <si>
    <t>transport, Scooter, gasoline, 4-11kW, EURO-4</t>
  </si>
  <si>
    <t>Power: 8.8 kW. Lifetime: 30000 km. Annual kilometers: 1870 km. Number of passengers: 1. Curb mass: 131.2 kg. Lightweighting of glider: -2%. Emission standard: EURO-4. Service visits throughout lifetime: 1.2. Range: 274 km. Fuel tank capacity: 79.9 kWh. Fuel mass: 6.8 kg. Documentation: Life-cycle inventories for on-road vehicles, Sacchi R. (PSI), Bauer C. (PSI), 2021. Sacchi R., Bauer C. Life cycle inventories for on-road vehicles. Paul Scherrer Institut, 2021.</t>
  </si>
  <si>
    <t>transport, Scooter, gasoline, 4-11kW, EURO-5</t>
  </si>
  <si>
    <t>Power: 8.8 kW. Lifetime: 30000 km. Annual kilometers: 1870 km. Number of passengers: 1. Curb mass: 129.8 kg. Lightweighting of glider: 0%. Emission standard: EURO-5. Service visits throughout lifetime: 1.2. Range: 277 km. Fuel tank capacity: 79.9 kWh. Fuel mass: 6.8 kg. Documentation: Life-cycle inventories for on-road vehicles, Sacchi R. (PSI), Bauer C. (PSI), 2021. Sacchi R., Bauer C. Life cycle inventories for on-road vehicles. Paul Scherrer Institut, 2021.</t>
  </si>
  <si>
    <t>Power: 2.8 kW. Lifetime: 25000 km. Annual kilometers: 1570 km. Number of passengers: 1. Curb mass: 93.7 kg. Lightweighting of glider: -5%. Emission standard: EURO-5. Service visits throughout lifetime: 1. Range: 162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</si>
  <si>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92.1 kg. Lightweighting of glider: -2%. Emission standard: EURO-4. Service visits throughout lifetime: 1. Range: 172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</si>
  <si>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91 kg. Lightweighting of glider: 0%. Emission standard: EURO-5. Service visits throughout lifetime: 1. Range: 174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</si>
  <si>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&lt;4kW, EURO-3</t>
  </si>
  <si>
    <t>Power: 2.8 kW. Lifetime: 25000 km. Annual kilometers: 1570 km. Number of passengers: 1. Curb mass: 93.7 kg. Lightweighting of glider: -5%. Emission standard: EURO-5. Service visits throughout lifetime: 1. Range: 162 km. Fuel tank capacity: 62.1 kWh. Fuel mass: 5.3 kg. Documentation: Life-cycle inventories for on-road vehicles, Sacchi R. (PSI), Bauer C. (PSI), 2021. Sacchi R., Bauer C. Life cycle inventories for on-road vehicles. Paul Scherrer Institut, 2021.</t>
  </si>
  <si>
    <t>transport, Scooter, gasoline, &lt;4kW, EURO-4</t>
  </si>
  <si>
    <t>Power: 2.8 kW. Lifetime: 25000 km. Annual kilometers: 1570 km. Number of passengers: 1. Curb mass: 92.1 kg. Lightweighting of glider: -2%. Emission standard: EURO-4. Service visits throughout lifetime: 1. Range: 172 km. Fuel tank capacity: 62.1 kWh. Fuel mass: 5.3 kg. Documentation: Life-cycle inventories for on-road vehicles, Sacchi R. (PSI), Bauer C. (PSI), 2021. Sacchi R., Bauer C. Life cycle inventories for on-road vehicles. Paul Scherrer Institut, 2021.</t>
  </si>
  <si>
    <t>transport, Scooter, gasoline, &lt;4kW, EURO-5</t>
  </si>
  <si>
    <t>Power: 2.8 kW. Lifetime: 25000 km. Annual kilometers: 1570 km. Number of passengers: 1. Curb mass: 91 kg. Lightweighting of glider: 0%. Emission standard: EURO-5. Service visits throughout lifetime: 1. Range: 174 km. Fuel tank capacity: 62.1 kWh. Fuel mass: 5.3 kg. Documentation: Life-cycle inventories for on-road vehicles, Sacchi R. (PSI), Bauer C. (PSI), 2021. Sacchi R., Bauer C. Life cycle inventories for on-road vehicles. Paul Scherrer Institut, 2021.</t>
  </si>
  <si>
    <t>Power: 91 kW. Lifetime: 40500 km. Annual kilometers: 2896 km. Number of passengers: 1.1. Curb mass: 262.1 kg. Lightweighting of glider: -5%. Emission standard: EURO-3. Service visits throughout lifetime: 1.6. Range: 291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</si>
  <si>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258.7 kg. Lightweighting of glider: -2%. Emission standard: EURO-4. Service visits throughout lifetime: 1.6. Range: 294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</si>
  <si>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256.5 kg. Lightweighting of glider: 0%. Emission standard: EURO-5. Service visits throughout lifetime: 1.6. Range: 297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</si>
  <si>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&gt;35kW, EURO-3</t>
  </si>
  <si>
    <t>Power: 91 kW. Lifetime: 40500 km. Annual kilometers: 2896 km. Number of passengers: 1.1. Curb mass: 262.1 kg. Lightweighting of glider: -5%. Emission standard: EURO-3. Service visits throughout lifetime: 1.6. Range: 291 km. Fuel tank capacity: 159.8 kWh. Fuel mass: 13.5 kg. Documentation: Life-cycle inventories for on-road vehicles, Sacchi R. (PSI), Bauer C. (PSI), 2021. Sacchi R., Bauer C. Life cycle inventories for on-road vehicles. Paul Scherrer Institut, 2021.</t>
  </si>
  <si>
    <t>transport, Motorbike, gasoline, &gt;35kW, EURO-4</t>
  </si>
  <si>
    <t>Power: 91 kW. Lifetime: 40500 km. Annual kilometers: 2896 km. Number of passengers: 1.1. Curb mass: 258.7 kg. Lightweighting of glider: -2%. Emission standard: EURO-4. Service visits throughout lifetime: 1.6. Range: 294 km. Fuel tank capacity: 159.8 kWh. Fuel mass: 13.5 kg. Documentation: Life-cycle inventories for on-road vehicles, Sacchi R. (PSI), Bauer C. (PSI), 2021. Sacchi R., Bauer C. Life cycle inventories for on-road vehicles. Paul Scherrer Institut, 2021.</t>
  </si>
  <si>
    <t>transport, Motorbike, gasoline, &gt;35kW, EURO-5</t>
  </si>
  <si>
    <t>Power: 91 kW. Lifetime: 40500 km. Annual kilometers: 2896 km. Number of passengers: 1.1. Curb mass: 256.5 kg. Lightweighting of glider: 0%. Emission standard: EURO-5. Service visits throughout lifetime: 1.6. Range: 297 km. Fuel tank capacity: 159.8 kWh. Fuel mass: 13.5 kg. Documentation: Life-cycle inventories for on-road vehicles, Sacchi R. (PSI), Bauer C. (PSI), 2021. Sacchi R., Bauer C. Life cycle inventories for on-road vehicles. Paul Scherrer Institut, 2021.</t>
  </si>
  <si>
    <t>Power: 20 kW. Lifetime: 38500 km. Annual kilometers: 2405 km. Number of passengers: 1.1. Curb mass: 160 kg. Lightweighting of glider: -5%. Emission standard: EURO-3. Service visits throughout lifetime: 1.5. Range: 322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</si>
  <si>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157.6 kg. Lightweighting of glider: -2%. Emission standard: EURO-4. Service visits throughout lifetime: 1.5. Range: 325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</si>
  <si>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155.9 kg. Lightweighting of glider: 0%. Emission standard: EURO-5. Service visits throughout lifetime: 1.5. Range: 329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</si>
  <si>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11-35kW, EURO-3</t>
  </si>
  <si>
    <t>Power: 20 kW. Lifetime: 38500 km. Annual kilometers: 2405 km. Number of passengers: 1.1. Curb mass: 160 kg. Lightweighting of glider: -5%. Emission standard: EURO-3. Service visits throughout lifetime: 1.5. Range: 322 km. Fuel tank capacity: 133.1 kWh. Fuel mass: 11.3 kg. Documentation: Life-cycle inventories for on-road vehicles, Sacchi R. (PSI), Bauer C. (PSI), 2021. Sacchi R., Bauer C. Life cycle inventories for on-road vehicles. Paul Scherrer Institut, 2021.</t>
  </si>
  <si>
    <t>transport, Motorbike, gasoline, 11-35kW, EURO-4</t>
  </si>
  <si>
    <t>Power: 20 kW. Lifetime: 38500 km. Annual kilometers: 2405 km. Number of passengers: 1.1. Curb mass: 157.6 kg. Lightweighting of glider: -2%. Emission standard: EURO-4. Service visits throughout lifetime: 1.5. Range: 325 km. Fuel tank capacity: 133.1 kWh. Fuel mass: 11.3 kg. Documentation: Life-cycle inventories for on-road vehicles, Sacchi R. (PSI), Bauer C. (PSI), 2021. Sacchi R., Bauer C. Life cycle inventories for on-road vehicles. Paul Scherrer Institut, 2021.</t>
  </si>
  <si>
    <t>transport, Motorbike, gasoline, 11-35kW, EURO-5</t>
  </si>
  <si>
    <t>Power: 20 kW. Lifetime: 38500 km. Annual kilometers: 2405 km. Number of passengers: 1.1. Curb mass: 155.9 kg. Lightweighting of glider: 0%. Emission standard: EURO-5. Service visits throughout lifetime: 1.5. Range: 329 km. Fuel tank capacity: 133.1 kWh. Fuel mass: 11.3 kg. Documentation: Life-cycle inventories for on-road vehicles, Sacchi R. (PSI), Bauer C. (PSI), 2021. Sacchi R., Bauer C. Life cycle inventories for on-road vehicles. Paul Scherrer Institut, 2021.</t>
  </si>
  <si>
    <t>Power: 9 kW. Lifetime: 25000 km. Annual kilometers: 1776 km. Number of passengers: 1.1. Curb mass: 122.3 kg. Lightweighting of glider: -5%. Emission standard: EURO-3. Service visits throughout lifetime: 1. Range: 280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</si>
  <si>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120.3 kg. Lightweighting of glider: -2%. Emission standard: EURO-4. Service visits throughout lifetime: 1. Range: 283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</si>
  <si>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119 kg. Lightweighting of glider: 0%. Emission standard: EURO-5. Service visits throughout lifetime: 1. Range: 286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</si>
  <si>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4-11kW, EURO-3</t>
  </si>
  <si>
    <t>Power: 9 kW. Lifetime: 25000 km. Annual kilometers: 1776 km. Number of passengers: 1.1. Curb mass: 122.3 kg. Lightweighting of glider: -5%. Emission standard: EURO-3. Service visits throughout lifetime: 1. Range: 280 km. Fuel tank capacity: 79.9 kWh. Fuel mass: 6.8 kg. Documentation: Life-cycle inventories for on-road vehicles, Sacchi R. (PSI), Bauer C. (PSI), 2021. Sacchi R., Bauer C. Life cycle inventories for on-road vehicles. Paul Scherrer Institut, 2021.</t>
  </si>
  <si>
    <t>transport, Motorbike, gasoline, 4-11kW, EURO-4</t>
  </si>
  <si>
    <t>Power: 9 kW. Lifetime: 25000 km. Annual kilometers: 1776 km. Number of passengers: 1.1. Curb mass: 120.3 kg. Lightweighting of glider: -2%. Emission standard: EURO-4. Service visits throughout lifetime: 1. Range: 283 km. Fuel tank capacity: 79.9 kWh. Fuel mass: 6.8 kg. Documentation: Life-cycle inventories for on-road vehicles, Sacchi R. (PSI), Bauer C. (PSI), 2021. Sacchi R., Bauer C. Life cycle inventories for on-road vehicles. Paul Scherrer Institut, 2021.</t>
  </si>
  <si>
    <t>transport, Motorbike, gasoline, 4-11kW, EURO-5</t>
  </si>
  <si>
    <t>Power: 9 kW. Lifetime: 25000 km. Annual kilometers: 1776 km. Number of passengers: 1.1. Curb mass: 119 kg. Lightweighting of glider: 0%. Emission standard: EURO-5. Service visits throughout lifetime: 1. Range: 286 km. Fuel tank capacity: 79.9 kWh. Fuel mass: 6.8 kg. Documentation: Life-cycle inventories for on-road vehicles, Sacchi R. (PSI), Bauer C. (PSI), 2021. Sacchi R., Bauer C. Life cycle inventories for on-road vehicles. Paul Scherrer Institut, 2021.</t>
  </si>
  <si>
    <t>transport, Motorbike, electric, &gt;35kW</t>
  </si>
  <si>
    <t>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</si>
  <si>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11-35kW</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</si>
  <si>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</si>
  <si>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4-11kW</t>
  </si>
  <si>
    <t>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</si>
  <si>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&lt;4kW</t>
  </si>
  <si>
    <t>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</si>
  <si>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Kick Scooter, electric, &lt;1kW</t>
  </si>
  <si>
    <t>Power: 0.25 kW. Lifetime: 1785 km. Annual kilometers: 890 km. Number of passengers: 1. Curb mass: 11.6 kg. Lightweighting of glider: 0%. Emission standard: None. Service visits throughout lifetime: 0. Range: 8 km. Battery capacity: 0.3 kWh. Available battery capacity: 0.2 kWh. Battery mass: 1.6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</si>
  <si>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Kick Scooter, electric, &lt;1kW, NMC battery/CH U</t>
  </si>
  <si>
    <t>transport, Kick Scooter, electric, &lt;1kW, LFP battery/CH U</t>
  </si>
  <si>
    <t>transport, Kick Scooter, electric, &lt;1kW, NCA battery/CH U</t>
  </si>
  <si>
    <t>transport, Bicycle, conventional, urban/CH U</t>
  </si>
  <si>
    <t>transport, Bicycle, electric (&lt;25 km/h), NMC battery/CH U</t>
  </si>
  <si>
    <t>transport, Bicycle, electric (&lt;45 km/h), NMC battery/CH U</t>
  </si>
  <si>
    <t>transport, Bicycle, electric, cargo bike, NMC battery/CH U</t>
  </si>
  <si>
    <t>transport, Bicycle, electric (&lt;25 km/h), LFP battery/CH U</t>
  </si>
  <si>
    <t>transport, Bicycle, electric (&lt;45 km/h), LFP battery/CH U</t>
  </si>
  <si>
    <t>transport, Bicycle, electric, cargo bike, LFP battery/CH U</t>
  </si>
  <si>
    <t>transport, Bicycle, electric (&lt;25 km/h), NCA battery/CH U</t>
  </si>
  <si>
    <t>transport, Bicycle, electric (&lt;45 km/h), NCA battery/CH U</t>
  </si>
  <si>
    <t>transport, Bicycle, electric, cargo bike, NCA battery/CH U</t>
  </si>
  <si>
    <t>transport, Bicycle, electric (&lt;25 km/h), NMC battery, label-certified electricity/CH U</t>
  </si>
  <si>
    <t>transport, Bicycle, electric (&lt;45 km/h), NMC battery, label-certified electricity/CH U</t>
  </si>
  <si>
    <t>transport, Bicycle, electric, cargo bike, NMC battery, label-certified electricity/CH U</t>
  </si>
  <si>
    <t>transport, Bicycle, electric (&lt;25 km/h), LFP battery, label-certified electricity/CH U</t>
  </si>
  <si>
    <t>transport, Bicycle, electric (&lt;45 km/h), LFP battery, label-certified electricity/CH U</t>
  </si>
  <si>
    <t>transport, Bicycle, electric, cargo bike, LFP battery, label-certified electricity/CH U</t>
  </si>
  <si>
    <t>transport, Bicycle, electric (&lt;25 km/h), NCA battery, label-certified electricity/CH U</t>
  </si>
  <si>
    <t>transport, Bicycle, electric (&lt;45 km/h), NCA battery, label-certified electricity/CH U</t>
  </si>
  <si>
    <t>transport, Bicycle, electric, cargo bike, NCA battery, label-certified electricity/CH U</t>
  </si>
  <si>
    <t>transport, Tram, electric/CH U</t>
  </si>
  <si>
    <t>transport, Moped, gasoline, &lt;4kW, EURO-5/CH U</t>
  </si>
  <si>
    <t>transport, Scooter, gasoline, &lt;4kW, EURO-5/CH U</t>
  </si>
  <si>
    <t>transport, Scooter, gasoline, 4-11kW, EURO-5/CH U</t>
  </si>
  <si>
    <t>transport, Scooter, electric, &lt;4kW, NMC battery/CH U</t>
  </si>
  <si>
    <t>transport, Scooter, electric, 4-11kW, NMC battery/CH U</t>
  </si>
  <si>
    <t>transport, Scooter, electric, &lt;4kW, LFP battery/CH U</t>
  </si>
  <si>
    <t>transport, Scooter, electric, 4-11kW, LFP battery/CH U</t>
  </si>
  <si>
    <t>transport, Scooter, electric, &lt;4kW, NCA battery/CH U</t>
  </si>
  <si>
    <t>transport, Scooter, electric, 4-11kW, NCA battery/CH U</t>
  </si>
  <si>
    <t>transport, Scooter, electric, &lt;4kW, NMC battery, label-certified electricity/CH U</t>
  </si>
  <si>
    <t>transport, Scooter, electric, 4-11kW, NMC battery, label-certified electricity/CH U</t>
  </si>
  <si>
    <t>transport, Scooter, electric, &lt;4kW, LFP battery, label-certified electricity/CH U</t>
  </si>
  <si>
    <t>transport, Scooter, electric, 4-11kW, LFP battery, label-certified electricity/CH U</t>
  </si>
  <si>
    <t>transport, Scooter, electric, &lt;4kW, NCA battery, label-certified electricity/CH U</t>
  </si>
  <si>
    <t>transport, Scooter, electric, 4-11kW, NCA battery, label-certified electricity/CH U</t>
  </si>
  <si>
    <t>transport, Motorbike, gasoline, 4-11kW, EURO-5/CH U</t>
  </si>
  <si>
    <t>transport, Motorbike, gasoline, 11-35kW, EURO-5/CH U</t>
  </si>
  <si>
    <t>transport, Motorbike, gasoline, &gt;35kW, EURO-5/CH U</t>
  </si>
  <si>
    <t>transport, Motorbike, electric, &lt;4kW, NMC battery/CH U</t>
  </si>
  <si>
    <t>transport, Motorbike, electric, 4-11kW, NMC battery/CH U</t>
  </si>
  <si>
    <t>transport, Motorbike, electric, 11-35kW, NMC battery/CH U</t>
  </si>
  <si>
    <t>transport, Motorbike, electric, &gt;35kW, NMC battery/CH U</t>
  </si>
  <si>
    <t>transport, Motorbike, electric, &lt;4kW, LFP battery/CH U</t>
  </si>
  <si>
    <t>transport, Motorbike, electric, 4-11kW, LFP battery/CH U</t>
  </si>
  <si>
    <t>transport, Motorbike, electric, 11-35kW, LFP battery/CH U</t>
  </si>
  <si>
    <t>transport, Motorbike, electric, &gt;35kW, LFP battery/CH U</t>
  </si>
  <si>
    <t>transport, Motorbike, electric, &lt;4kW, NCA battery/CH U</t>
  </si>
  <si>
    <t>transport, Motorbike, electric, 4-11kW, NCA battery/CH U</t>
  </si>
  <si>
    <t>transport, Motorbike, electric, 11-35kW, NCA battery/CH U</t>
  </si>
  <si>
    <t>transport, Motorbike, electric, &gt;35kW, NCA battery/CH U</t>
  </si>
  <si>
    <t>transport, Motorbike, electric, &lt;4kW, NMC battery, label-certified electricity/CH U</t>
  </si>
  <si>
    <t>transport, Motorbike, electric, 4-11kW, NMC battery, label-certified electricity/CH U</t>
  </si>
  <si>
    <t>transport, Motorbike, electric, 11-35kW, NMC battery, label-certified electricity/CH U</t>
  </si>
  <si>
    <t>transport, Motorbike, electric, &gt;35kW, NMC battery, label-certified electricity/CH U</t>
  </si>
  <si>
    <t>transport, Motorbike, electric, &lt;4kW, LFP battery, label-certified electricity/CH U</t>
  </si>
  <si>
    <t>transport, Motorbike, electric, 4-11kW, LFP battery, label-certified electricity/CH U</t>
  </si>
  <si>
    <t>transport, Motorbike, electric, 11-35kW, LFP battery, label-certified electricity/CH U</t>
  </si>
  <si>
    <t>transport, Motorbike, electric, &gt;35kW, LFP battery, label-certified electricity/CH U</t>
  </si>
  <si>
    <t>transport, Motorbike, electric, &lt;4kW, NCA battery, label-certified electricity/CH U</t>
  </si>
  <si>
    <t>transport, Motorbike, electric, 4-11kW, NCA battery, label-certified electricity/CH U</t>
  </si>
  <si>
    <t>transport, Motorbike, electric, 11-35kW, NCA battery, label-certified electricity/CH U</t>
  </si>
  <si>
    <t>transport, Motorbike, electric, &gt;35kW, NCA battery, label-certified electricity/CH U</t>
  </si>
  <si>
    <t>Motorbike, gasoline fleet average</t>
  </si>
  <si>
    <t>Kick Scooter, electric, &lt;1kW, NMC battery</t>
  </si>
  <si>
    <t>transport, Kick Scooter, electric, &lt;1kW, NMC battery</t>
  </si>
  <si>
    <t>Motorbike, electric, &lt;4kW, NMC battery</t>
  </si>
  <si>
    <t>transport, Motorbike, electric, &lt;4kW, NMC battery</t>
  </si>
  <si>
    <t>Motorbike, electric, 4-11kW, NMC battery</t>
  </si>
  <si>
    <t>transport, Motorbike, electric, 4-11kW, NMC battery</t>
  </si>
  <si>
    <t>Motorbike, electric, 11-35kW, NMC battery</t>
  </si>
  <si>
    <t>transport, Motorbike, electric, 11-35kW, NMC battery</t>
  </si>
  <si>
    <t>Motorbike, electric, &gt;35kW, NMC battery</t>
  </si>
  <si>
    <t>transport, Motorbike, electric, &gt;35kW, NMC battery</t>
  </si>
  <si>
    <t>Scooter, electric, &lt;4kW, NMC battery</t>
  </si>
  <si>
    <t>transport, Scooter, electric, &lt;4kW, NMC battery</t>
  </si>
  <si>
    <t>Scooter, electric, 4-11kW, NMC battery</t>
  </si>
  <si>
    <t>transport, Scooter, electric, 4-11kW, NMC battery</t>
  </si>
  <si>
    <t>Bicycle, electric (&lt;25 km/h), NMC battery</t>
  </si>
  <si>
    <t>transport, Bicycle, electric (&lt;25 km/h), NMC battery</t>
  </si>
  <si>
    <t>Bicycle, electric (&lt;45 km/h), NMC battery</t>
  </si>
  <si>
    <t>transport, Bicycle, electric (&lt;45 km/h), NMC battery</t>
  </si>
  <si>
    <t>Bicycle, electric, cargo bike, NMC battery</t>
  </si>
  <si>
    <t>transport, Bicycle, electric, cargo bike, NMC battery</t>
  </si>
  <si>
    <t>transport, Moped, gasoline, &lt;4kW, EURO-3/CH U</t>
  </si>
  <si>
    <t>transport, Scooter, gasoline, &lt;4kW, EURO-3/CH U</t>
  </si>
  <si>
    <t>transport, Scooter, gasoline, 4-11kW, EURO-3/CH U</t>
  </si>
  <si>
    <t>transport, Motorbike, gasoline, 4-11kW, EURO-3/CH U</t>
  </si>
  <si>
    <t>transport, Motorbike, gasoline, 11-35kW, EURO-3/CH U</t>
  </si>
  <si>
    <t>transport, Motorbike, gasoline, &gt;35kW, EURO-3/CH U</t>
  </si>
  <si>
    <t>transport, Moped, gasoline, &lt;4kW, EURO-4/CH U</t>
  </si>
  <si>
    <t>transport, Scooter, gasoline, &lt;4kW, EURO-4/CH U</t>
  </si>
  <si>
    <t>transport, Scooter, gasoline, 4-11kW, EURO-4/CH U</t>
  </si>
  <si>
    <t>transport, Motorbike, gasoline, 4-11kW, EURO-4/CH U</t>
  </si>
  <si>
    <t>transport, Motorbike, gasoline, 11-35kW, EURO-4/CH U</t>
  </si>
  <si>
    <t>transport, Motorbike, gasoline, &gt;35kW, EURO-4/CH U</t>
  </si>
  <si>
    <t>market for battery capacity, Li-ion, NMC811</t>
  </si>
  <si>
    <t>battery capacity, Li-ion, NMC811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</si>
</sst>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0000"/>
    <numFmt numFmtId="168" formatCode="0.000000000"/>
    <numFmt numFmtId="169" formatCode="0.0%"/>
  </numFmts>
  <fonts count="10" x14ac:knownFonts="1">
    <font>
      <sz val="11"/>
      <color theme="1"/>
      <name val="Calibri"/>
      <family val="2"/>
      <scheme val="minor"/>
    </font>
    <font>
      <sz val="9"/>
      <color indexed="81"/>
      <name val="Tahoma"/>
      <family val="2"/>
    </font>
    <font>
      <b/>
      <sz val="9"/>
      <color indexed="81"/>
      <name val="Tahoma"/>
      <family val="2"/>
    </font>
    <font>
      <u/>
      <sz val="11"/>
      <color indexed="8"/>
      <name val="Calibri"/>
      <family val="2"/>
    </font>
    <font>
      <sz val="11"/>
      <color theme="1"/>
      <name val="Calibri"/>
      <family val="2"/>
      <scheme val="minor"/>
    </font>
    <font>
      <b/>
      <sz val="11"/>
      <color theme="1"/>
      <name val="Calibri"/>
      <family val="2"/>
      <scheme val="minor"/>
    </font>
    <font>
      <b/>
      <sz val="12"/>
      <color theme="1"/>
      <name val="Calibri"/>
      <family val="2"/>
      <scheme val="minor"/>
    </font>
    <font>
      <sz val="10"/>
      <color rgb="FF000000"/>
      <name val="Calibri"/>
      <family val="2"/>
      <scheme val="minor"/>
    </font>
    <font>
      <sz val="12"/>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46">
    <xf numFmtId="0" fontId="0" fillId="0" borderId="0" xfId="0"/>
    <xf numFmtId="9" fontId="4" fillId="0" borderId="0" xfId="1" applyFont="1"/>
    <xf numFmtId="1" fontId="0" fillId="0" borderId="0" xfId="0" applyNumberFormat="1"/>
    <xf numFmtId="164" fontId="0" fillId="0" borderId="0" xfId="0" applyNumberFormat="1"/>
    <xf numFmtId="165" fontId="0" fillId="0" borderId="0" xfId="0" applyNumberFormat="1"/>
    <xf numFmtId="166" fontId="0" fillId="0" borderId="0" xfId="0" applyNumberFormat="1"/>
    <xf numFmtId="2" fontId="0" fillId="0" borderId="0" xfId="0" applyNumberFormat="1"/>
    <xf numFmtId="11" fontId="0" fillId="0" borderId="0" xfId="0" applyNumberFormat="1"/>
    <xf numFmtId="0" fontId="5" fillId="0" borderId="0" xfId="0" applyFont="1"/>
    <xf numFmtId="164" fontId="5" fillId="0" borderId="0" xfId="0" applyNumberFormat="1" applyFont="1"/>
    <xf numFmtId="0" fontId="6" fillId="0" borderId="0" xfId="0" applyFont="1"/>
    <xf numFmtId="167" fontId="0" fillId="0" borderId="0" xfId="0" applyNumberFormat="1"/>
    <xf numFmtId="168" fontId="0" fillId="0" borderId="0" xfId="0" applyNumberFormat="1"/>
    <xf numFmtId="0" fontId="7" fillId="0" borderId="0" xfId="0" applyFont="1"/>
    <xf numFmtId="14" fontId="0" fillId="0" borderId="0" xfId="0" applyNumberFormat="1"/>
    <xf numFmtId="10" fontId="0" fillId="0" borderId="0" xfId="0" applyNumberFormat="1"/>
    <xf numFmtId="11" fontId="4" fillId="0" borderId="0" xfId="1" applyNumberFormat="1" applyFont="1"/>
    <xf numFmtId="11" fontId="4" fillId="0" borderId="0" xfId="1" applyNumberFormat="1" applyFont="1" applyFill="1"/>
    <xf numFmtId="49" fontId="0" fillId="0" borderId="0" xfId="0" applyNumberFormat="1"/>
    <xf numFmtId="0" fontId="0" fillId="0" borderId="0" xfId="0" applyAlignment="1">
      <alignment horizontal="right"/>
    </xf>
    <xf numFmtId="169" fontId="0" fillId="0" borderId="0" xfId="1" applyNumberFormat="1" applyFont="1"/>
    <xf numFmtId="11" fontId="6" fillId="0" borderId="0" xfId="0" applyNumberFormat="1" applyFont="1"/>
    <xf numFmtId="11" fontId="8" fillId="0" borderId="0" xfId="0" applyNumberFormat="1" applyFont="1"/>
    <xf numFmtId="0" fontId="5" fillId="2" borderId="0" xfId="0" applyFont="1" applyFill="1"/>
    <xf numFmtId="166" fontId="0" fillId="2" borderId="0" xfId="0" applyNumberFormat="1" applyFill="1"/>
    <xf numFmtId="0" fontId="5" fillId="3" borderId="0" xfId="0" applyFont="1" applyFill="1"/>
    <xf numFmtId="166" fontId="0" fillId="3" borderId="0" xfId="0" applyNumberFormat="1" applyFill="1"/>
    <xf numFmtId="0" fontId="5" fillId="4" borderId="0" xfId="0" applyFont="1" applyFill="1"/>
    <xf numFmtId="11" fontId="0" fillId="4" borderId="0" xfId="0" applyNumberFormat="1" applyFill="1"/>
    <xf numFmtId="0" fontId="5" fillId="5" borderId="0" xfId="0" applyFont="1" applyFill="1"/>
    <xf numFmtId="11" fontId="0" fillId="5" borderId="0" xfId="0" applyNumberFormat="1" applyFill="1"/>
    <xf numFmtId="0" fontId="5" fillId="6" borderId="0" xfId="0" applyFont="1" applyFill="1"/>
    <xf numFmtId="11" fontId="0" fillId="6" borderId="0" xfId="0" applyNumberFormat="1" applyFill="1"/>
    <xf numFmtId="0" fontId="5" fillId="7" borderId="0" xfId="0" applyFont="1" applyFill="1"/>
    <xf numFmtId="2" fontId="0" fillId="7" borderId="0" xfId="0" applyNumberFormat="1" applyFill="1"/>
    <xf numFmtId="0" fontId="9" fillId="0" borderId="0" xfId="0" applyFont="1"/>
    <xf numFmtId="0" fontId="5" fillId="0" borderId="0" xfId="0" applyFont="1" applyAlignment="1">
      <alignment horizontal="left" wrapText="1"/>
    </xf>
    <xf numFmtId="0" fontId="5" fillId="0" borderId="0" xfId="0" applyFont="1" applyAlignment="1">
      <alignment horizontal="center"/>
    </xf>
    <xf numFmtId="9" fontId="0" fillId="0" borderId="0" xfId="1" applyFont="1"/>
    <xf numFmtId="0" fontId="5" fillId="6" borderId="0" xfId="0" applyFont="1" applyFill="1" applyAlignment="1">
      <alignment horizontal="center"/>
    </xf>
    <xf numFmtId="0" fontId="5" fillId="7" borderId="0" xfId="0" applyFont="1" applyFill="1" applyAlignment="1">
      <alignment horizontal="center"/>
    </xf>
    <xf numFmtId="0" fontId="5" fillId="2" borderId="0" xfId="0" applyFont="1" applyFill="1" applyAlignment="1">
      <alignment horizontal="center"/>
    </xf>
    <xf numFmtId="0" fontId="5" fillId="3" borderId="0" xfId="0"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0" fillId="0" borderId="0" xfId="0"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B6" sqref="B6"/>
    </sheetView>
  </sheetViews>
  <sheetFormatPr baseColWidth="10" defaultColWidth="8.83203125" defaultRowHeight="15" x14ac:dyDescent="0.2"/>
  <cols>
    <col min="1" max="1" width="12.33203125" bestFit="1" customWidth="1"/>
    <col min="2" max="2" width="10.5" bestFit="1" customWidth="1"/>
  </cols>
  <sheetData>
    <row r="1" spans="1:2" x14ac:dyDescent="0.2">
      <c r="A1" t="s">
        <v>68</v>
      </c>
    </row>
    <row r="2" spans="1:2" x14ac:dyDescent="0.2">
      <c r="A2" s="8" t="s">
        <v>278</v>
      </c>
      <c r="B2" s="8" t="s">
        <v>553</v>
      </c>
    </row>
    <row r="3" spans="1:2" x14ac:dyDescent="0.2">
      <c r="A3" t="s">
        <v>279</v>
      </c>
      <c r="B3" t="s">
        <v>378</v>
      </c>
    </row>
    <row r="4" spans="1:2" x14ac:dyDescent="0.2">
      <c r="A4" t="s">
        <v>280</v>
      </c>
      <c r="B4" t="s">
        <v>281</v>
      </c>
    </row>
    <row r="5" spans="1:2" x14ac:dyDescent="0.2">
      <c r="A5" t="s">
        <v>312</v>
      </c>
      <c r="B5" s="14">
        <v>44502</v>
      </c>
    </row>
    <row r="7" spans="1:2" x14ac:dyDescent="0.2">
      <c r="A7" t="s">
        <v>282</v>
      </c>
    </row>
    <row r="8" spans="1:2" x14ac:dyDescent="0.2">
      <c r="A8" t="s">
        <v>311</v>
      </c>
    </row>
    <row r="9" spans="1:2" x14ac:dyDescent="0.2">
      <c r="A9" t="s">
        <v>283</v>
      </c>
    </row>
    <row r="10" spans="1:2" x14ac:dyDescent="0.2">
      <c r="A10" t="s">
        <v>313</v>
      </c>
    </row>
    <row r="11" spans="1:2" x14ac:dyDescent="0.2">
      <c r="A11" t="s">
        <v>381</v>
      </c>
    </row>
    <row r="12" spans="1:2" x14ac:dyDescent="0.2">
      <c r="A12" t="s">
        <v>382</v>
      </c>
    </row>
    <row r="13" spans="1:2" x14ac:dyDescent="0.2">
      <c r="A13" t="s">
        <v>314</v>
      </c>
    </row>
    <row r="14" spans="1:2" x14ac:dyDescent="0.2">
      <c r="A14" t="s">
        <v>315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83"/>
  <sheetViews>
    <sheetView topLeftCell="A51" workbookViewId="0">
      <selection activeCell="G74" sqref="G74"/>
    </sheetView>
  </sheetViews>
  <sheetFormatPr baseColWidth="10" defaultColWidth="8.83203125" defaultRowHeight="15" x14ac:dyDescent="0.2"/>
  <cols>
    <col min="1" max="1" width="67.6640625" customWidth="1"/>
    <col min="2" max="2" width="15.6640625" bestFit="1" customWidth="1"/>
    <col min="7" max="7" width="32" bestFit="1" customWidth="1"/>
    <col min="11" max="13" width="12.6640625" bestFit="1" customWidth="1"/>
  </cols>
  <sheetData>
    <row r="1" spans="1:2" ht="16" x14ac:dyDescent="0.2">
      <c r="A1" s="10" t="s">
        <v>71</v>
      </c>
      <c r="B1" s="8" t="s">
        <v>954</v>
      </c>
    </row>
    <row r="2" spans="1:2" x14ac:dyDescent="0.2">
      <c r="A2" t="s">
        <v>72</v>
      </c>
      <c r="B2" t="s">
        <v>37</v>
      </c>
    </row>
    <row r="3" spans="1:2" x14ac:dyDescent="0.2">
      <c r="A3" t="s">
        <v>86</v>
      </c>
      <c r="B3" t="s">
        <v>267</v>
      </c>
    </row>
    <row r="4" spans="1:2" x14ac:dyDescent="0.2">
      <c r="A4" t="s">
        <v>87</v>
      </c>
    </row>
    <row r="5" spans="1:2" x14ac:dyDescent="0.2">
      <c r="A5" t="s">
        <v>88</v>
      </c>
      <c r="B5">
        <v>2020</v>
      </c>
    </row>
    <row r="6" spans="1:2" x14ac:dyDescent="0.2">
      <c r="A6" t="s">
        <v>124</v>
      </c>
      <c r="B6" t="s">
        <v>488</v>
      </c>
    </row>
    <row r="7" spans="1:2" x14ac:dyDescent="0.2">
      <c r="A7" t="s">
        <v>73</v>
      </c>
      <c r="B7" t="s">
        <v>267</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76.7</v>
      </c>
    </row>
    <row r="17" spans="1:8" x14ac:dyDescent="0.2">
      <c r="A17" t="s">
        <v>131</v>
      </c>
      <c r="B17">
        <v>2.5</v>
      </c>
    </row>
    <row r="18" spans="1:8" x14ac:dyDescent="0.2">
      <c r="A18" t="s">
        <v>427</v>
      </c>
      <c r="B18" s="19" t="s">
        <v>43</v>
      </c>
    </row>
    <row r="19" spans="1:8" x14ac:dyDescent="0.2">
      <c r="A19" t="s">
        <v>132</v>
      </c>
      <c r="B19">
        <v>11.7</v>
      </c>
    </row>
    <row r="20" spans="1:8" x14ac:dyDescent="0.2">
      <c r="A20" t="s">
        <v>133</v>
      </c>
      <c r="B20">
        <v>1.8</v>
      </c>
    </row>
    <row r="21" spans="1:8" x14ac:dyDescent="0.2">
      <c r="A21" t="s">
        <v>363</v>
      </c>
      <c r="B21">
        <v>1.4400000000000002</v>
      </c>
    </row>
    <row r="22" spans="1:8" x14ac:dyDescent="0.2">
      <c r="A22" t="s">
        <v>136</v>
      </c>
      <c r="B22" s="2">
        <v>0</v>
      </c>
    </row>
    <row r="23" spans="1:8" x14ac:dyDescent="0.2">
      <c r="A23" t="s">
        <v>137</v>
      </c>
      <c r="B23">
        <v>0</v>
      </c>
    </row>
    <row r="24" spans="1:8" x14ac:dyDescent="0.2">
      <c r="A24" t="s">
        <v>134</v>
      </c>
      <c r="B24" s="2">
        <v>42.842975206611577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883</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954</v>
      </c>
      <c r="B33">
        <v>1</v>
      </c>
      <c r="C33" t="s">
        <v>37</v>
      </c>
      <c r="D33" t="s">
        <v>76</v>
      </c>
      <c r="F33" t="s">
        <v>84</v>
      </c>
      <c r="G33" t="s">
        <v>85</v>
      </c>
      <c r="H33" t="s">
        <v>267</v>
      </c>
    </row>
    <row r="34" spans="1:8" x14ac:dyDescent="0.2">
      <c r="A34" t="s">
        <v>189</v>
      </c>
      <c r="B34" s="11">
        <v>53</v>
      </c>
      <c r="C34" t="s">
        <v>95</v>
      </c>
      <c r="D34" t="s">
        <v>77</v>
      </c>
      <c r="F34" t="s">
        <v>89</v>
      </c>
      <c r="G34" t="s">
        <v>15</v>
      </c>
      <c r="H34" t="s">
        <v>121</v>
      </c>
    </row>
    <row r="35" spans="1:8" x14ac:dyDescent="0.2">
      <c r="A35" t="s">
        <v>796</v>
      </c>
      <c r="B35" s="11">
        <v>0</v>
      </c>
      <c r="C35" t="s">
        <v>95</v>
      </c>
      <c r="D35" t="s">
        <v>77</v>
      </c>
      <c r="F35" t="s">
        <v>89</v>
      </c>
      <c r="G35" t="s">
        <v>14</v>
      </c>
      <c r="H35" t="s">
        <v>796</v>
      </c>
    </row>
    <row r="36" spans="1:8" x14ac:dyDescent="0.2">
      <c r="A36" t="s">
        <v>189</v>
      </c>
      <c r="B36" s="11">
        <v>4.5</v>
      </c>
      <c r="C36" t="s">
        <v>95</v>
      </c>
      <c r="D36" t="s">
        <v>77</v>
      </c>
      <c r="F36" t="s">
        <v>89</v>
      </c>
      <c r="G36" t="s">
        <v>16</v>
      </c>
      <c r="H36" t="s">
        <v>121</v>
      </c>
    </row>
    <row r="37" spans="1:8" x14ac:dyDescent="0.2">
      <c r="A37" t="s">
        <v>188</v>
      </c>
      <c r="B37" s="11">
        <v>7.5</v>
      </c>
      <c r="C37" t="s">
        <v>95</v>
      </c>
      <c r="D37" t="s">
        <v>77</v>
      </c>
      <c r="F37" t="s">
        <v>89</v>
      </c>
      <c r="G37" t="s">
        <v>276</v>
      </c>
      <c r="H37" t="s">
        <v>149</v>
      </c>
    </row>
    <row r="38" spans="1:8" x14ac:dyDescent="0.2">
      <c r="A38" t="s">
        <v>984</v>
      </c>
      <c r="B38" s="4">
        <v>1.8</v>
      </c>
      <c r="C38" t="s">
        <v>95</v>
      </c>
      <c r="D38" t="s">
        <v>96</v>
      </c>
      <c r="F38" t="s">
        <v>89</v>
      </c>
      <c r="H38" t="s">
        <v>985</v>
      </c>
    </row>
    <row r="39" spans="1:8" x14ac:dyDescent="0.2">
      <c r="A39" t="s">
        <v>187</v>
      </c>
      <c r="B39" s="11">
        <v>1</v>
      </c>
      <c r="C39" t="s">
        <v>95</v>
      </c>
      <c r="D39" t="s">
        <v>76</v>
      </c>
      <c r="F39" t="s">
        <v>89</v>
      </c>
      <c r="G39" t="s">
        <v>52</v>
      </c>
      <c r="H39" t="s">
        <v>187</v>
      </c>
    </row>
    <row r="40" spans="1:8" x14ac:dyDescent="0.2">
      <c r="A40" t="s">
        <v>151</v>
      </c>
      <c r="B40" s="11">
        <v>53</v>
      </c>
      <c r="C40" t="s">
        <v>95</v>
      </c>
      <c r="D40" t="s">
        <v>76</v>
      </c>
      <c r="F40" t="s">
        <v>89</v>
      </c>
      <c r="G40" t="s">
        <v>142</v>
      </c>
      <c r="H40" t="s">
        <v>150</v>
      </c>
    </row>
    <row r="41" spans="1:8" x14ac:dyDescent="0.2">
      <c r="A41" t="s">
        <v>151</v>
      </c>
      <c r="B41" s="11">
        <v>12</v>
      </c>
      <c r="C41" t="s">
        <v>95</v>
      </c>
      <c r="D41" t="s">
        <v>76</v>
      </c>
      <c r="F41" t="s">
        <v>89</v>
      </c>
      <c r="G41" t="s">
        <v>143</v>
      </c>
      <c r="H41" t="s">
        <v>150</v>
      </c>
    </row>
    <row r="42" spans="1:8" x14ac:dyDescent="0.2">
      <c r="A42" s="13" t="s">
        <v>549</v>
      </c>
      <c r="B42">
        <v>76.7</v>
      </c>
      <c r="C42" t="s">
        <v>92</v>
      </c>
      <c r="D42" t="s">
        <v>193</v>
      </c>
      <c r="F42" t="s">
        <v>89</v>
      </c>
      <c r="H42" s="13" t="s">
        <v>550</v>
      </c>
    </row>
    <row r="43" spans="1:8" x14ac:dyDescent="0.2">
      <c r="A43" s="13" t="s">
        <v>216</v>
      </c>
      <c r="B43" s="2">
        <v>1219.53</v>
      </c>
      <c r="C43" t="s">
        <v>95</v>
      </c>
      <c r="D43" t="s">
        <v>193</v>
      </c>
      <c r="F43" t="s">
        <v>89</v>
      </c>
      <c r="H43" s="13" t="s">
        <v>216</v>
      </c>
    </row>
    <row r="44" spans="1:8" x14ac:dyDescent="0.2">
      <c r="B44" s="11"/>
    </row>
    <row r="45" spans="1:8" x14ac:dyDescent="0.2">
      <c r="B45" s="2"/>
    </row>
    <row r="46" spans="1:8" ht="16" x14ac:dyDescent="0.2">
      <c r="A46" s="10" t="s">
        <v>71</v>
      </c>
      <c r="B46" s="8" t="s">
        <v>955</v>
      </c>
    </row>
    <row r="47" spans="1:8" x14ac:dyDescent="0.2">
      <c r="A47" t="s">
        <v>72</v>
      </c>
      <c r="B47" t="s">
        <v>37</v>
      </c>
    </row>
    <row r="48" spans="1:8" x14ac:dyDescent="0.2">
      <c r="A48" t="s">
        <v>86</v>
      </c>
      <c r="B48" t="s">
        <v>267</v>
      </c>
    </row>
    <row r="49" spans="1:2" x14ac:dyDescent="0.2">
      <c r="A49" t="s">
        <v>87</v>
      </c>
    </row>
    <row r="50" spans="1:2" x14ac:dyDescent="0.2">
      <c r="A50" t="s">
        <v>88</v>
      </c>
      <c r="B50">
        <v>2020</v>
      </c>
    </row>
    <row r="51" spans="1:2" x14ac:dyDescent="0.2">
      <c r="A51" t="s">
        <v>124</v>
      </c>
      <c r="B51" t="s">
        <v>488</v>
      </c>
    </row>
    <row r="52" spans="1:2" x14ac:dyDescent="0.2">
      <c r="A52" t="s">
        <v>73</v>
      </c>
      <c r="B52" t="s">
        <v>882</v>
      </c>
    </row>
    <row r="53" spans="1:2" x14ac:dyDescent="0.2">
      <c r="A53" t="s">
        <v>74</v>
      </c>
      <c r="B53" t="s">
        <v>75</v>
      </c>
    </row>
    <row r="54" spans="1:2" x14ac:dyDescent="0.2">
      <c r="A54" t="s">
        <v>76</v>
      </c>
      <c r="B54" t="s">
        <v>164</v>
      </c>
    </row>
    <row r="55" spans="1:2" x14ac:dyDescent="0.2">
      <c r="A55" t="s">
        <v>78</v>
      </c>
      <c r="B55" t="s">
        <v>774</v>
      </c>
    </row>
    <row r="56" spans="1:2" x14ac:dyDescent="0.2">
      <c r="A56" t="s">
        <v>125</v>
      </c>
      <c r="B56">
        <v>25000</v>
      </c>
    </row>
    <row r="57" spans="1:2" x14ac:dyDescent="0.2">
      <c r="A57" t="s">
        <v>126</v>
      </c>
      <c r="B57">
        <v>1.1000000000000001</v>
      </c>
    </row>
    <row r="58" spans="1:2" x14ac:dyDescent="0.2">
      <c r="A58" t="s">
        <v>127</v>
      </c>
      <c r="B58">
        <v>1</v>
      </c>
    </row>
    <row r="59" spans="1:2" x14ac:dyDescent="0.2">
      <c r="A59" t="s">
        <v>128</v>
      </c>
      <c r="B59">
        <v>1</v>
      </c>
    </row>
    <row r="60" spans="1:2" x14ac:dyDescent="0.2">
      <c r="A60" t="s">
        <v>129</v>
      </c>
      <c r="B60">
        <v>1776</v>
      </c>
    </row>
    <row r="61" spans="1:2" x14ac:dyDescent="0.2">
      <c r="A61" t="s">
        <v>130</v>
      </c>
      <c r="B61" s="2">
        <v>76.7</v>
      </c>
    </row>
    <row r="62" spans="1:2" x14ac:dyDescent="0.2">
      <c r="A62" t="s">
        <v>131</v>
      </c>
      <c r="B62">
        <v>2.5</v>
      </c>
    </row>
    <row r="63" spans="1:2" x14ac:dyDescent="0.2">
      <c r="A63" t="s">
        <v>427</v>
      </c>
      <c r="B63" s="19" t="s">
        <v>43</v>
      </c>
    </row>
    <row r="64" spans="1:2" x14ac:dyDescent="0.2">
      <c r="A64" t="s">
        <v>132</v>
      </c>
      <c r="B64">
        <v>11.7</v>
      </c>
    </row>
    <row r="65" spans="1:8" x14ac:dyDescent="0.2">
      <c r="A65" t="s">
        <v>133</v>
      </c>
      <c r="B65">
        <v>1.8</v>
      </c>
    </row>
    <row r="66" spans="1:8" x14ac:dyDescent="0.2">
      <c r="A66" t="s">
        <v>363</v>
      </c>
      <c r="B66">
        <v>1.4400000000000002</v>
      </c>
    </row>
    <row r="67" spans="1:8" x14ac:dyDescent="0.2">
      <c r="A67" t="s">
        <v>136</v>
      </c>
      <c r="B67" s="2">
        <v>0</v>
      </c>
    </row>
    <row r="68" spans="1:8" x14ac:dyDescent="0.2">
      <c r="A68" t="s">
        <v>137</v>
      </c>
      <c r="B68">
        <v>0</v>
      </c>
    </row>
    <row r="69" spans="1:8" x14ac:dyDescent="0.2">
      <c r="A69" t="s">
        <v>134</v>
      </c>
      <c r="B69" s="2">
        <v>42.842975206611577</v>
      </c>
    </row>
    <row r="70" spans="1:8" x14ac:dyDescent="0.2">
      <c r="A70" t="s">
        <v>135</v>
      </c>
      <c r="B70" t="s">
        <v>138</v>
      </c>
    </row>
    <row r="71" spans="1:8" x14ac:dyDescent="0.2">
      <c r="A71" t="s">
        <v>796</v>
      </c>
      <c r="B71" s="6">
        <v>0</v>
      </c>
    </row>
    <row r="72" spans="1:8" x14ac:dyDescent="0.2">
      <c r="A72" t="s">
        <v>83</v>
      </c>
      <c r="B72" t="s">
        <v>883</v>
      </c>
    </row>
    <row r="73" spans="1:8" ht="16" x14ac:dyDescent="0.2">
      <c r="A73" s="10" t="s">
        <v>79</v>
      </c>
    </row>
    <row r="74" spans="1:8" x14ac:dyDescent="0.2">
      <c r="A74" t="s">
        <v>80</v>
      </c>
      <c r="B74" t="s">
        <v>81</v>
      </c>
      <c r="C74" t="s">
        <v>72</v>
      </c>
      <c r="D74" t="s">
        <v>76</v>
      </c>
      <c r="E74" t="s">
        <v>82</v>
      </c>
      <c r="F74" t="s">
        <v>74</v>
      </c>
      <c r="G74" t="s">
        <v>83</v>
      </c>
      <c r="H74" t="s">
        <v>73</v>
      </c>
    </row>
    <row r="75" spans="1:8" x14ac:dyDescent="0.2">
      <c r="A75" t="s">
        <v>955</v>
      </c>
      <c r="B75">
        <v>1</v>
      </c>
      <c r="C75" t="s">
        <v>37</v>
      </c>
      <c r="D75" t="s">
        <v>164</v>
      </c>
      <c r="F75" t="s">
        <v>84</v>
      </c>
      <c r="G75" t="s">
        <v>85</v>
      </c>
      <c r="H75" t="s">
        <v>882</v>
      </c>
    </row>
    <row r="76" spans="1:8" x14ac:dyDescent="0.2">
      <c r="A76" t="s">
        <v>954</v>
      </c>
      <c r="B76" s="7">
        <v>4.0000000000000003E-5</v>
      </c>
      <c r="C76" t="s">
        <v>37</v>
      </c>
      <c r="D76" t="s">
        <v>76</v>
      </c>
      <c r="F76" t="s">
        <v>89</v>
      </c>
      <c r="H76" t="s">
        <v>267</v>
      </c>
    </row>
    <row r="77" spans="1:8" x14ac:dyDescent="0.2">
      <c r="A77" t="s">
        <v>111</v>
      </c>
      <c r="B77" s="7">
        <v>1.2899999999999999E-3</v>
      </c>
      <c r="C77" t="s">
        <v>37</v>
      </c>
      <c r="D77" t="s">
        <v>105</v>
      </c>
      <c r="F77" t="s">
        <v>89</v>
      </c>
      <c r="G77" t="s">
        <v>110</v>
      </c>
      <c r="H77" t="s">
        <v>111</v>
      </c>
    </row>
    <row r="78" spans="1:8" x14ac:dyDescent="0.2">
      <c r="A78" t="s">
        <v>98</v>
      </c>
      <c r="B78" s="7">
        <v>3.6972222222222226E-2</v>
      </c>
      <c r="C78" t="s">
        <v>37</v>
      </c>
      <c r="D78" t="s">
        <v>96</v>
      </c>
      <c r="F78" t="s">
        <v>89</v>
      </c>
      <c r="G78" t="s">
        <v>28</v>
      </c>
      <c r="H78" t="s">
        <v>100</v>
      </c>
    </row>
    <row r="79" spans="1:8" x14ac:dyDescent="0.2">
      <c r="A79" t="s">
        <v>190</v>
      </c>
      <c r="B79" s="7">
        <v>4.0000000000000003E-5</v>
      </c>
      <c r="C79" t="s">
        <v>95</v>
      </c>
      <c r="D79" t="s">
        <v>76</v>
      </c>
      <c r="F79" t="s">
        <v>89</v>
      </c>
      <c r="G79" t="s">
        <v>116</v>
      </c>
      <c r="H79" t="s">
        <v>120</v>
      </c>
    </row>
    <row r="80" spans="1:8" x14ac:dyDescent="0.2">
      <c r="A80" t="s">
        <v>107</v>
      </c>
      <c r="B80" s="7">
        <v>8.8712400000000001E-5</v>
      </c>
      <c r="C80" t="s">
        <v>37</v>
      </c>
      <c r="D80" t="s">
        <v>105</v>
      </c>
      <c r="F80" t="s">
        <v>89</v>
      </c>
      <c r="G80" t="s">
        <v>103</v>
      </c>
      <c r="H80" t="s">
        <v>108</v>
      </c>
    </row>
    <row r="81" spans="1:8" x14ac:dyDescent="0.2">
      <c r="A81" t="s">
        <v>157</v>
      </c>
      <c r="B81" s="7">
        <v>-6.2620810940496784E-6</v>
      </c>
      <c r="C81" t="s">
        <v>92</v>
      </c>
      <c r="D81" t="s">
        <v>77</v>
      </c>
      <c r="F81" t="s">
        <v>89</v>
      </c>
      <c r="G81" t="s">
        <v>29</v>
      </c>
      <c r="H81" t="s">
        <v>159</v>
      </c>
    </row>
    <row r="82" spans="1:8" x14ac:dyDescent="0.2">
      <c r="A82" t="s">
        <v>158</v>
      </c>
      <c r="B82" s="7">
        <v>-4.5554631442082041E-6</v>
      </c>
      <c r="C82" t="s">
        <v>92</v>
      </c>
      <c r="D82" t="s">
        <v>77</v>
      </c>
      <c r="F82" t="s">
        <v>89</v>
      </c>
      <c r="G82" t="s">
        <v>30</v>
      </c>
      <c r="H82" t="s">
        <v>160</v>
      </c>
    </row>
    <row r="83" spans="1:8" x14ac:dyDescent="0.2">
      <c r="A83" t="s">
        <v>166</v>
      </c>
      <c r="B83" s="7">
        <v>-2.4211309013042481E-6</v>
      </c>
      <c r="C83" t="s">
        <v>92</v>
      </c>
      <c r="D83" t="s">
        <v>77</v>
      </c>
      <c r="F83" t="s">
        <v>89</v>
      </c>
      <c r="G83" t="s">
        <v>31</v>
      </c>
      <c r="H83" t="s">
        <v>161</v>
      </c>
    </row>
    <row r="84" spans="1:8" x14ac:dyDescent="0.2">
      <c r="B84" s="6"/>
    </row>
    <row r="85" spans="1:8" ht="16" x14ac:dyDescent="0.2">
      <c r="A85" s="10"/>
      <c r="B85" s="8"/>
    </row>
    <row r="100" spans="1:2" x14ac:dyDescent="0.2">
      <c r="B100" s="2"/>
    </row>
    <row r="104" spans="1:2" x14ac:dyDescent="0.2">
      <c r="B104" s="2"/>
    </row>
    <row r="106" spans="1:2" x14ac:dyDescent="0.2">
      <c r="B106" s="2"/>
    </row>
    <row r="108" spans="1:2" x14ac:dyDescent="0.2">
      <c r="B108" s="6"/>
    </row>
    <row r="110" spans="1:2" ht="16" x14ac:dyDescent="0.2">
      <c r="A110" s="10"/>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ht="16" x14ac:dyDescent="0.2">
      <c r="A124" s="10"/>
      <c r="B124" s="8"/>
    </row>
    <row r="139" spans="2:2" x14ac:dyDescent="0.2">
      <c r="B139" s="2"/>
    </row>
    <row r="143" spans="2:2" x14ac:dyDescent="0.2">
      <c r="B143" s="2"/>
    </row>
    <row r="145" spans="1:2" x14ac:dyDescent="0.2">
      <c r="B145" s="2"/>
    </row>
    <row r="147" spans="1:2" x14ac:dyDescent="0.2">
      <c r="B147" s="6"/>
    </row>
    <row r="149" spans="1:2" ht="16" x14ac:dyDescent="0.2">
      <c r="A149" s="10"/>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3" spans="1:2" ht="16" x14ac:dyDescent="0.2">
      <c r="A163" s="10"/>
      <c r="B163" s="8"/>
    </row>
    <row r="178" spans="1:2" x14ac:dyDescent="0.2">
      <c r="B178" s="2"/>
    </row>
    <row r="182" spans="1:2" x14ac:dyDescent="0.2">
      <c r="B182" s="2"/>
    </row>
    <row r="184" spans="1:2" x14ac:dyDescent="0.2">
      <c r="B184" s="2"/>
    </row>
    <row r="186" spans="1:2" x14ac:dyDescent="0.2">
      <c r="B186" s="6"/>
    </row>
    <row r="188" spans="1:2" ht="16" x14ac:dyDescent="0.2">
      <c r="A188" s="10"/>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2" spans="1:2" ht="16" x14ac:dyDescent="0.2">
      <c r="A202" s="10"/>
      <c r="B202" s="8"/>
    </row>
    <row r="217" spans="2:2" x14ac:dyDescent="0.2">
      <c r="B217" s="2"/>
    </row>
    <row r="221" spans="2:2" x14ac:dyDescent="0.2">
      <c r="B221" s="2"/>
    </row>
    <row r="223" spans="2:2" x14ac:dyDescent="0.2">
      <c r="B223" s="2"/>
    </row>
    <row r="225" spans="1:2" x14ac:dyDescent="0.2">
      <c r="B225" s="6"/>
    </row>
    <row r="227" spans="1:2" ht="16" x14ac:dyDescent="0.2">
      <c r="A227" s="10"/>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2"/>
    </row>
    <row r="241" spans="1:2" ht="16" x14ac:dyDescent="0.2">
      <c r="A241" s="10"/>
      <c r="B241" s="8"/>
    </row>
    <row r="256" spans="1:2" x14ac:dyDescent="0.2">
      <c r="B256" s="2"/>
    </row>
    <row r="260" spans="1:2" x14ac:dyDescent="0.2">
      <c r="B260" s="2"/>
    </row>
    <row r="262" spans="1:2" x14ac:dyDescent="0.2">
      <c r="B262" s="2"/>
    </row>
    <row r="264" spans="1:2" x14ac:dyDescent="0.2">
      <c r="B264" s="6"/>
    </row>
    <row r="266" spans="1:2" ht="16" x14ac:dyDescent="0.2">
      <c r="A266" s="10"/>
    </row>
    <row r="269" spans="1:2" x14ac:dyDescent="0.2">
      <c r="B269" s="7"/>
    </row>
    <row r="270" spans="1:2" x14ac:dyDescent="0.2">
      <c r="B270" s="11"/>
    </row>
    <row r="271" spans="1:2" x14ac:dyDescent="0.2">
      <c r="B271" s="4"/>
    </row>
    <row r="272" spans="1:2" x14ac:dyDescent="0.2">
      <c r="B272" s="11"/>
    </row>
    <row r="273" spans="1:2" x14ac:dyDescent="0.2">
      <c r="B273" s="11"/>
    </row>
    <row r="274" spans="1:2" x14ac:dyDescent="0.2">
      <c r="B274" s="11"/>
    </row>
    <row r="275" spans="1:2" x14ac:dyDescent="0.2">
      <c r="B275" s="11"/>
    </row>
    <row r="276" spans="1:2" x14ac:dyDescent="0.2">
      <c r="B276" s="6"/>
    </row>
    <row r="277" spans="1:2" ht="16" x14ac:dyDescent="0.2">
      <c r="A277" s="10"/>
      <c r="B277" s="8"/>
    </row>
    <row r="292" spans="1:2" x14ac:dyDescent="0.2">
      <c r="B292" s="2"/>
    </row>
    <row r="296" spans="1:2" x14ac:dyDescent="0.2">
      <c r="B296" s="2"/>
    </row>
    <row r="298" spans="1:2" x14ac:dyDescent="0.2">
      <c r="B298" s="2"/>
    </row>
    <row r="300" spans="1:2" x14ac:dyDescent="0.2">
      <c r="B300" s="6"/>
    </row>
    <row r="302" spans="1:2" ht="16" x14ac:dyDescent="0.2">
      <c r="A302" s="10"/>
    </row>
    <row r="306" spans="1:2" x14ac:dyDescent="0.2">
      <c r="B306" s="11"/>
    </row>
    <row r="307" spans="1:2" x14ac:dyDescent="0.2">
      <c r="B307" s="4"/>
    </row>
    <row r="308" spans="1:2" x14ac:dyDescent="0.2">
      <c r="B308" s="11"/>
    </row>
    <row r="309" spans="1:2" x14ac:dyDescent="0.2">
      <c r="B309" s="11"/>
    </row>
    <row r="310" spans="1:2" x14ac:dyDescent="0.2">
      <c r="B310" s="11"/>
    </row>
    <row r="311" spans="1:2" x14ac:dyDescent="0.2">
      <c r="B311" s="11"/>
    </row>
    <row r="313" spans="1:2" ht="16" x14ac:dyDescent="0.2">
      <c r="A313" s="10"/>
      <c r="B313" s="8"/>
    </row>
    <row r="328" spans="2:2" x14ac:dyDescent="0.2">
      <c r="B328" s="2"/>
    </row>
    <row r="332" spans="2:2" x14ac:dyDescent="0.2">
      <c r="B332" s="2"/>
    </row>
    <row r="334" spans="2:2" x14ac:dyDescent="0.2">
      <c r="B334" s="2"/>
    </row>
    <row r="336" spans="2:2" x14ac:dyDescent="0.2">
      <c r="B336" s="6"/>
    </row>
    <row r="338" spans="1:2" ht="16" x14ac:dyDescent="0.2">
      <c r="A338" s="10"/>
    </row>
    <row r="342" spans="1:2" x14ac:dyDescent="0.2">
      <c r="B342" s="11"/>
    </row>
    <row r="343" spans="1:2" x14ac:dyDescent="0.2">
      <c r="B343" s="4"/>
    </row>
    <row r="344" spans="1:2" x14ac:dyDescent="0.2">
      <c r="B344" s="11"/>
    </row>
    <row r="345" spans="1:2" x14ac:dyDescent="0.2">
      <c r="B345" s="11"/>
    </row>
    <row r="346" spans="1:2" x14ac:dyDescent="0.2">
      <c r="B346" s="11"/>
    </row>
    <row r="347" spans="1:2" x14ac:dyDescent="0.2">
      <c r="B347" s="11"/>
    </row>
    <row r="349" spans="1:2" ht="16" x14ac:dyDescent="0.2">
      <c r="A349" s="10"/>
      <c r="B349" s="8"/>
    </row>
    <row r="364" spans="2:2" x14ac:dyDescent="0.2">
      <c r="B364" s="2"/>
    </row>
    <row r="368" spans="2:2" x14ac:dyDescent="0.2">
      <c r="B368" s="2"/>
    </row>
    <row r="370" spans="1:2" x14ac:dyDescent="0.2">
      <c r="B370" s="2"/>
    </row>
    <row r="372" spans="1:2" x14ac:dyDescent="0.2">
      <c r="B372" s="6"/>
    </row>
    <row r="374" spans="1:2" ht="16" x14ac:dyDescent="0.2">
      <c r="A374" s="10"/>
    </row>
    <row r="378" spans="1:2" x14ac:dyDescent="0.2">
      <c r="B378" s="11"/>
    </row>
    <row r="379" spans="1:2" x14ac:dyDescent="0.2">
      <c r="B379" s="4"/>
    </row>
    <row r="380" spans="1:2" x14ac:dyDescent="0.2">
      <c r="B380" s="11"/>
    </row>
    <row r="381" spans="1:2" x14ac:dyDescent="0.2">
      <c r="B381" s="11"/>
    </row>
    <row r="382" spans="1:2" x14ac:dyDescent="0.2">
      <c r="B382" s="11"/>
    </row>
    <row r="383" spans="1:2" x14ac:dyDescent="0.2">
      <c r="B38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82"/>
  <sheetViews>
    <sheetView topLeftCell="A57" workbookViewId="0">
      <selection activeCell="G73" sqref="G73"/>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956</v>
      </c>
    </row>
    <row r="2" spans="1:2" x14ac:dyDescent="0.2">
      <c r="A2" t="s">
        <v>72</v>
      </c>
      <c r="B2" t="s">
        <v>37</v>
      </c>
    </row>
    <row r="3" spans="1:2" x14ac:dyDescent="0.2">
      <c r="A3" t="s">
        <v>86</v>
      </c>
      <c r="B3" t="s">
        <v>268</v>
      </c>
    </row>
    <row r="4" spans="1:2" x14ac:dyDescent="0.2">
      <c r="A4" t="s">
        <v>87</v>
      </c>
    </row>
    <row r="5" spans="1:2" x14ac:dyDescent="0.2">
      <c r="A5" t="s">
        <v>88</v>
      </c>
      <c r="B5">
        <v>2020</v>
      </c>
    </row>
    <row r="6" spans="1:2" x14ac:dyDescent="0.2">
      <c r="A6" t="s">
        <v>124</v>
      </c>
      <c r="B6" t="s">
        <v>492</v>
      </c>
    </row>
    <row r="7" spans="1:2" x14ac:dyDescent="0.2">
      <c r="A7" t="s">
        <v>73</v>
      </c>
      <c r="B7" t="s">
        <v>268</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117.00074044049273</v>
      </c>
    </row>
    <row r="17" spans="1:8" x14ac:dyDescent="0.2">
      <c r="A17" t="s">
        <v>131</v>
      </c>
      <c r="B17">
        <v>4.7</v>
      </c>
    </row>
    <row r="18" spans="1:8" x14ac:dyDescent="0.2">
      <c r="A18" t="s">
        <v>427</v>
      </c>
      <c r="B18" s="19" t="s">
        <v>43</v>
      </c>
    </row>
    <row r="19" spans="1:8" x14ac:dyDescent="0.2">
      <c r="A19" t="s">
        <v>132</v>
      </c>
      <c r="B19">
        <v>18.849999999999998</v>
      </c>
    </row>
    <row r="20" spans="1:8" x14ac:dyDescent="0.2">
      <c r="A20" t="s">
        <v>133</v>
      </c>
      <c r="B20">
        <v>2.9</v>
      </c>
    </row>
    <row r="21" spans="1:8" x14ac:dyDescent="0.2">
      <c r="A21" t="s">
        <v>363</v>
      </c>
      <c r="B21">
        <v>2.3199999999999998</v>
      </c>
    </row>
    <row r="22" spans="1:8" x14ac:dyDescent="0.2">
      <c r="A22" t="s">
        <v>136</v>
      </c>
      <c r="B22" s="2">
        <v>0</v>
      </c>
    </row>
    <row r="23" spans="1:8" x14ac:dyDescent="0.2">
      <c r="A23" t="s">
        <v>137</v>
      </c>
      <c r="B23">
        <v>0</v>
      </c>
    </row>
    <row r="24" spans="1:8" x14ac:dyDescent="0.2">
      <c r="A24" t="s">
        <v>134</v>
      </c>
      <c r="B24" s="2">
        <v>45.890109890109891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881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956</v>
      </c>
      <c r="B33" s="3">
        <v>1</v>
      </c>
      <c r="C33" t="s">
        <v>37</v>
      </c>
      <c r="D33" t="s">
        <v>76</v>
      </c>
      <c r="F33" t="s">
        <v>84</v>
      </c>
      <c r="G33" t="s">
        <v>85</v>
      </c>
      <c r="H33" t="s">
        <v>268</v>
      </c>
    </row>
    <row r="34" spans="1:8" x14ac:dyDescent="0.2">
      <c r="A34" t="s">
        <v>189</v>
      </c>
      <c r="B34" s="3">
        <v>65.433826960328489</v>
      </c>
      <c r="C34" t="s">
        <v>95</v>
      </c>
      <c r="D34" t="s">
        <v>77</v>
      </c>
      <c r="F34" t="s">
        <v>89</v>
      </c>
      <c r="G34" t="s">
        <v>15</v>
      </c>
      <c r="H34" t="s">
        <v>121</v>
      </c>
    </row>
    <row r="35" spans="1:8" x14ac:dyDescent="0.2">
      <c r="A35" t="s">
        <v>189</v>
      </c>
      <c r="B35" s="3">
        <v>13.086765392065699</v>
      </c>
      <c r="C35" t="s">
        <v>95</v>
      </c>
      <c r="D35" t="s">
        <v>77</v>
      </c>
      <c r="F35" t="s">
        <v>89</v>
      </c>
      <c r="G35" t="s">
        <v>16</v>
      </c>
      <c r="H35" t="s">
        <v>121</v>
      </c>
    </row>
    <row r="36" spans="1:8" x14ac:dyDescent="0.2">
      <c r="A36" t="s">
        <v>188</v>
      </c>
      <c r="B36" s="3">
        <v>19.630148088098547</v>
      </c>
      <c r="C36" t="s">
        <v>95</v>
      </c>
      <c r="D36" t="s">
        <v>77</v>
      </c>
      <c r="F36" t="s">
        <v>89</v>
      </c>
      <c r="G36" t="s">
        <v>276</v>
      </c>
      <c r="H36" t="s">
        <v>149</v>
      </c>
    </row>
    <row r="37" spans="1:8" x14ac:dyDescent="0.2">
      <c r="A37" t="s">
        <v>984</v>
      </c>
      <c r="B37" s="3">
        <v>2.9</v>
      </c>
      <c r="C37" t="s">
        <v>95</v>
      </c>
      <c r="D37" t="s">
        <v>96</v>
      </c>
      <c r="F37" t="s">
        <v>89</v>
      </c>
      <c r="H37" t="s">
        <v>985</v>
      </c>
    </row>
    <row r="38" spans="1:8" x14ac:dyDescent="0.2">
      <c r="A38" t="s">
        <v>187</v>
      </c>
      <c r="B38" s="3">
        <v>1</v>
      </c>
      <c r="C38" t="s">
        <v>95</v>
      </c>
      <c r="D38" t="s">
        <v>76</v>
      </c>
      <c r="F38" t="s">
        <v>89</v>
      </c>
      <c r="G38" t="s">
        <v>52</v>
      </c>
      <c r="H38" t="s">
        <v>187</v>
      </c>
    </row>
    <row r="39" spans="1:8" x14ac:dyDescent="0.2">
      <c r="A39" t="s">
        <v>151</v>
      </c>
      <c r="B39" s="3">
        <v>65.433826960328489</v>
      </c>
      <c r="C39" t="s">
        <v>95</v>
      </c>
      <c r="D39" t="s">
        <v>76</v>
      </c>
      <c r="F39" t="s">
        <v>89</v>
      </c>
      <c r="G39" t="s">
        <v>142</v>
      </c>
      <c r="H39" t="s">
        <v>150</v>
      </c>
    </row>
    <row r="40" spans="1:8" x14ac:dyDescent="0.2">
      <c r="A40" t="s">
        <v>151</v>
      </c>
      <c r="B40" s="3">
        <v>32.716913480164244</v>
      </c>
      <c r="C40" t="s">
        <v>95</v>
      </c>
      <c r="D40" t="s">
        <v>76</v>
      </c>
      <c r="F40" t="s">
        <v>89</v>
      </c>
      <c r="G40" t="s">
        <v>143</v>
      </c>
      <c r="H40" t="s">
        <v>150</v>
      </c>
    </row>
    <row r="41" spans="1:8" x14ac:dyDescent="0.2">
      <c r="A41" s="13" t="s">
        <v>549</v>
      </c>
      <c r="B41" s="3">
        <v>117.00074044049273</v>
      </c>
      <c r="C41" t="s">
        <v>92</v>
      </c>
      <c r="D41" t="s">
        <v>193</v>
      </c>
      <c r="F41" t="s">
        <v>89</v>
      </c>
      <c r="H41" s="13" t="s">
        <v>550</v>
      </c>
    </row>
    <row r="42" spans="1:8" x14ac:dyDescent="0.2">
      <c r="A42" s="13" t="s">
        <v>216</v>
      </c>
      <c r="B42" s="3">
        <v>1860.3117730038343</v>
      </c>
      <c r="C42" t="s">
        <v>95</v>
      </c>
      <c r="D42" t="s">
        <v>193</v>
      </c>
      <c r="F42" t="s">
        <v>89</v>
      </c>
      <c r="H42" s="13" t="s">
        <v>216</v>
      </c>
    </row>
    <row r="43" spans="1:8" x14ac:dyDescent="0.2">
      <c r="B43" s="11"/>
    </row>
    <row r="44" spans="1:8" x14ac:dyDescent="0.2">
      <c r="B44" s="2"/>
    </row>
    <row r="45" spans="1:8" ht="16" x14ac:dyDescent="0.2">
      <c r="A45" s="10" t="s">
        <v>71</v>
      </c>
      <c r="B45" s="8" t="s">
        <v>957</v>
      </c>
    </row>
    <row r="46" spans="1:8" x14ac:dyDescent="0.2">
      <c r="A46" t="s">
        <v>72</v>
      </c>
      <c r="B46" t="s">
        <v>37</v>
      </c>
    </row>
    <row r="47" spans="1:8" x14ac:dyDescent="0.2">
      <c r="A47" t="s">
        <v>86</v>
      </c>
      <c r="B47" t="s">
        <v>268</v>
      </c>
    </row>
    <row r="48" spans="1:8" x14ac:dyDescent="0.2">
      <c r="A48" t="s">
        <v>87</v>
      </c>
    </row>
    <row r="49" spans="1:2" x14ac:dyDescent="0.2">
      <c r="A49" t="s">
        <v>88</v>
      </c>
      <c r="B49">
        <v>2020</v>
      </c>
    </row>
    <row r="50" spans="1:2" x14ac:dyDescent="0.2">
      <c r="A50" t="s">
        <v>124</v>
      </c>
      <c r="B50" t="s">
        <v>492</v>
      </c>
    </row>
    <row r="51" spans="1:2" x14ac:dyDescent="0.2">
      <c r="A51" t="s">
        <v>73</v>
      </c>
      <c r="B51" t="s">
        <v>880</v>
      </c>
    </row>
    <row r="52" spans="1:2" x14ac:dyDescent="0.2">
      <c r="A52" t="s">
        <v>74</v>
      </c>
      <c r="B52" t="s">
        <v>75</v>
      </c>
    </row>
    <row r="53" spans="1:2" x14ac:dyDescent="0.2">
      <c r="A53" t="s">
        <v>76</v>
      </c>
      <c r="B53" t="s">
        <v>164</v>
      </c>
    </row>
    <row r="54" spans="1:2" x14ac:dyDescent="0.2">
      <c r="A54" t="s">
        <v>78</v>
      </c>
      <c r="B54" t="s">
        <v>774</v>
      </c>
    </row>
    <row r="55" spans="1:2" x14ac:dyDescent="0.2">
      <c r="A55" t="s">
        <v>125</v>
      </c>
      <c r="B55">
        <v>25000</v>
      </c>
    </row>
    <row r="56" spans="1:2" x14ac:dyDescent="0.2">
      <c r="A56" t="s">
        <v>126</v>
      </c>
      <c r="B56">
        <v>1.1000000000000001</v>
      </c>
    </row>
    <row r="57" spans="1:2" x14ac:dyDescent="0.2">
      <c r="A57" t="s">
        <v>127</v>
      </c>
      <c r="B57">
        <v>1</v>
      </c>
    </row>
    <row r="58" spans="1:2" x14ac:dyDescent="0.2">
      <c r="A58" t="s">
        <v>128</v>
      </c>
      <c r="B58">
        <v>1</v>
      </c>
    </row>
    <row r="59" spans="1:2" x14ac:dyDescent="0.2">
      <c r="A59" t="s">
        <v>129</v>
      </c>
      <c r="B59">
        <v>1776</v>
      </c>
    </row>
    <row r="60" spans="1:2" x14ac:dyDescent="0.2">
      <c r="A60" t="s">
        <v>130</v>
      </c>
      <c r="B60" s="2">
        <v>117.00074044049273</v>
      </c>
    </row>
    <row r="61" spans="1:2" x14ac:dyDescent="0.2">
      <c r="A61" t="s">
        <v>131</v>
      </c>
      <c r="B61">
        <v>4.7</v>
      </c>
    </row>
    <row r="62" spans="1:2" x14ac:dyDescent="0.2">
      <c r="A62" t="s">
        <v>427</v>
      </c>
      <c r="B62" s="19" t="s">
        <v>43</v>
      </c>
    </row>
    <row r="63" spans="1:2" x14ac:dyDescent="0.2">
      <c r="A63" t="s">
        <v>132</v>
      </c>
      <c r="B63">
        <v>18.849999999999998</v>
      </c>
    </row>
    <row r="64" spans="1:2" x14ac:dyDescent="0.2">
      <c r="A64" t="s">
        <v>133</v>
      </c>
      <c r="B64">
        <v>2.9</v>
      </c>
    </row>
    <row r="65" spans="1:8" x14ac:dyDescent="0.2">
      <c r="A65" t="s">
        <v>363</v>
      </c>
      <c r="B65">
        <v>2.3199999999999998</v>
      </c>
    </row>
    <row r="66" spans="1:8" x14ac:dyDescent="0.2">
      <c r="A66" t="s">
        <v>136</v>
      </c>
      <c r="B66" s="2">
        <v>0</v>
      </c>
    </row>
    <row r="67" spans="1:8" x14ac:dyDescent="0.2">
      <c r="A67" t="s">
        <v>137</v>
      </c>
      <c r="B67">
        <v>0</v>
      </c>
    </row>
    <row r="68" spans="1:8" x14ac:dyDescent="0.2">
      <c r="A68" t="s">
        <v>134</v>
      </c>
      <c r="B68" s="2">
        <v>45.890109890109891</v>
      </c>
    </row>
    <row r="69" spans="1:8" x14ac:dyDescent="0.2">
      <c r="A69" t="s">
        <v>135</v>
      </c>
      <c r="B69" t="s">
        <v>138</v>
      </c>
    </row>
    <row r="70" spans="1:8" x14ac:dyDescent="0.2">
      <c r="A70" t="s">
        <v>796</v>
      </c>
      <c r="B70" s="6">
        <v>0</v>
      </c>
    </row>
    <row r="71" spans="1:8" x14ac:dyDescent="0.2">
      <c r="A71" t="s">
        <v>83</v>
      </c>
      <c r="B71" t="s">
        <v>881</v>
      </c>
    </row>
    <row r="72" spans="1:8" ht="16" x14ac:dyDescent="0.2">
      <c r="A72" s="10" t="s">
        <v>79</v>
      </c>
    </row>
    <row r="73" spans="1:8" x14ac:dyDescent="0.2">
      <c r="A73" t="s">
        <v>80</v>
      </c>
      <c r="B73" t="s">
        <v>81</v>
      </c>
      <c r="C73" t="s">
        <v>72</v>
      </c>
      <c r="D73" t="s">
        <v>76</v>
      </c>
      <c r="E73" t="s">
        <v>82</v>
      </c>
      <c r="F73" t="s">
        <v>74</v>
      </c>
      <c r="G73" t="s">
        <v>83</v>
      </c>
      <c r="H73" t="s">
        <v>73</v>
      </c>
    </row>
    <row r="74" spans="1:8" x14ac:dyDescent="0.2">
      <c r="A74" t="s">
        <v>957</v>
      </c>
      <c r="B74">
        <v>1</v>
      </c>
      <c r="C74" t="s">
        <v>37</v>
      </c>
      <c r="D74" t="s">
        <v>164</v>
      </c>
      <c r="F74" t="s">
        <v>84</v>
      </c>
      <c r="G74" t="s">
        <v>85</v>
      </c>
      <c r="H74" t="s">
        <v>880</v>
      </c>
    </row>
    <row r="75" spans="1:8" x14ac:dyDescent="0.2">
      <c r="A75" t="s">
        <v>956</v>
      </c>
      <c r="B75" s="7">
        <v>4.0000000000000003E-5</v>
      </c>
      <c r="C75" t="s">
        <v>37</v>
      </c>
      <c r="D75" t="s">
        <v>76</v>
      </c>
      <c r="F75" t="s">
        <v>89</v>
      </c>
      <c r="H75" t="s">
        <v>268</v>
      </c>
    </row>
    <row r="76" spans="1:8" x14ac:dyDescent="0.2">
      <c r="A76" t="s">
        <v>107</v>
      </c>
      <c r="B76" s="7">
        <v>1.103538976165446E-4</v>
      </c>
      <c r="C76" t="s">
        <v>37</v>
      </c>
      <c r="D76" t="s">
        <v>105</v>
      </c>
      <c r="F76" t="s">
        <v>89</v>
      </c>
      <c r="G76" t="s">
        <v>103</v>
      </c>
      <c r="H76" t="s">
        <v>108</v>
      </c>
    </row>
    <row r="77" spans="1:8" x14ac:dyDescent="0.2">
      <c r="A77" t="s">
        <v>111</v>
      </c>
      <c r="B77" s="7">
        <v>1.2899999999999999E-3</v>
      </c>
      <c r="C77" t="s">
        <v>37</v>
      </c>
      <c r="D77" t="s">
        <v>105</v>
      </c>
      <c r="F77" t="s">
        <v>89</v>
      </c>
      <c r="G77" t="s">
        <v>110</v>
      </c>
      <c r="H77" t="s">
        <v>111</v>
      </c>
    </row>
    <row r="78" spans="1:8" x14ac:dyDescent="0.2">
      <c r="A78" t="s">
        <v>98</v>
      </c>
      <c r="B78" s="7">
        <v>5.5611111111111111E-2</v>
      </c>
      <c r="C78" t="s">
        <v>37</v>
      </c>
      <c r="D78" t="s">
        <v>96</v>
      </c>
      <c r="F78" t="s">
        <v>89</v>
      </c>
      <c r="G78" t="s">
        <v>28</v>
      </c>
      <c r="H78" t="s">
        <v>100</v>
      </c>
    </row>
    <row r="79" spans="1:8" x14ac:dyDescent="0.2">
      <c r="A79" t="s">
        <v>190</v>
      </c>
      <c r="B79" s="7">
        <v>4.0000000000000003E-5</v>
      </c>
      <c r="C79" t="s">
        <v>95</v>
      </c>
      <c r="D79" t="s">
        <v>76</v>
      </c>
      <c r="F79" t="s">
        <v>89</v>
      </c>
      <c r="G79" t="s">
        <v>116</v>
      </c>
      <c r="H79" t="s">
        <v>120</v>
      </c>
    </row>
    <row r="80" spans="1:8" x14ac:dyDescent="0.2">
      <c r="A80" t="s">
        <v>157</v>
      </c>
      <c r="B80" s="7">
        <v>-7.4436279381371631E-6</v>
      </c>
      <c r="C80" t="s">
        <v>92</v>
      </c>
      <c r="D80" t="s">
        <v>77</v>
      </c>
      <c r="F80" t="s">
        <v>89</v>
      </c>
      <c r="G80" t="s">
        <v>29</v>
      </c>
      <c r="H80" t="s">
        <v>159</v>
      </c>
    </row>
    <row r="81" spans="1:8" x14ac:dyDescent="0.2">
      <c r="A81" t="s">
        <v>158</v>
      </c>
      <c r="B81" s="7">
        <v>-5.1643691334943926E-6</v>
      </c>
      <c r="C81" t="s">
        <v>92</v>
      </c>
      <c r="D81" t="s">
        <v>77</v>
      </c>
      <c r="F81" t="s">
        <v>89</v>
      </c>
      <c r="G81" t="s">
        <v>30</v>
      </c>
      <c r="H81" t="s">
        <v>160</v>
      </c>
    </row>
    <row r="82" spans="1:8" x14ac:dyDescent="0.2">
      <c r="A82" t="s">
        <v>166</v>
      </c>
      <c r="B82" s="7">
        <v>-2.8087754071549858E-6</v>
      </c>
      <c r="C82" t="s">
        <v>92</v>
      </c>
      <c r="D82" t="s">
        <v>77</v>
      </c>
      <c r="F82" t="s">
        <v>89</v>
      </c>
      <c r="G82" t="s">
        <v>31</v>
      </c>
      <c r="H82" t="s">
        <v>161</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82"/>
  <sheetViews>
    <sheetView topLeftCell="A53" workbookViewId="0">
      <selection activeCell="G73" sqref="G73"/>
    </sheetView>
  </sheetViews>
  <sheetFormatPr baseColWidth="10" defaultColWidth="8.83203125" defaultRowHeight="15" x14ac:dyDescent="0.2"/>
  <cols>
    <col min="1" max="1" width="57.33203125" customWidth="1"/>
    <col min="2" max="2" width="15.6640625" bestFit="1" customWidth="1"/>
    <col min="7" max="7" width="32" bestFit="1" customWidth="1"/>
  </cols>
  <sheetData>
    <row r="1" spans="1:2" ht="16" x14ac:dyDescent="0.2">
      <c r="A1" s="10" t="s">
        <v>71</v>
      </c>
      <c r="B1" s="8" t="s">
        <v>958</v>
      </c>
    </row>
    <row r="2" spans="1:2" x14ac:dyDescent="0.2">
      <c r="A2" t="s">
        <v>72</v>
      </c>
      <c r="B2" t="s">
        <v>37</v>
      </c>
    </row>
    <row r="3" spans="1:2" x14ac:dyDescent="0.2">
      <c r="A3" t="s">
        <v>86</v>
      </c>
      <c r="B3" t="s">
        <v>269</v>
      </c>
    </row>
    <row r="4" spans="1:2" x14ac:dyDescent="0.2">
      <c r="A4" t="s">
        <v>87</v>
      </c>
    </row>
    <row r="5" spans="1:2" x14ac:dyDescent="0.2">
      <c r="A5" t="s">
        <v>88</v>
      </c>
      <c r="B5">
        <v>2020</v>
      </c>
    </row>
    <row r="6" spans="1:2" x14ac:dyDescent="0.2">
      <c r="A6" t="s">
        <v>124</v>
      </c>
      <c r="B6" t="s">
        <v>496</v>
      </c>
    </row>
    <row r="7" spans="1:2" x14ac:dyDescent="0.2">
      <c r="A7" t="s">
        <v>73</v>
      </c>
      <c r="B7" t="s">
        <v>269</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1</v>
      </c>
    </row>
    <row r="15" spans="1:2" x14ac:dyDescent="0.2">
      <c r="A15" t="s">
        <v>129</v>
      </c>
      <c r="B15">
        <v>2405</v>
      </c>
    </row>
    <row r="16" spans="1:2" x14ac:dyDescent="0.2">
      <c r="A16" t="s">
        <v>130</v>
      </c>
      <c r="B16" s="2">
        <v>165.64999999999998</v>
      </c>
    </row>
    <row r="17" spans="1:8" x14ac:dyDescent="0.2">
      <c r="A17" t="s">
        <v>131</v>
      </c>
      <c r="B17">
        <v>14</v>
      </c>
    </row>
    <row r="18" spans="1:8" x14ac:dyDescent="0.2">
      <c r="A18" t="s">
        <v>427</v>
      </c>
      <c r="B18" s="19" t="s">
        <v>43</v>
      </c>
    </row>
    <row r="19" spans="1:8" x14ac:dyDescent="0.2">
      <c r="A19" t="s">
        <v>132</v>
      </c>
      <c r="B19">
        <v>52.649999999999991</v>
      </c>
    </row>
    <row r="20" spans="1:8" x14ac:dyDescent="0.2">
      <c r="A20" t="s">
        <v>133</v>
      </c>
      <c r="B20">
        <v>8.1</v>
      </c>
    </row>
    <row r="21" spans="1:8" x14ac:dyDescent="0.2">
      <c r="A21" t="s">
        <v>363</v>
      </c>
      <c r="B21">
        <v>6.48</v>
      </c>
    </row>
    <row r="22" spans="1:8" x14ac:dyDescent="0.2">
      <c r="A22" t="s">
        <v>136</v>
      </c>
      <c r="B22" s="2">
        <v>0</v>
      </c>
    </row>
    <row r="23" spans="1:8" x14ac:dyDescent="0.2">
      <c r="A23" t="s">
        <v>137</v>
      </c>
      <c r="B23">
        <v>0</v>
      </c>
    </row>
    <row r="24" spans="1:8" x14ac:dyDescent="0.2">
      <c r="A24" t="s">
        <v>134</v>
      </c>
      <c r="B24" s="2">
        <v>94.692311208791224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879</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958</v>
      </c>
      <c r="B33">
        <v>1</v>
      </c>
      <c r="C33" t="s">
        <v>37</v>
      </c>
      <c r="D33" t="s">
        <v>76</v>
      </c>
      <c r="F33" t="s">
        <v>84</v>
      </c>
      <c r="G33" t="s">
        <v>85</v>
      </c>
      <c r="H33" t="s">
        <v>269</v>
      </c>
    </row>
    <row r="34" spans="1:8" x14ac:dyDescent="0.2">
      <c r="A34" t="s">
        <v>189</v>
      </c>
      <c r="B34" s="3">
        <v>81</v>
      </c>
      <c r="C34" t="s">
        <v>95</v>
      </c>
      <c r="D34" t="s">
        <v>77</v>
      </c>
      <c r="F34" t="s">
        <v>89</v>
      </c>
      <c r="G34" t="s">
        <v>15</v>
      </c>
      <c r="H34" t="s">
        <v>121</v>
      </c>
    </row>
    <row r="35" spans="1:8" x14ac:dyDescent="0.2">
      <c r="A35" t="s">
        <v>189</v>
      </c>
      <c r="B35" s="3">
        <v>13</v>
      </c>
      <c r="C35" t="s">
        <v>95</v>
      </c>
      <c r="D35" t="s">
        <v>77</v>
      </c>
      <c r="F35" t="s">
        <v>89</v>
      </c>
      <c r="G35" t="s">
        <v>16</v>
      </c>
      <c r="H35" t="s">
        <v>121</v>
      </c>
    </row>
    <row r="36" spans="1:8" x14ac:dyDescent="0.2">
      <c r="A36" t="s">
        <v>188</v>
      </c>
      <c r="B36" s="3">
        <v>19</v>
      </c>
      <c r="C36" t="s">
        <v>95</v>
      </c>
      <c r="D36" t="s">
        <v>77</v>
      </c>
      <c r="F36" t="s">
        <v>89</v>
      </c>
      <c r="G36" t="s">
        <v>276</v>
      </c>
      <c r="H36" t="s">
        <v>149</v>
      </c>
    </row>
    <row r="37" spans="1:8" x14ac:dyDescent="0.2">
      <c r="A37" t="s">
        <v>984</v>
      </c>
      <c r="B37" s="3">
        <v>8.1</v>
      </c>
      <c r="C37" t="s">
        <v>95</v>
      </c>
      <c r="D37" t="s">
        <v>96</v>
      </c>
      <c r="F37" t="s">
        <v>89</v>
      </c>
      <c r="H37" t="s">
        <v>985</v>
      </c>
    </row>
    <row r="38" spans="1:8" x14ac:dyDescent="0.2">
      <c r="A38" t="s">
        <v>187</v>
      </c>
      <c r="B38" s="3">
        <v>1</v>
      </c>
      <c r="C38" t="s">
        <v>95</v>
      </c>
      <c r="D38" t="s">
        <v>76</v>
      </c>
      <c r="F38" t="s">
        <v>89</v>
      </c>
      <c r="G38" t="s">
        <v>52</v>
      </c>
      <c r="H38" t="s">
        <v>187</v>
      </c>
    </row>
    <row r="39" spans="1:8" x14ac:dyDescent="0.2">
      <c r="A39" t="s">
        <v>151</v>
      </c>
      <c r="B39" s="3">
        <v>81</v>
      </c>
      <c r="C39" t="s">
        <v>95</v>
      </c>
      <c r="D39" t="s">
        <v>76</v>
      </c>
      <c r="F39" t="s">
        <v>89</v>
      </c>
      <c r="G39" t="s">
        <v>142</v>
      </c>
      <c r="H39" t="s">
        <v>150</v>
      </c>
    </row>
    <row r="40" spans="1:8" x14ac:dyDescent="0.2">
      <c r="A40" t="s">
        <v>151</v>
      </c>
      <c r="B40" s="3">
        <v>32</v>
      </c>
      <c r="C40" t="s">
        <v>95</v>
      </c>
      <c r="D40" t="s">
        <v>76</v>
      </c>
      <c r="F40" t="s">
        <v>89</v>
      </c>
      <c r="G40" t="s">
        <v>143</v>
      </c>
      <c r="H40" t="s">
        <v>150</v>
      </c>
    </row>
    <row r="41" spans="1:8" x14ac:dyDescent="0.2">
      <c r="A41" s="13" t="s">
        <v>549</v>
      </c>
      <c r="B41" s="3">
        <v>165.64999999999998</v>
      </c>
      <c r="C41" t="s">
        <v>92</v>
      </c>
      <c r="D41" t="s">
        <v>193</v>
      </c>
      <c r="F41" t="s">
        <v>89</v>
      </c>
      <c r="H41" s="13" t="s">
        <v>550</v>
      </c>
    </row>
    <row r="42" spans="1:8" x14ac:dyDescent="0.2">
      <c r="A42" s="13" t="s">
        <v>216</v>
      </c>
      <c r="B42" s="3">
        <v>2633.8349999999996</v>
      </c>
      <c r="C42" t="s">
        <v>95</v>
      </c>
      <c r="D42" t="s">
        <v>193</v>
      </c>
      <c r="F42" t="s">
        <v>89</v>
      </c>
      <c r="H42" s="13" t="s">
        <v>216</v>
      </c>
    </row>
    <row r="43" spans="1:8" x14ac:dyDescent="0.2">
      <c r="B43" s="11"/>
    </row>
    <row r="44" spans="1:8" x14ac:dyDescent="0.2">
      <c r="B44" s="2"/>
    </row>
    <row r="45" spans="1:8" ht="16" x14ac:dyDescent="0.2">
      <c r="A45" s="10" t="s">
        <v>71</v>
      </c>
      <c r="B45" s="8" t="s">
        <v>959</v>
      </c>
    </row>
    <row r="46" spans="1:8" x14ac:dyDescent="0.2">
      <c r="A46" t="s">
        <v>72</v>
      </c>
      <c r="B46" t="s">
        <v>37</v>
      </c>
    </row>
    <row r="47" spans="1:8" x14ac:dyDescent="0.2">
      <c r="A47" t="s">
        <v>86</v>
      </c>
      <c r="B47" t="s">
        <v>269</v>
      </c>
    </row>
    <row r="48" spans="1:8" x14ac:dyDescent="0.2">
      <c r="A48" t="s">
        <v>87</v>
      </c>
    </row>
    <row r="49" spans="1:2" x14ac:dyDescent="0.2">
      <c r="A49" t="s">
        <v>88</v>
      </c>
      <c r="B49">
        <v>2020</v>
      </c>
    </row>
    <row r="50" spans="1:2" x14ac:dyDescent="0.2">
      <c r="A50" t="s">
        <v>124</v>
      </c>
      <c r="B50" t="s">
        <v>496</v>
      </c>
    </row>
    <row r="51" spans="1:2" x14ac:dyDescent="0.2">
      <c r="A51" t="s">
        <v>73</v>
      </c>
      <c r="B51" t="s">
        <v>878</v>
      </c>
    </row>
    <row r="52" spans="1:2" x14ac:dyDescent="0.2">
      <c r="A52" t="s">
        <v>74</v>
      </c>
      <c r="B52" t="s">
        <v>75</v>
      </c>
    </row>
    <row r="53" spans="1:2" x14ac:dyDescent="0.2">
      <c r="A53" t="s">
        <v>76</v>
      </c>
      <c r="B53" t="s">
        <v>164</v>
      </c>
    </row>
    <row r="54" spans="1:2" x14ac:dyDescent="0.2">
      <c r="A54" t="s">
        <v>78</v>
      </c>
      <c r="B54" t="s">
        <v>774</v>
      </c>
    </row>
    <row r="55" spans="1:2" x14ac:dyDescent="0.2">
      <c r="A55" t="s">
        <v>125</v>
      </c>
      <c r="B55">
        <v>38500</v>
      </c>
    </row>
    <row r="56" spans="1:2" x14ac:dyDescent="0.2">
      <c r="A56" t="s">
        <v>126</v>
      </c>
      <c r="B56">
        <v>1.1000000000000001</v>
      </c>
    </row>
    <row r="57" spans="1:2" x14ac:dyDescent="0.2">
      <c r="A57" t="s">
        <v>127</v>
      </c>
      <c r="B57">
        <v>1.54</v>
      </c>
    </row>
    <row r="58" spans="1:2" x14ac:dyDescent="0.2">
      <c r="A58" t="s">
        <v>128</v>
      </c>
      <c r="B58">
        <v>1</v>
      </c>
    </row>
    <row r="59" spans="1:2" x14ac:dyDescent="0.2">
      <c r="A59" t="s">
        <v>129</v>
      </c>
      <c r="B59">
        <v>2405</v>
      </c>
    </row>
    <row r="60" spans="1:2" x14ac:dyDescent="0.2">
      <c r="A60" t="s">
        <v>130</v>
      </c>
      <c r="B60" s="2">
        <v>165.64999999999998</v>
      </c>
    </row>
    <row r="61" spans="1:2" x14ac:dyDescent="0.2">
      <c r="A61" t="s">
        <v>131</v>
      </c>
      <c r="B61">
        <v>14</v>
      </c>
    </row>
    <row r="62" spans="1:2" x14ac:dyDescent="0.2">
      <c r="A62" t="s">
        <v>427</v>
      </c>
      <c r="B62" s="19" t="s">
        <v>43</v>
      </c>
    </row>
    <row r="63" spans="1:2" x14ac:dyDescent="0.2">
      <c r="A63" t="s">
        <v>132</v>
      </c>
      <c r="B63">
        <v>52.649999999999991</v>
      </c>
    </row>
    <row r="64" spans="1:2" x14ac:dyDescent="0.2">
      <c r="A64" t="s">
        <v>133</v>
      </c>
      <c r="B64">
        <v>8.1</v>
      </c>
    </row>
    <row r="65" spans="1:8" x14ac:dyDescent="0.2">
      <c r="A65" t="s">
        <v>363</v>
      </c>
      <c r="B65">
        <v>6.48</v>
      </c>
    </row>
    <row r="66" spans="1:8" x14ac:dyDescent="0.2">
      <c r="A66" t="s">
        <v>136</v>
      </c>
      <c r="B66" s="2">
        <v>0</v>
      </c>
    </row>
    <row r="67" spans="1:8" x14ac:dyDescent="0.2">
      <c r="A67" t="s">
        <v>137</v>
      </c>
      <c r="B67">
        <v>0</v>
      </c>
    </row>
    <row r="68" spans="1:8" x14ac:dyDescent="0.2">
      <c r="A68" t="s">
        <v>134</v>
      </c>
      <c r="B68" s="2">
        <v>94.692311208791224</v>
      </c>
    </row>
    <row r="69" spans="1:8" x14ac:dyDescent="0.2">
      <c r="A69" t="s">
        <v>135</v>
      </c>
      <c r="B69" t="s">
        <v>138</v>
      </c>
    </row>
    <row r="70" spans="1:8" x14ac:dyDescent="0.2">
      <c r="A70" t="s">
        <v>796</v>
      </c>
      <c r="B70" s="6">
        <v>0</v>
      </c>
    </row>
    <row r="71" spans="1:8" x14ac:dyDescent="0.2">
      <c r="A71" t="s">
        <v>83</v>
      </c>
      <c r="B71" t="s">
        <v>879</v>
      </c>
    </row>
    <row r="72" spans="1:8" ht="16" x14ac:dyDescent="0.2">
      <c r="A72" s="10" t="s">
        <v>79</v>
      </c>
    </row>
    <row r="73" spans="1:8" x14ac:dyDescent="0.2">
      <c r="A73" t="s">
        <v>80</v>
      </c>
      <c r="B73" t="s">
        <v>81</v>
      </c>
      <c r="C73" t="s">
        <v>72</v>
      </c>
      <c r="D73" t="s">
        <v>76</v>
      </c>
      <c r="E73" t="s">
        <v>82</v>
      </c>
      <c r="F73" t="s">
        <v>74</v>
      </c>
      <c r="G73" t="s">
        <v>83</v>
      </c>
      <c r="H73" t="s">
        <v>73</v>
      </c>
    </row>
    <row r="74" spans="1:8" x14ac:dyDescent="0.2">
      <c r="A74" t="s">
        <v>959</v>
      </c>
      <c r="B74">
        <v>1</v>
      </c>
      <c r="C74" t="s">
        <v>37</v>
      </c>
      <c r="D74" t="s">
        <v>164</v>
      </c>
      <c r="F74" t="s">
        <v>84</v>
      </c>
      <c r="G74" t="s">
        <v>85</v>
      </c>
      <c r="H74" t="s">
        <v>878</v>
      </c>
    </row>
    <row r="75" spans="1:8" x14ac:dyDescent="0.2">
      <c r="A75" t="s">
        <v>958</v>
      </c>
      <c r="B75" s="7">
        <v>2.5974025974025975E-5</v>
      </c>
      <c r="C75" t="s">
        <v>37</v>
      </c>
      <c r="D75" t="s">
        <v>76</v>
      </c>
      <c r="F75" t="s">
        <v>89</v>
      </c>
      <c r="H75" t="s">
        <v>269</v>
      </c>
    </row>
    <row r="76" spans="1:8" x14ac:dyDescent="0.2">
      <c r="A76" t="s">
        <v>107</v>
      </c>
      <c r="B76" s="7">
        <v>1.3647854999999999E-4</v>
      </c>
      <c r="C76" t="s">
        <v>37</v>
      </c>
      <c r="D76" t="s">
        <v>105</v>
      </c>
      <c r="F76" t="s">
        <v>89</v>
      </c>
      <c r="G76" t="s">
        <v>103</v>
      </c>
      <c r="H76" t="s">
        <v>108</v>
      </c>
    </row>
    <row r="77" spans="1:8" x14ac:dyDescent="0.2">
      <c r="A77" t="s">
        <v>111</v>
      </c>
      <c r="B77" s="7">
        <v>1.2899999999999999E-3</v>
      </c>
      <c r="C77" t="s">
        <v>37</v>
      </c>
      <c r="D77" t="s">
        <v>105</v>
      </c>
      <c r="F77" t="s">
        <v>89</v>
      </c>
      <c r="G77" t="s">
        <v>110</v>
      </c>
      <c r="H77" t="s">
        <v>111</v>
      </c>
    </row>
    <row r="78" spans="1:8" x14ac:dyDescent="0.2">
      <c r="A78" t="s">
        <v>98</v>
      </c>
      <c r="B78" s="7">
        <v>7.5275383069731625E-2</v>
      </c>
      <c r="C78" t="s">
        <v>37</v>
      </c>
      <c r="D78" t="s">
        <v>96</v>
      </c>
      <c r="F78" t="s">
        <v>89</v>
      </c>
      <c r="G78" t="s">
        <v>28</v>
      </c>
      <c r="H78" t="s">
        <v>100</v>
      </c>
    </row>
    <row r="79" spans="1:8" x14ac:dyDescent="0.2">
      <c r="A79" t="s">
        <v>190</v>
      </c>
      <c r="B79" s="7">
        <v>4.0000000000000003E-5</v>
      </c>
      <c r="C79" t="s">
        <v>95</v>
      </c>
      <c r="D79" t="s">
        <v>76</v>
      </c>
      <c r="F79" t="s">
        <v>89</v>
      </c>
      <c r="G79" t="s">
        <v>116</v>
      </c>
      <c r="H79" t="s">
        <v>120</v>
      </c>
    </row>
    <row r="80" spans="1:8" x14ac:dyDescent="0.2">
      <c r="A80" t="s">
        <v>157</v>
      </c>
      <c r="B80" s="7">
        <v>-8.8133578199366445E-6</v>
      </c>
      <c r="C80" t="s">
        <v>92</v>
      </c>
      <c r="D80" t="s">
        <v>77</v>
      </c>
      <c r="F80" t="s">
        <v>89</v>
      </c>
      <c r="G80" t="s">
        <v>29</v>
      </c>
      <c r="H80" t="s">
        <v>159</v>
      </c>
    </row>
    <row r="81" spans="1:8" x14ac:dyDescent="0.2">
      <c r="A81" t="s">
        <v>158</v>
      </c>
      <c r="B81" s="7">
        <v>-5.7857682258766833E-6</v>
      </c>
      <c r="C81" t="s">
        <v>92</v>
      </c>
      <c r="D81" t="s">
        <v>77</v>
      </c>
      <c r="F81" t="s">
        <v>89</v>
      </c>
      <c r="G81" t="s">
        <v>30</v>
      </c>
      <c r="H81" t="s">
        <v>160</v>
      </c>
    </row>
    <row r="82" spans="1:8" x14ac:dyDescent="0.2">
      <c r="A82" t="s">
        <v>166</v>
      </c>
      <c r="B82" s="7">
        <v>-3.2263949130873107E-6</v>
      </c>
      <c r="C82" t="s">
        <v>92</v>
      </c>
      <c r="D82" t="s">
        <v>77</v>
      </c>
      <c r="F82" t="s">
        <v>89</v>
      </c>
      <c r="G82" t="s">
        <v>31</v>
      </c>
      <c r="H82" t="s">
        <v>161</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82"/>
  <sheetViews>
    <sheetView topLeftCell="A57" workbookViewId="0">
      <selection activeCell="G73" sqref="G73"/>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960</v>
      </c>
    </row>
    <row r="2" spans="1:2" x14ac:dyDescent="0.2">
      <c r="A2" t="s">
        <v>72</v>
      </c>
      <c r="B2" t="s">
        <v>37</v>
      </c>
    </row>
    <row r="3" spans="1:2" x14ac:dyDescent="0.2">
      <c r="A3" t="s">
        <v>86</v>
      </c>
      <c r="B3" t="s">
        <v>270</v>
      </c>
    </row>
    <row r="4" spans="1:2" x14ac:dyDescent="0.2">
      <c r="A4" t="s">
        <v>87</v>
      </c>
    </row>
    <row r="5" spans="1:2" x14ac:dyDescent="0.2">
      <c r="A5" t="s">
        <v>88</v>
      </c>
      <c r="B5">
        <v>2020</v>
      </c>
    </row>
    <row r="6" spans="1:2" x14ac:dyDescent="0.2">
      <c r="A6" t="s">
        <v>124</v>
      </c>
      <c r="B6" t="s">
        <v>500</v>
      </c>
    </row>
    <row r="7" spans="1:2" x14ac:dyDescent="0.2">
      <c r="A7" t="s">
        <v>73</v>
      </c>
      <c r="B7" t="s">
        <v>270</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1</v>
      </c>
    </row>
    <row r="15" spans="1:2" x14ac:dyDescent="0.2">
      <c r="A15" t="s">
        <v>129</v>
      </c>
      <c r="B15">
        <v>2896</v>
      </c>
    </row>
    <row r="16" spans="1:2" x14ac:dyDescent="0.2">
      <c r="A16" t="s">
        <v>130</v>
      </c>
      <c r="B16" s="2">
        <v>254.89</v>
      </c>
    </row>
    <row r="17" spans="1:8" x14ac:dyDescent="0.2">
      <c r="A17" t="s">
        <v>131</v>
      </c>
      <c r="B17">
        <v>49</v>
      </c>
    </row>
    <row r="18" spans="1:8" x14ac:dyDescent="0.2">
      <c r="A18" t="s">
        <v>427</v>
      </c>
      <c r="B18" s="19" t="s">
        <v>43</v>
      </c>
    </row>
    <row r="19" spans="1:8" x14ac:dyDescent="0.2">
      <c r="A19" t="s">
        <v>132</v>
      </c>
      <c r="B19">
        <v>107.25</v>
      </c>
    </row>
    <row r="20" spans="1:8" x14ac:dyDescent="0.2">
      <c r="A20" t="s">
        <v>133</v>
      </c>
      <c r="B20">
        <v>16.5</v>
      </c>
    </row>
    <row r="21" spans="1:8" x14ac:dyDescent="0.2">
      <c r="A21" t="s">
        <v>363</v>
      </c>
      <c r="B21">
        <v>13.200000000000001</v>
      </c>
    </row>
    <row r="22" spans="1:8" x14ac:dyDescent="0.2">
      <c r="A22" t="s">
        <v>136</v>
      </c>
      <c r="B22" s="2">
        <v>0</v>
      </c>
    </row>
    <row r="23" spans="1:8" x14ac:dyDescent="0.2">
      <c r="A23" t="s">
        <v>137</v>
      </c>
      <c r="B23">
        <v>0</v>
      </c>
    </row>
    <row r="24" spans="1:8" x14ac:dyDescent="0.2">
      <c r="A24" t="s">
        <v>134</v>
      </c>
      <c r="B24" s="2">
        <v>172.96867841767528</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877</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960</v>
      </c>
      <c r="B33">
        <v>1</v>
      </c>
      <c r="C33" t="s">
        <v>37</v>
      </c>
      <c r="D33" t="s">
        <v>76</v>
      </c>
      <c r="F33" t="s">
        <v>84</v>
      </c>
      <c r="G33" t="s">
        <v>85</v>
      </c>
      <c r="H33" t="s">
        <v>270</v>
      </c>
    </row>
    <row r="34" spans="1:8" x14ac:dyDescent="0.2">
      <c r="A34" t="s">
        <v>189</v>
      </c>
      <c r="B34" s="3">
        <v>111</v>
      </c>
      <c r="C34" t="s">
        <v>95</v>
      </c>
      <c r="D34" t="s">
        <v>77</v>
      </c>
      <c r="F34" t="s">
        <v>89</v>
      </c>
      <c r="G34" t="s">
        <v>15</v>
      </c>
      <c r="H34" t="s">
        <v>121</v>
      </c>
    </row>
    <row r="35" spans="1:8" x14ac:dyDescent="0.2">
      <c r="A35" t="s">
        <v>189</v>
      </c>
      <c r="B35" s="3">
        <v>13.74</v>
      </c>
      <c r="C35" t="s">
        <v>95</v>
      </c>
      <c r="D35" t="s">
        <v>77</v>
      </c>
      <c r="F35" t="s">
        <v>89</v>
      </c>
      <c r="G35" t="s">
        <v>16</v>
      </c>
      <c r="H35" t="s">
        <v>121</v>
      </c>
    </row>
    <row r="36" spans="1:8" x14ac:dyDescent="0.2">
      <c r="A36" t="s">
        <v>188</v>
      </c>
      <c r="B36" s="3">
        <v>22.900000000000002</v>
      </c>
      <c r="C36" t="s">
        <v>95</v>
      </c>
      <c r="D36" t="s">
        <v>77</v>
      </c>
      <c r="F36" t="s">
        <v>89</v>
      </c>
      <c r="G36" t="s">
        <v>276</v>
      </c>
      <c r="H36" t="s">
        <v>149</v>
      </c>
    </row>
    <row r="37" spans="1:8" x14ac:dyDescent="0.2">
      <c r="A37" t="s">
        <v>984</v>
      </c>
      <c r="B37" s="3">
        <v>16.5</v>
      </c>
      <c r="C37" t="s">
        <v>95</v>
      </c>
      <c r="D37" t="s">
        <v>96</v>
      </c>
      <c r="F37" t="s">
        <v>89</v>
      </c>
      <c r="H37" t="s">
        <v>985</v>
      </c>
    </row>
    <row r="38" spans="1:8" x14ac:dyDescent="0.2">
      <c r="A38" t="s">
        <v>187</v>
      </c>
      <c r="B38" s="3">
        <v>1</v>
      </c>
      <c r="C38" t="s">
        <v>95</v>
      </c>
      <c r="D38" t="s">
        <v>76</v>
      </c>
      <c r="F38" t="s">
        <v>89</v>
      </c>
      <c r="G38" t="s">
        <v>52</v>
      </c>
      <c r="H38" t="s">
        <v>187</v>
      </c>
    </row>
    <row r="39" spans="1:8" x14ac:dyDescent="0.2">
      <c r="A39" t="s">
        <v>151</v>
      </c>
      <c r="B39" s="3">
        <v>111</v>
      </c>
      <c r="C39" t="s">
        <v>95</v>
      </c>
      <c r="D39" t="s">
        <v>76</v>
      </c>
      <c r="F39" t="s">
        <v>89</v>
      </c>
      <c r="G39" t="s">
        <v>142</v>
      </c>
      <c r="H39" t="s">
        <v>150</v>
      </c>
    </row>
    <row r="40" spans="1:8" x14ac:dyDescent="0.2">
      <c r="A40" t="s">
        <v>151</v>
      </c>
      <c r="B40" s="3">
        <v>36.64</v>
      </c>
      <c r="C40" t="s">
        <v>95</v>
      </c>
      <c r="D40" t="s">
        <v>76</v>
      </c>
      <c r="F40" t="s">
        <v>89</v>
      </c>
      <c r="G40" t="s">
        <v>143</v>
      </c>
      <c r="H40" t="s">
        <v>150</v>
      </c>
    </row>
    <row r="41" spans="1:8" x14ac:dyDescent="0.2">
      <c r="A41" s="13" t="s">
        <v>549</v>
      </c>
      <c r="B41" s="3">
        <v>254.89000000000001</v>
      </c>
      <c r="C41" t="s">
        <v>92</v>
      </c>
      <c r="D41" t="s">
        <v>193</v>
      </c>
      <c r="F41" t="s">
        <v>89</v>
      </c>
      <c r="H41" s="13" t="s">
        <v>550</v>
      </c>
    </row>
    <row r="42" spans="1:8" x14ac:dyDescent="0.2">
      <c r="A42" s="13" t="s">
        <v>216</v>
      </c>
      <c r="B42" s="3">
        <v>4052.7510000000002</v>
      </c>
      <c r="C42" t="s">
        <v>95</v>
      </c>
      <c r="D42" t="s">
        <v>193</v>
      </c>
      <c r="F42" t="s">
        <v>89</v>
      </c>
      <c r="H42" s="13" t="s">
        <v>216</v>
      </c>
    </row>
    <row r="43" spans="1:8" x14ac:dyDescent="0.2">
      <c r="B43" s="11"/>
    </row>
    <row r="44" spans="1:8" x14ac:dyDescent="0.2">
      <c r="B44" s="2"/>
    </row>
    <row r="45" spans="1:8" ht="16" x14ac:dyDescent="0.2">
      <c r="A45" s="10" t="s">
        <v>71</v>
      </c>
      <c r="B45" s="8" t="s">
        <v>961</v>
      </c>
    </row>
    <row r="46" spans="1:8" x14ac:dyDescent="0.2">
      <c r="A46" t="s">
        <v>72</v>
      </c>
      <c r="B46" t="s">
        <v>37</v>
      </c>
    </row>
    <row r="47" spans="1:8" x14ac:dyDescent="0.2">
      <c r="A47" t="s">
        <v>86</v>
      </c>
      <c r="B47" t="s">
        <v>270</v>
      </c>
    </row>
    <row r="48" spans="1:8" x14ac:dyDescent="0.2">
      <c r="A48" t="s">
        <v>87</v>
      </c>
    </row>
    <row r="49" spans="1:2" x14ac:dyDescent="0.2">
      <c r="A49" t="s">
        <v>88</v>
      </c>
      <c r="B49">
        <v>2020</v>
      </c>
    </row>
    <row r="50" spans="1:2" x14ac:dyDescent="0.2">
      <c r="A50" t="s">
        <v>124</v>
      </c>
      <c r="B50" t="s">
        <v>500</v>
      </c>
    </row>
    <row r="51" spans="1:2" x14ac:dyDescent="0.2">
      <c r="A51" t="s">
        <v>73</v>
      </c>
      <c r="B51" t="s">
        <v>876</v>
      </c>
    </row>
    <row r="52" spans="1:2" x14ac:dyDescent="0.2">
      <c r="A52" t="s">
        <v>74</v>
      </c>
      <c r="B52" t="s">
        <v>75</v>
      </c>
    </row>
    <row r="53" spans="1:2" x14ac:dyDescent="0.2">
      <c r="A53" t="s">
        <v>76</v>
      </c>
      <c r="B53" t="s">
        <v>164</v>
      </c>
    </row>
    <row r="54" spans="1:2" x14ac:dyDescent="0.2">
      <c r="A54" t="s">
        <v>78</v>
      </c>
      <c r="B54" t="s">
        <v>774</v>
      </c>
    </row>
    <row r="55" spans="1:2" x14ac:dyDescent="0.2">
      <c r="A55" t="s">
        <v>125</v>
      </c>
      <c r="B55">
        <v>40500</v>
      </c>
    </row>
    <row r="56" spans="1:2" x14ac:dyDescent="0.2">
      <c r="A56" t="s">
        <v>126</v>
      </c>
      <c r="B56">
        <v>1.1000000000000001</v>
      </c>
    </row>
    <row r="57" spans="1:2" x14ac:dyDescent="0.2">
      <c r="A57" t="s">
        <v>127</v>
      </c>
      <c r="B57">
        <v>1.62</v>
      </c>
    </row>
    <row r="58" spans="1:2" x14ac:dyDescent="0.2">
      <c r="A58" t="s">
        <v>128</v>
      </c>
      <c r="B58">
        <v>1</v>
      </c>
    </row>
    <row r="59" spans="1:2" x14ac:dyDescent="0.2">
      <c r="A59" t="s">
        <v>129</v>
      </c>
      <c r="B59">
        <v>2896</v>
      </c>
    </row>
    <row r="60" spans="1:2" x14ac:dyDescent="0.2">
      <c r="A60" t="s">
        <v>130</v>
      </c>
      <c r="B60" s="2">
        <v>254.89</v>
      </c>
    </row>
    <row r="61" spans="1:2" x14ac:dyDescent="0.2">
      <c r="A61" t="s">
        <v>131</v>
      </c>
      <c r="B61">
        <v>49</v>
      </c>
    </row>
    <row r="62" spans="1:2" x14ac:dyDescent="0.2">
      <c r="A62" t="s">
        <v>427</v>
      </c>
      <c r="B62" s="19" t="s">
        <v>43</v>
      </c>
    </row>
    <row r="63" spans="1:2" x14ac:dyDescent="0.2">
      <c r="A63" t="s">
        <v>132</v>
      </c>
      <c r="B63">
        <v>107.25</v>
      </c>
    </row>
    <row r="64" spans="1:2" x14ac:dyDescent="0.2">
      <c r="A64" t="s">
        <v>133</v>
      </c>
      <c r="B64">
        <v>16.5</v>
      </c>
    </row>
    <row r="65" spans="1:8" x14ac:dyDescent="0.2">
      <c r="A65" t="s">
        <v>363</v>
      </c>
      <c r="B65">
        <v>13.200000000000001</v>
      </c>
    </row>
    <row r="66" spans="1:8" x14ac:dyDescent="0.2">
      <c r="A66" t="s">
        <v>136</v>
      </c>
      <c r="B66" s="2">
        <v>0</v>
      </c>
    </row>
    <row r="67" spans="1:8" x14ac:dyDescent="0.2">
      <c r="A67" t="s">
        <v>137</v>
      </c>
      <c r="B67">
        <v>0</v>
      </c>
    </row>
    <row r="68" spans="1:8" x14ac:dyDescent="0.2">
      <c r="A68" t="s">
        <v>134</v>
      </c>
      <c r="B68" s="2">
        <v>172.96867841767528</v>
      </c>
    </row>
    <row r="69" spans="1:8" x14ac:dyDescent="0.2">
      <c r="A69" t="s">
        <v>135</v>
      </c>
      <c r="B69" t="s">
        <v>138</v>
      </c>
    </row>
    <row r="70" spans="1:8" x14ac:dyDescent="0.2">
      <c r="A70" t="s">
        <v>796</v>
      </c>
      <c r="B70" s="6">
        <v>0</v>
      </c>
    </row>
    <row r="71" spans="1:8" x14ac:dyDescent="0.2">
      <c r="A71" t="s">
        <v>83</v>
      </c>
      <c r="B71" t="s">
        <v>877</v>
      </c>
    </row>
    <row r="72" spans="1:8" ht="16" x14ac:dyDescent="0.2">
      <c r="A72" s="10" t="s">
        <v>79</v>
      </c>
    </row>
    <row r="73" spans="1:8" x14ac:dyDescent="0.2">
      <c r="A73" t="s">
        <v>80</v>
      </c>
      <c r="B73" t="s">
        <v>81</v>
      </c>
      <c r="C73" t="s">
        <v>72</v>
      </c>
      <c r="D73" t="s">
        <v>76</v>
      </c>
      <c r="E73" t="s">
        <v>82</v>
      </c>
      <c r="F73" t="s">
        <v>74</v>
      </c>
      <c r="G73" t="s">
        <v>83</v>
      </c>
      <c r="H73" t="s">
        <v>73</v>
      </c>
    </row>
    <row r="74" spans="1:8" x14ac:dyDescent="0.2">
      <c r="A74" t="s">
        <v>961</v>
      </c>
      <c r="B74">
        <v>1</v>
      </c>
      <c r="C74" t="s">
        <v>37</v>
      </c>
      <c r="D74" t="s">
        <v>164</v>
      </c>
      <c r="F74" t="s">
        <v>84</v>
      </c>
      <c r="G74" t="s">
        <v>85</v>
      </c>
      <c r="H74" t="s">
        <v>876</v>
      </c>
    </row>
    <row r="75" spans="1:8" x14ac:dyDescent="0.2">
      <c r="A75" t="s">
        <v>960</v>
      </c>
      <c r="B75" s="7">
        <v>2.4691358024691357E-5</v>
      </c>
      <c r="C75" t="s">
        <v>37</v>
      </c>
      <c r="D75" t="s">
        <v>76</v>
      </c>
      <c r="F75" t="s">
        <v>89</v>
      </c>
      <c r="H75" t="s">
        <v>270</v>
      </c>
    </row>
    <row r="76" spans="1:8" x14ac:dyDescent="0.2">
      <c r="A76" t="s">
        <v>107</v>
      </c>
      <c r="B76" s="7">
        <v>1.8440043E-4</v>
      </c>
      <c r="C76" t="s">
        <v>37</v>
      </c>
      <c r="D76" t="s">
        <v>105</v>
      </c>
      <c r="F76" t="s">
        <v>89</v>
      </c>
      <c r="G76" t="s">
        <v>103</v>
      </c>
      <c r="H76" t="s">
        <v>108</v>
      </c>
    </row>
    <row r="77" spans="1:8" x14ac:dyDescent="0.2">
      <c r="A77" t="s">
        <v>111</v>
      </c>
      <c r="B77" s="7">
        <v>1.2899999999999999E-3</v>
      </c>
      <c r="C77" t="s">
        <v>37</v>
      </c>
      <c r="D77" t="s">
        <v>105</v>
      </c>
      <c r="F77" t="s">
        <v>89</v>
      </c>
      <c r="G77" t="s">
        <v>110</v>
      </c>
      <c r="H77" t="s">
        <v>111</v>
      </c>
    </row>
    <row r="78" spans="1:8" x14ac:dyDescent="0.2">
      <c r="A78" t="s">
        <v>98</v>
      </c>
      <c r="B78" s="7">
        <v>8.3945834198593472E-2</v>
      </c>
      <c r="C78" t="s">
        <v>37</v>
      </c>
      <c r="D78" t="s">
        <v>96</v>
      </c>
      <c r="F78" t="s">
        <v>89</v>
      </c>
      <c r="G78" t="s">
        <v>28</v>
      </c>
      <c r="H78" t="s">
        <v>100</v>
      </c>
    </row>
    <row r="79" spans="1:8" x14ac:dyDescent="0.2">
      <c r="A79" t="s">
        <v>190</v>
      </c>
      <c r="B79" s="7">
        <v>4.0000000000000003E-5</v>
      </c>
      <c r="C79" t="s">
        <v>95</v>
      </c>
      <c r="D79" t="s">
        <v>76</v>
      </c>
      <c r="F79" t="s">
        <v>89</v>
      </c>
      <c r="G79" t="s">
        <v>116</v>
      </c>
      <c r="H79" t="s">
        <v>120</v>
      </c>
    </row>
    <row r="80" spans="1:8" x14ac:dyDescent="0.2">
      <c r="A80" t="s">
        <v>157</v>
      </c>
      <c r="B80" s="7">
        <v>-1.1208085716166707E-5</v>
      </c>
      <c r="C80" t="s">
        <v>92</v>
      </c>
      <c r="D80" t="s">
        <v>77</v>
      </c>
      <c r="F80" t="s">
        <v>89</v>
      </c>
      <c r="G80" t="s">
        <v>29</v>
      </c>
      <c r="H80" t="s">
        <v>159</v>
      </c>
    </row>
    <row r="81" spans="1:8" x14ac:dyDescent="0.2">
      <c r="A81" t="s">
        <v>158</v>
      </c>
      <c r="B81" s="7">
        <v>-6.7357087837460445E-6</v>
      </c>
      <c r="C81" t="s">
        <v>92</v>
      </c>
      <c r="D81" t="s">
        <v>77</v>
      </c>
      <c r="F81" t="s">
        <v>89</v>
      </c>
      <c r="G81" t="s">
        <v>30</v>
      </c>
      <c r="H81" t="s">
        <v>160</v>
      </c>
    </row>
    <row r="82" spans="1:8" x14ac:dyDescent="0.2">
      <c r="A82" t="s">
        <v>166</v>
      </c>
      <c r="B82" s="7">
        <v>-3.9013198843598195E-6</v>
      </c>
      <c r="C82" t="s">
        <v>92</v>
      </c>
      <c r="D82" t="s">
        <v>77</v>
      </c>
      <c r="F82" t="s">
        <v>89</v>
      </c>
      <c r="G82" t="s">
        <v>31</v>
      </c>
      <c r="H82" t="s">
        <v>161</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420"/>
  <sheetViews>
    <sheetView topLeftCell="A273" workbookViewId="0">
      <selection activeCell="G298" sqref="G298"/>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413</v>
      </c>
    </row>
    <row r="2" spans="1:2" x14ac:dyDescent="0.2">
      <c r="A2" t="s">
        <v>72</v>
      </c>
      <c r="B2" t="s">
        <v>37</v>
      </c>
    </row>
    <row r="3" spans="1:2" x14ac:dyDescent="0.2">
      <c r="A3" t="s">
        <v>86</v>
      </c>
      <c r="B3" t="s">
        <v>413</v>
      </c>
    </row>
    <row r="4" spans="1:2" x14ac:dyDescent="0.2">
      <c r="A4" t="s">
        <v>87</v>
      </c>
    </row>
    <row r="5" spans="1:2" x14ac:dyDescent="0.2">
      <c r="A5" t="s">
        <v>88</v>
      </c>
      <c r="B5">
        <v>2006</v>
      </c>
    </row>
    <row r="6" spans="1:2" x14ac:dyDescent="0.2">
      <c r="A6" t="s">
        <v>124</v>
      </c>
      <c r="B6" t="s">
        <v>416</v>
      </c>
    </row>
    <row r="7" spans="1:2" x14ac:dyDescent="0.2">
      <c r="A7" t="s">
        <v>73</v>
      </c>
      <c r="B7" t="s">
        <v>413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0</v>
      </c>
    </row>
    <row r="15" spans="1:2" x14ac:dyDescent="0.2">
      <c r="A15" t="s">
        <v>129</v>
      </c>
      <c r="B15">
        <v>1776</v>
      </c>
    </row>
    <row r="16" spans="1:2" x14ac:dyDescent="0.2">
      <c r="A16" t="s">
        <v>130</v>
      </c>
      <c r="B16" s="2">
        <v>122.27169718057486</v>
      </c>
    </row>
    <row r="17" spans="1:8" x14ac:dyDescent="0.2">
      <c r="A17" t="s">
        <v>131</v>
      </c>
      <c r="B17">
        <v>9</v>
      </c>
    </row>
    <row r="18" spans="1:8" x14ac:dyDescent="0.2">
      <c r="A18" t="s">
        <v>132</v>
      </c>
      <c r="B18" t="s">
        <v>85</v>
      </c>
    </row>
    <row r="19" spans="1:8" x14ac:dyDescent="0.2">
      <c r="A19" t="s">
        <v>133</v>
      </c>
      <c r="B19">
        <v>0</v>
      </c>
    </row>
    <row r="20" spans="1:8" x14ac:dyDescent="0.2">
      <c r="A20" t="s">
        <v>136</v>
      </c>
      <c r="B20" s="2">
        <v>79.875</v>
      </c>
    </row>
    <row r="21" spans="1:8" x14ac:dyDescent="0.2">
      <c r="A21" t="s">
        <v>137</v>
      </c>
      <c r="B21">
        <v>6.75</v>
      </c>
    </row>
    <row r="22" spans="1:8" x14ac:dyDescent="0.2">
      <c r="A22" t="s">
        <v>134</v>
      </c>
      <c r="B22" s="2">
        <v>280.24124403890835</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867</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413</v>
      </c>
      <c r="B31">
        <v>1</v>
      </c>
      <c r="C31" t="s">
        <v>37</v>
      </c>
      <c r="D31" t="s">
        <v>76</v>
      </c>
      <c r="F31" t="s">
        <v>84</v>
      </c>
      <c r="G31" t="s">
        <v>85</v>
      </c>
      <c r="H31" t="s">
        <v>413</v>
      </c>
    </row>
    <row r="32" spans="1:8" x14ac:dyDescent="0.2">
      <c r="A32" t="s">
        <v>112</v>
      </c>
      <c r="B32" s="6">
        <v>0.7270425217814277</v>
      </c>
      <c r="C32" t="s">
        <v>92</v>
      </c>
      <c r="D32" t="s">
        <v>76</v>
      </c>
      <c r="F32" t="s">
        <v>89</v>
      </c>
      <c r="G32" t="s">
        <v>15</v>
      </c>
      <c r="H32" t="s">
        <v>113</v>
      </c>
    </row>
    <row r="33" spans="1:8" x14ac:dyDescent="0.2">
      <c r="A33" t="s">
        <v>112</v>
      </c>
      <c r="B33" s="6">
        <v>0.50892976524699929</v>
      </c>
      <c r="C33" t="s">
        <v>92</v>
      </c>
      <c r="D33" t="s">
        <v>76</v>
      </c>
      <c r="F33" t="s">
        <v>89</v>
      </c>
      <c r="G33" t="s">
        <v>16</v>
      </c>
      <c r="H33" t="s">
        <v>113</v>
      </c>
    </row>
    <row r="34" spans="1:8" x14ac:dyDescent="0.2">
      <c r="A34" t="s">
        <v>114</v>
      </c>
      <c r="B34" s="6">
        <v>1.0125</v>
      </c>
      <c r="C34" t="s">
        <v>92</v>
      </c>
      <c r="D34" t="s">
        <v>77</v>
      </c>
      <c r="F34" t="s">
        <v>89</v>
      </c>
      <c r="G34" t="s">
        <v>24</v>
      </c>
      <c r="H34" t="s">
        <v>115</v>
      </c>
    </row>
    <row r="35" spans="1:8" x14ac:dyDescent="0.2">
      <c r="A35" t="s">
        <v>199</v>
      </c>
      <c r="B35" s="6">
        <v>1.0186116700201207</v>
      </c>
      <c r="C35" t="s">
        <v>92</v>
      </c>
      <c r="D35" t="s">
        <v>77</v>
      </c>
      <c r="F35" t="s">
        <v>89</v>
      </c>
      <c r="G35" t="s">
        <v>422</v>
      </c>
      <c r="H35" t="s">
        <v>199</v>
      </c>
    </row>
    <row r="36" spans="1:8" x14ac:dyDescent="0.2">
      <c r="A36" s="13" t="s">
        <v>549</v>
      </c>
      <c r="B36" s="2">
        <v>122.27169718057486</v>
      </c>
      <c r="C36" t="s">
        <v>92</v>
      </c>
      <c r="D36" t="s">
        <v>193</v>
      </c>
      <c r="F36" t="s">
        <v>89</v>
      </c>
      <c r="H36" s="13" t="s">
        <v>550</v>
      </c>
    </row>
    <row r="37" spans="1:8" x14ac:dyDescent="0.2">
      <c r="A37" s="13" t="s">
        <v>216</v>
      </c>
      <c r="B37" s="2">
        <v>1944.1199851711403</v>
      </c>
      <c r="C37" t="s">
        <v>95</v>
      </c>
      <c r="D37" t="s">
        <v>193</v>
      </c>
      <c r="F37" t="s">
        <v>89</v>
      </c>
      <c r="H37" s="13" t="s">
        <v>216</v>
      </c>
    </row>
    <row r="38" spans="1:8" x14ac:dyDescent="0.2">
      <c r="B38" s="11"/>
    </row>
    <row r="39" spans="1:8" ht="16" x14ac:dyDescent="0.2">
      <c r="A39" s="10" t="s">
        <v>71</v>
      </c>
      <c r="B39" s="8" t="s">
        <v>414</v>
      </c>
    </row>
    <row r="40" spans="1:8" x14ac:dyDescent="0.2">
      <c r="A40" t="s">
        <v>72</v>
      </c>
      <c r="B40" t="s">
        <v>37</v>
      </c>
    </row>
    <row r="41" spans="1:8" x14ac:dyDescent="0.2">
      <c r="A41" t="s">
        <v>86</v>
      </c>
      <c r="B41" t="s">
        <v>414</v>
      </c>
    </row>
    <row r="42" spans="1:8" x14ac:dyDescent="0.2">
      <c r="A42" t="s">
        <v>87</v>
      </c>
    </row>
    <row r="43" spans="1:8" x14ac:dyDescent="0.2">
      <c r="A43" t="s">
        <v>88</v>
      </c>
      <c r="B43">
        <v>2016</v>
      </c>
    </row>
    <row r="44" spans="1:8" x14ac:dyDescent="0.2">
      <c r="A44" t="s">
        <v>124</v>
      </c>
      <c r="B44" t="s">
        <v>417</v>
      </c>
    </row>
    <row r="45" spans="1:8" x14ac:dyDescent="0.2">
      <c r="A45" t="s">
        <v>73</v>
      </c>
      <c r="B45" t="s">
        <v>414</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25000</v>
      </c>
    </row>
    <row r="50" spans="1:2" x14ac:dyDescent="0.2">
      <c r="A50" t="s">
        <v>126</v>
      </c>
      <c r="B50">
        <v>1.1000000000000001</v>
      </c>
    </row>
    <row r="51" spans="1:2" x14ac:dyDescent="0.2">
      <c r="A51" t="s">
        <v>127</v>
      </c>
      <c r="B51">
        <v>1</v>
      </c>
    </row>
    <row r="52" spans="1:2" x14ac:dyDescent="0.2">
      <c r="A52" t="s">
        <v>128</v>
      </c>
      <c r="B52">
        <v>0</v>
      </c>
    </row>
    <row r="53" spans="1:2" x14ac:dyDescent="0.2">
      <c r="A53" t="s">
        <v>129</v>
      </c>
      <c r="B53">
        <v>1776</v>
      </c>
    </row>
    <row r="54" spans="1:2" x14ac:dyDescent="0.2">
      <c r="A54" t="s">
        <v>130</v>
      </c>
      <c r="B54" s="2">
        <v>120.308682371765</v>
      </c>
    </row>
    <row r="55" spans="1:2" x14ac:dyDescent="0.2">
      <c r="A55" t="s">
        <v>131</v>
      </c>
      <c r="B55">
        <v>9</v>
      </c>
    </row>
    <row r="56" spans="1:2" x14ac:dyDescent="0.2">
      <c r="A56" t="s">
        <v>132</v>
      </c>
      <c r="B56" t="s">
        <v>85</v>
      </c>
    </row>
    <row r="57" spans="1:2" x14ac:dyDescent="0.2">
      <c r="A57" t="s">
        <v>133</v>
      </c>
      <c r="B57">
        <v>0</v>
      </c>
    </row>
    <row r="58" spans="1:2" x14ac:dyDescent="0.2">
      <c r="A58" t="s">
        <v>136</v>
      </c>
      <c r="B58" s="2">
        <v>79.875</v>
      </c>
    </row>
    <row r="59" spans="1:2" x14ac:dyDescent="0.2">
      <c r="A59" t="s">
        <v>137</v>
      </c>
      <c r="B59">
        <v>6.75</v>
      </c>
    </row>
    <row r="60" spans="1:2" x14ac:dyDescent="0.2">
      <c r="A60" t="s">
        <v>134</v>
      </c>
      <c r="B60" s="2">
        <v>283.0436564792974</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868</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414</v>
      </c>
      <c r="B69">
        <v>1</v>
      </c>
      <c r="C69" t="s">
        <v>37</v>
      </c>
      <c r="D69" t="s">
        <v>76</v>
      </c>
      <c r="F69" t="s">
        <v>84</v>
      </c>
      <c r="G69" t="s">
        <v>85</v>
      </c>
      <c r="H69" t="s">
        <v>414</v>
      </c>
    </row>
    <row r="70" spans="1:8" x14ac:dyDescent="0.2">
      <c r="A70" t="s">
        <v>112</v>
      </c>
      <c r="B70" s="6">
        <v>0.7270425217814277</v>
      </c>
      <c r="C70" t="s">
        <v>92</v>
      </c>
      <c r="D70" t="s">
        <v>76</v>
      </c>
      <c r="F70" t="s">
        <v>89</v>
      </c>
      <c r="G70" t="s">
        <v>15</v>
      </c>
      <c r="H70" t="s">
        <v>113</v>
      </c>
    </row>
    <row r="71" spans="1:8" x14ac:dyDescent="0.2">
      <c r="A71" t="s">
        <v>112</v>
      </c>
      <c r="B71" s="6">
        <v>0.50892976524699929</v>
      </c>
      <c r="C71" t="s">
        <v>92</v>
      </c>
      <c r="D71" t="s">
        <v>76</v>
      </c>
      <c r="F71" t="s">
        <v>89</v>
      </c>
      <c r="G71" t="s">
        <v>16</v>
      </c>
      <c r="H71" t="s">
        <v>113</v>
      </c>
    </row>
    <row r="72" spans="1:8" x14ac:dyDescent="0.2">
      <c r="A72" t="s">
        <v>114</v>
      </c>
      <c r="B72" s="6">
        <v>1.0125</v>
      </c>
      <c r="C72" t="s">
        <v>92</v>
      </c>
      <c r="D72" t="s">
        <v>77</v>
      </c>
      <c r="F72" t="s">
        <v>89</v>
      </c>
      <c r="G72" t="s">
        <v>24</v>
      </c>
      <c r="H72" t="s">
        <v>115</v>
      </c>
    </row>
    <row r="73" spans="1:8" x14ac:dyDescent="0.2">
      <c r="A73" t="s">
        <v>199</v>
      </c>
      <c r="B73" s="6">
        <v>1.0186116700201207</v>
      </c>
      <c r="C73" t="s">
        <v>92</v>
      </c>
      <c r="D73" t="s">
        <v>77</v>
      </c>
      <c r="F73" t="s">
        <v>89</v>
      </c>
      <c r="G73" t="s">
        <v>422</v>
      </c>
      <c r="H73" t="s">
        <v>199</v>
      </c>
    </row>
    <row r="74" spans="1:8" x14ac:dyDescent="0.2">
      <c r="A74" s="13" t="s">
        <v>549</v>
      </c>
      <c r="B74" s="2">
        <v>120.308682371765</v>
      </c>
      <c r="C74" t="s">
        <v>92</v>
      </c>
      <c r="D74" t="s">
        <v>193</v>
      </c>
      <c r="F74" t="s">
        <v>89</v>
      </c>
      <c r="H74" s="13" t="s">
        <v>550</v>
      </c>
    </row>
    <row r="75" spans="1:8" x14ac:dyDescent="0.2">
      <c r="A75" s="13" t="s">
        <v>216</v>
      </c>
      <c r="B75" s="2">
        <v>1912.9080497110635</v>
      </c>
      <c r="C75" t="s">
        <v>95</v>
      </c>
      <c r="D75" t="s">
        <v>193</v>
      </c>
      <c r="F75" t="s">
        <v>89</v>
      </c>
      <c r="H75" s="13" t="s">
        <v>216</v>
      </c>
    </row>
    <row r="77" spans="1:8" ht="16" x14ac:dyDescent="0.2">
      <c r="A77" s="10" t="s">
        <v>71</v>
      </c>
      <c r="B77" s="8" t="s">
        <v>415</v>
      </c>
    </row>
    <row r="78" spans="1:8" x14ac:dyDescent="0.2">
      <c r="A78" t="s">
        <v>72</v>
      </c>
      <c r="B78" t="s">
        <v>37</v>
      </c>
    </row>
    <row r="79" spans="1:8" x14ac:dyDescent="0.2">
      <c r="A79" t="s">
        <v>86</v>
      </c>
      <c r="B79" t="s">
        <v>415</v>
      </c>
    </row>
    <row r="80" spans="1:8" x14ac:dyDescent="0.2">
      <c r="A80" t="s">
        <v>87</v>
      </c>
    </row>
    <row r="81" spans="1:2" x14ac:dyDescent="0.2">
      <c r="A81" t="s">
        <v>88</v>
      </c>
      <c r="B81">
        <v>2020</v>
      </c>
    </row>
    <row r="82" spans="1:2" x14ac:dyDescent="0.2">
      <c r="A82" t="s">
        <v>124</v>
      </c>
      <c r="B82" t="s">
        <v>418</v>
      </c>
    </row>
    <row r="83" spans="1:2" x14ac:dyDescent="0.2">
      <c r="A83" t="s">
        <v>73</v>
      </c>
      <c r="B83" t="s">
        <v>415</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25000</v>
      </c>
    </row>
    <row r="88" spans="1:2" x14ac:dyDescent="0.2">
      <c r="A88" t="s">
        <v>126</v>
      </c>
      <c r="B88">
        <v>1.1000000000000001</v>
      </c>
    </row>
    <row r="89" spans="1:2" x14ac:dyDescent="0.2">
      <c r="A89" t="s">
        <v>127</v>
      </c>
      <c r="B89">
        <v>1</v>
      </c>
    </row>
    <row r="90" spans="1:2" x14ac:dyDescent="0.2">
      <c r="A90" t="s">
        <v>128</v>
      </c>
      <c r="B90">
        <v>0</v>
      </c>
    </row>
    <row r="91" spans="1:2" x14ac:dyDescent="0.2">
      <c r="A91" t="s">
        <v>129</v>
      </c>
      <c r="B91">
        <v>1776</v>
      </c>
    </row>
    <row r="92" spans="1:2" x14ac:dyDescent="0.2">
      <c r="A92" t="s">
        <v>130</v>
      </c>
      <c r="B92" s="2">
        <v>119.00000583255843</v>
      </c>
    </row>
    <row r="93" spans="1:2" x14ac:dyDescent="0.2">
      <c r="A93" t="s">
        <v>131</v>
      </c>
      <c r="B93">
        <v>9</v>
      </c>
    </row>
    <row r="94" spans="1:2" x14ac:dyDescent="0.2">
      <c r="A94" t="s">
        <v>132</v>
      </c>
      <c r="B94" t="s">
        <v>85</v>
      </c>
    </row>
    <row r="95" spans="1:2" x14ac:dyDescent="0.2">
      <c r="A95" t="s">
        <v>133</v>
      </c>
      <c r="B95">
        <v>0</v>
      </c>
    </row>
    <row r="96" spans="1:2" x14ac:dyDescent="0.2">
      <c r="A96" t="s">
        <v>136</v>
      </c>
      <c r="B96" s="2">
        <v>79.875</v>
      </c>
    </row>
    <row r="97" spans="1:8" x14ac:dyDescent="0.2">
      <c r="A97" t="s">
        <v>137</v>
      </c>
      <c r="B97">
        <v>6.75</v>
      </c>
    </row>
    <row r="98" spans="1:8" x14ac:dyDescent="0.2">
      <c r="A98" t="s">
        <v>134</v>
      </c>
      <c r="B98" s="2">
        <v>285.90268331242163</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869</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415</v>
      </c>
      <c r="B107">
        <v>1</v>
      </c>
      <c r="C107" t="s">
        <v>37</v>
      </c>
      <c r="D107" t="s">
        <v>76</v>
      </c>
      <c r="F107" t="s">
        <v>84</v>
      </c>
      <c r="G107" t="s">
        <v>85</v>
      </c>
      <c r="H107" t="s">
        <v>415</v>
      </c>
    </row>
    <row r="108" spans="1:8" x14ac:dyDescent="0.2">
      <c r="A108" t="s">
        <v>112</v>
      </c>
      <c r="B108" s="6">
        <v>0.7270425217814277</v>
      </c>
      <c r="C108" t="s">
        <v>92</v>
      </c>
      <c r="D108" t="s">
        <v>76</v>
      </c>
      <c r="F108" t="s">
        <v>89</v>
      </c>
      <c r="G108" t="s">
        <v>15</v>
      </c>
      <c r="H108" t="s">
        <v>113</v>
      </c>
    </row>
    <row r="109" spans="1:8" x14ac:dyDescent="0.2">
      <c r="A109" t="s">
        <v>112</v>
      </c>
      <c r="B109" s="6">
        <v>0.50892976524699929</v>
      </c>
      <c r="C109" t="s">
        <v>92</v>
      </c>
      <c r="D109" t="s">
        <v>76</v>
      </c>
      <c r="F109" t="s">
        <v>89</v>
      </c>
      <c r="G109" t="s">
        <v>16</v>
      </c>
      <c r="H109" t="s">
        <v>113</v>
      </c>
    </row>
    <row r="110" spans="1:8" x14ac:dyDescent="0.2">
      <c r="A110" t="s">
        <v>114</v>
      </c>
      <c r="B110" s="6">
        <v>1.0125</v>
      </c>
      <c r="C110" t="s">
        <v>92</v>
      </c>
      <c r="D110" t="s">
        <v>77</v>
      </c>
      <c r="F110" t="s">
        <v>89</v>
      </c>
      <c r="G110" t="s">
        <v>24</v>
      </c>
      <c r="H110" t="s">
        <v>115</v>
      </c>
    </row>
    <row r="111" spans="1:8" x14ac:dyDescent="0.2">
      <c r="A111" t="s">
        <v>199</v>
      </c>
      <c r="B111" s="6">
        <v>1.0186116700201207</v>
      </c>
      <c r="C111" t="s">
        <v>92</v>
      </c>
      <c r="D111" t="s">
        <v>77</v>
      </c>
      <c r="F111" t="s">
        <v>89</v>
      </c>
      <c r="G111" t="s">
        <v>422</v>
      </c>
      <c r="H111" t="s">
        <v>199</v>
      </c>
    </row>
    <row r="112" spans="1:8" x14ac:dyDescent="0.2">
      <c r="A112" s="13" t="s">
        <v>549</v>
      </c>
      <c r="B112" s="2">
        <v>119.00000583255843</v>
      </c>
      <c r="C112" t="s">
        <v>92</v>
      </c>
      <c r="D112" t="s">
        <v>193</v>
      </c>
      <c r="F112" t="s">
        <v>89</v>
      </c>
      <c r="H112" s="13" t="s">
        <v>550</v>
      </c>
    </row>
    <row r="113" spans="1:8" x14ac:dyDescent="0.2">
      <c r="A113" s="13" t="s">
        <v>216</v>
      </c>
      <c r="B113" s="2">
        <v>1892.100092737679</v>
      </c>
      <c r="C113" t="s">
        <v>95</v>
      </c>
      <c r="D113" t="s">
        <v>193</v>
      </c>
      <c r="F113" t="s">
        <v>89</v>
      </c>
      <c r="H113" s="13" t="s">
        <v>216</v>
      </c>
    </row>
    <row r="116" spans="1:8" ht="16" x14ac:dyDescent="0.2">
      <c r="A116" s="10" t="s">
        <v>71</v>
      </c>
      <c r="B116" s="8" t="s">
        <v>870</v>
      </c>
    </row>
    <row r="117" spans="1:8" x14ac:dyDescent="0.2">
      <c r="A117" t="s">
        <v>72</v>
      </c>
      <c r="B117" t="s">
        <v>37</v>
      </c>
    </row>
    <row r="118" spans="1:8" x14ac:dyDescent="0.2">
      <c r="A118" t="s">
        <v>86</v>
      </c>
      <c r="B118" t="s">
        <v>413</v>
      </c>
    </row>
    <row r="119" spans="1:8" x14ac:dyDescent="0.2">
      <c r="A119" t="s">
        <v>87</v>
      </c>
    </row>
    <row r="120" spans="1:8" x14ac:dyDescent="0.2">
      <c r="A120" t="s">
        <v>88</v>
      </c>
      <c r="B120">
        <v>2006</v>
      </c>
    </row>
    <row r="121" spans="1:8" x14ac:dyDescent="0.2">
      <c r="A121" t="s">
        <v>124</v>
      </c>
      <c r="B121" t="s">
        <v>416</v>
      </c>
    </row>
    <row r="122" spans="1:8" x14ac:dyDescent="0.2">
      <c r="A122" t="s">
        <v>73</v>
      </c>
      <c r="B122" t="s">
        <v>870</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25000</v>
      </c>
    </row>
    <row r="127" spans="1:8" x14ac:dyDescent="0.2">
      <c r="A127" t="s">
        <v>126</v>
      </c>
      <c r="B127">
        <v>1.1000000000000001</v>
      </c>
    </row>
    <row r="128" spans="1:8" x14ac:dyDescent="0.2">
      <c r="A128" t="s">
        <v>127</v>
      </c>
      <c r="B128">
        <v>1</v>
      </c>
    </row>
    <row r="129" spans="1:8" x14ac:dyDescent="0.2">
      <c r="A129" t="s">
        <v>128</v>
      </c>
      <c r="B129">
        <v>0</v>
      </c>
    </row>
    <row r="130" spans="1:8" x14ac:dyDescent="0.2">
      <c r="A130" t="s">
        <v>129</v>
      </c>
      <c r="B130">
        <v>1776</v>
      </c>
    </row>
    <row r="131" spans="1:8" x14ac:dyDescent="0.2">
      <c r="A131" t="s">
        <v>130</v>
      </c>
      <c r="B131" s="2">
        <v>122.27169718057486</v>
      </c>
    </row>
    <row r="132" spans="1:8" x14ac:dyDescent="0.2">
      <c r="A132" t="s">
        <v>131</v>
      </c>
      <c r="B132">
        <v>9</v>
      </c>
    </row>
    <row r="133" spans="1:8" x14ac:dyDescent="0.2">
      <c r="A133" t="s">
        <v>132</v>
      </c>
      <c r="B133" t="s">
        <v>85</v>
      </c>
    </row>
    <row r="134" spans="1:8" x14ac:dyDescent="0.2">
      <c r="A134" t="s">
        <v>133</v>
      </c>
      <c r="B134">
        <v>0</v>
      </c>
    </row>
    <row r="135" spans="1:8" x14ac:dyDescent="0.2">
      <c r="A135" t="s">
        <v>136</v>
      </c>
      <c r="B135" s="2">
        <v>79.875</v>
      </c>
    </row>
    <row r="136" spans="1:8" x14ac:dyDescent="0.2">
      <c r="A136" t="s">
        <v>137</v>
      </c>
      <c r="B136">
        <v>6.75</v>
      </c>
    </row>
    <row r="137" spans="1:8" x14ac:dyDescent="0.2">
      <c r="A137" t="s">
        <v>134</v>
      </c>
      <c r="B137" s="2">
        <v>280.24124403890835</v>
      </c>
    </row>
    <row r="138" spans="1:8" x14ac:dyDescent="0.2">
      <c r="A138" t="s">
        <v>135</v>
      </c>
      <c r="B138" t="s">
        <v>139</v>
      </c>
    </row>
    <row r="139" spans="1:8" x14ac:dyDescent="0.2">
      <c r="A139" t="s">
        <v>796</v>
      </c>
      <c r="B139" s="6">
        <v>-0.05</v>
      </c>
    </row>
    <row r="140" spans="1:8" x14ac:dyDescent="0.2">
      <c r="A140" t="s">
        <v>83</v>
      </c>
      <c r="B140" t="s">
        <v>871</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870</v>
      </c>
      <c r="B143">
        <v>1</v>
      </c>
      <c r="C143" t="s">
        <v>37</v>
      </c>
      <c r="D143" t="s">
        <v>164</v>
      </c>
      <c r="F143" t="s">
        <v>84</v>
      </c>
      <c r="G143" t="s">
        <v>85</v>
      </c>
      <c r="H143" t="s">
        <v>870</v>
      </c>
    </row>
    <row r="144" spans="1:8" x14ac:dyDescent="0.2">
      <c r="A144" t="s">
        <v>413</v>
      </c>
      <c r="B144" s="7">
        <v>4.0000000000000003E-5</v>
      </c>
      <c r="C144" t="s">
        <v>37</v>
      </c>
      <c r="D144" t="s">
        <v>76</v>
      </c>
      <c r="F144" t="s">
        <v>89</v>
      </c>
      <c r="H144" t="s">
        <v>413</v>
      </c>
    </row>
    <row r="145" spans="1:8" x14ac:dyDescent="0.2">
      <c r="A145" t="s">
        <v>107</v>
      </c>
      <c r="B145" s="7">
        <v>1.131844013859687E-4</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557</v>
      </c>
      <c r="B148" s="7">
        <v>2.4086390363949564E-2</v>
      </c>
      <c r="C148" t="s">
        <v>37</v>
      </c>
      <c r="D148" t="s">
        <v>77</v>
      </c>
      <c r="F148" t="s">
        <v>89</v>
      </c>
      <c r="G148" t="s">
        <v>27</v>
      </c>
      <c r="H148" t="s">
        <v>558</v>
      </c>
    </row>
    <row r="149" spans="1:8" x14ac:dyDescent="0.2">
      <c r="A149" t="s">
        <v>152</v>
      </c>
      <c r="B149" s="11">
        <v>7.4723690553888014E-2</v>
      </c>
      <c r="D149" t="s">
        <v>77</v>
      </c>
      <c r="E149" t="s">
        <v>548</v>
      </c>
      <c r="F149" t="s">
        <v>165</v>
      </c>
      <c r="G149" t="s">
        <v>66</v>
      </c>
    </row>
    <row r="150" spans="1:8" x14ac:dyDescent="0.2">
      <c r="A150" t="s">
        <v>554</v>
      </c>
      <c r="B150" s="11">
        <v>9.0757518891361954E-4</v>
      </c>
      <c r="D150" t="s">
        <v>77</v>
      </c>
      <c r="E150" t="s">
        <v>548</v>
      </c>
      <c r="F150" t="s">
        <v>165</v>
      </c>
      <c r="G150" t="s">
        <v>552</v>
      </c>
    </row>
    <row r="151" spans="1:8" x14ac:dyDescent="0.2">
      <c r="A151" t="s">
        <v>212</v>
      </c>
      <c r="B151" s="7">
        <v>3.8538224582319301E-7</v>
      </c>
      <c r="D151" t="s">
        <v>77</v>
      </c>
      <c r="E151" t="s">
        <v>548</v>
      </c>
      <c r="F151" t="s">
        <v>165</v>
      </c>
      <c r="G151" t="s">
        <v>67</v>
      </c>
    </row>
    <row r="152" spans="1:8" x14ac:dyDescent="0.2">
      <c r="A152" t="s">
        <v>55</v>
      </c>
      <c r="B152" s="7">
        <v>3.6529704169004323E-6</v>
      </c>
      <c r="D152" t="s">
        <v>77</v>
      </c>
      <c r="E152" t="s">
        <v>548</v>
      </c>
      <c r="F152" t="s">
        <v>165</v>
      </c>
      <c r="G152" t="s">
        <v>55</v>
      </c>
    </row>
    <row r="153" spans="1:8" x14ac:dyDescent="0.2">
      <c r="A153" t="s">
        <v>153</v>
      </c>
      <c r="B153" s="7">
        <v>5.0143885394914575E-5</v>
      </c>
      <c r="D153" t="s">
        <v>77</v>
      </c>
      <c r="E153" t="s">
        <v>548</v>
      </c>
      <c r="F153" t="s">
        <v>165</v>
      </c>
      <c r="G153" t="s">
        <v>56</v>
      </c>
    </row>
    <row r="154" spans="1:8" x14ac:dyDescent="0.2">
      <c r="A154" t="s">
        <v>154</v>
      </c>
      <c r="B154" s="7">
        <v>7.0250030559411121E-4</v>
      </c>
      <c r="D154" t="s">
        <v>77</v>
      </c>
      <c r="E154" t="s">
        <v>548</v>
      </c>
      <c r="F154" t="s">
        <v>165</v>
      </c>
      <c r="G154" t="s">
        <v>57</v>
      </c>
    </row>
    <row r="155" spans="1:8" x14ac:dyDescent="0.2">
      <c r="A155" t="s">
        <v>213</v>
      </c>
      <c r="B155" s="7">
        <v>1.7908530498183775E-6</v>
      </c>
      <c r="D155" t="s">
        <v>77</v>
      </c>
      <c r="E155" t="s">
        <v>548</v>
      </c>
      <c r="F155" t="s">
        <v>165</v>
      </c>
      <c r="G155" t="s">
        <v>58</v>
      </c>
    </row>
    <row r="156" spans="1:8" x14ac:dyDescent="0.2">
      <c r="A156" t="s">
        <v>155</v>
      </c>
      <c r="B156" s="7">
        <v>1.7908530498183775E-6</v>
      </c>
      <c r="D156" t="s">
        <v>77</v>
      </c>
      <c r="E156" t="s">
        <v>548</v>
      </c>
      <c r="F156" t="s">
        <v>165</v>
      </c>
      <c r="G156" t="s">
        <v>59</v>
      </c>
    </row>
    <row r="157" spans="1:8" x14ac:dyDescent="0.2">
      <c r="A157" t="s">
        <v>156</v>
      </c>
      <c r="B157" s="7">
        <v>9.5536088059378408E-5</v>
      </c>
      <c r="D157" t="s">
        <v>77</v>
      </c>
      <c r="E157" t="s">
        <v>548</v>
      </c>
      <c r="F157" t="s">
        <v>165</v>
      </c>
      <c r="G157" t="s">
        <v>60</v>
      </c>
    </row>
    <row r="158" spans="1:8" x14ac:dyDescent="0.2">
      <c r="A158" t="s">
        <v>214</v>
      </c>
      <c r="B158" s="7">
        <v>4.4771326245459437E-6</v>
      </c>
      <c r="D158" t="s">
        <v>77</v>
      </c>
      <c r="E158" t="s">
        <v>548</v>
      </c>
      <c r="F158" t="s">
        <v>165</v>
      </c>
      <c r="G158" t="s">
        <v>62</v>
      </c>
    </row>
    <row r="159" spans="1:8" x14ac:dyDescent="0.2">
      <c r="A159" t="s">
        <v>209</v>
      </c>
      <c r="B159" s="7">
        <v>2.9458178549122205E-5</v>
      </c>
      <c r="D159" t="s">
        <v>77</v>
      </c>
      <c r="E159" t="s">
        <v>548</v>
      </c>
      <c r="F159" t="s">
        <v>165</v>
      </c>
      <c r="G159" t="s">
        <v>368</v>
      </c>
    </row>
    <row r="160" spans="1:8" x14ac:dyDescent="0.2">
      <c r="A160" t="s">
        <v>316</v>
      </c>
      <c r="B160" s="7">
        <v>2.077179256668873E-6</v>
      </c>
      <c r="D160" t="s">
        <v>77</v>
      </c>
      <c r="E160" t="s">
        <v>548</v>
      </c>
      <c r="F160" t="s">
        <v>165</v>
      </c>
      <c r="G160" t="s">
        <v>316</v>
      </c>
    </row>
    <row r="161" spans="1:7" x14ac:dyDescent="0.2">
      <c r="A161" t="s">
        <v>317</v>
      </c>
      <c r="B161" s="7">
        <v>4.232496917977328E-7</v>
      </c>
      <c r="D161" t="s">
        <v>77</v>
      </c>
      <c r="E161" t="s">
        <v>548</v>
      </c>
      <c r="F161" t="s">
        <v>165</v>
      </c>
      <c r="G161" t="s">
        <v>317</v>
      </c>
    </row>
    <row r="162" spans="1:7" x14ac:dyDescent="0.2">
      <c r="A162" t="s">
        <v>318</v>
      </c>
      <c r="B162" s="7">
        <v>3.4120436692617235E-6</v>
      </c>
      <c r="D162" t="s">
        <v>77</v>
      </c>
      <c r="E162" t="s">
        <v>548</v>
      </c>
      <c r="F162" t="s">
        <v>165</v>
      </c>
      <c r="G162" t="s">
        <v>318</v>
      </c>
    </row>
    <row r="163" spans="1:7" x14ac:dyDescent="0.2">
      <c r="A163" t="s">
        <v>319</v>
      </c>
      <c r="B163" s="7">
        <v>1.3999797497925008E-6</v>
      </c>
      <c r="D163" t="s">
        <v>77</v>
      </c>
      <c r="E163" t="s">
        <v>548</v>
      </c>
      <c r="F163" t="s">
        <v>165</v>
      </c>
      <c r="G163" t="s">
        <v>319</v>
      </c>
    </row>
    <row r="164" spans="1:7" x14ac:dyDescent="0.2">
      <c r="A164" t="s">
        <v>320</v>
      </c>
      <c r="B164" s="7">
        <v>1.0483569289143844E-6</v>
      </c>
      <c r="D164" t="s">
        <v>77</v>
      </c>
      <c r="E164" t="s">
        <v>548</v>
      </c>
      <c r="F164" t="s">
        <v>165</v>
      </c>
      <c r="G164" t="s">
        <v>320</v>
      </c>
    </row>
    <row r="165" spans="1:7" x14ac:dyDescent="0.2">
      <c r="A165" t="s">
        <v>321</v>
      </c>
      <c r="B165" s="7">
        <v>7.4231484407602367E-7</v>
      </c>
      <c r="D165" t="s">
        <v>77</v>
      </c>
      <c r="E165" t="s">
        <v>548</v>
      </c>
      <c r="F165" t="s">
        <v>165</v>
      </c>
      <c r="G165" t="s">
        <v>321</v>
      </c>
    </row>
    <row r="166" spans="1:7" x14ac:dyDescent="0.2">
      <c r="A166" t="s">
        <v>322</v>
      </c>
      <c r="B166" s="7">
        <v>4.8185349527741892E-7</v>
      </c>
      <c r="D166" t="s">
        <v>77</v>
      </c>
      <c r="E166" t="s">
        <v>548</v>
      </c>
      <c r="F166" t="s">
        <v>165</v>
      </c>
      <c r="G166" t="s">
        <v>322</v>
      </c>
    </row>
    <row r="167" spans="1:7" x14ac:dyDescent="0.2">
      <c r="A167" t="s">
        <v>323</v>
      </c>
      <c r="B167" s="7">
        <v>4.7534196155745371E-6</v>
      </c>
      <c r="D167" t="s">
        <v>77</v>
      </c>
      <c r="E167" t="s">
        <v>548</v>
      </c>
      <c r="F167" t="s">
        <v>165</v>
      </c>
      <c r="G167" t="s">
        <v>323</v>
      </c>
    </row>
    <row r="168" spans="1:7" x14ac:dyDescent="0.2">
      <c r="A168" t="s">
        <v>324</v>
      </c>
      <c r="B168" s="7">
        <v>2.4874058810266758E-6</v>
      </c>
      <c r="D168" t="s">
        <v>77</v>
      </c>
      <c r="E168" t="s">
        <v>548</v>
      </c>
      <c r="F168" t="s">
        <v>165</v>
      </c>
      <c r="G168" t="s">
        <v>324</v>
      </c>
    </row>
    <row r="169" spans="1:7" x14ac:dyDescent="0.2">
      <c r="A169" t="s">
        <v>325</v>
      </c>
      <c r="B169" s="7">
        <v>7.162687091961634E-8</v>
      </c>
      <c r="D169" t="s">
        <v>77</v>
      </c>
      <c r="E169" t="s">
        <v>548</v>
      </c>
      <c r="F169" t="s">
        <v>165</v>
      </c>
      <c r="G169" t="s">
        <v>325</v>
      </c>
    </row>
    <row r="170" spans="1:7" x14ac:dyDescent="0.2">
      <c r="A170" t="s">
        <v>326</v>
      </c>
      <c r="B170" s="7">
        <v>7.1496640245217014E-6</v>
      </c>
      <c r="D170" t="s">
        <v>77</v>
      </c>
      <c r="E170" t="s">
        <v>548</v>
      </c>
      <c r="F170" t="s">
        <v>165</v>
      </c>
      <c r="G170" t="s">
        <v>326</v>
      </c>
    </row>
    <row r="171" spans="1:7" x14ac:dyDescent="0.2">
      <c r="A171" t="s">
        <v>327</v>
      </c>
      <c r="B171" s="7">
        <v>3.5357628099410601E-6</v>
      </c>
      <c r="D171" t="s">
        <v>77</v>
      </c>
      <c r="E171" t="s">
        <v>548</v>
      </c>
      <c r="F171" t="s">
        <v>165</v>
      </c>
      <c r="G171" t="s">
        <v>327</v>
      </c>
    </row>
    <row r="172" spans="1:7" x14ac:dyDescent="0.2">
      <c r="A172" t="s">
        <v>328</v>
      </c>
      <c r="B172" s="7">
        <v>1.471606620712117E-6</v>
      </c>
      <c r="D172" t="s">
        <v>77</v>
      </c>
      <c r="E172" t="s">
        <v>548</v>
      </c>
      <c r="F172" t="s">
        <v>165</v>
      </c>
      <c r="G172" t="s">
        <v>328</v>
      </c>
    </row>
    <row r="173" spans="1:7" x14ac:dyDescent="0.2">
      <c r="A173" t="s">
        <v>329</v>
      </c>
      <c r="B173" s="7">
        <v>1.1069607323940704E-6</v>
      </c>
      <c r="D173" t="s">
        <v>77</v>
      </c>
      <c r="E173" t="s">
        <v>548</v>
      </c>
      <c r="F173" t="s">
        <v>165</v>
      </c>
      <c r="G173" t="s">
        <v>329</v>
      </c>
    </row>
    <row r="174" spans="1:7" x14ac:dyDescent="0.2">
      <c r="A174" t="s">
        <v>330</v>
      </c>
      <c r="B174" s="7">
        <v>4.8836502899738398E-7</v>
      </c>
      <c r="D174" t="s">
        <v>77</v>
      </c>
      <c r="E174" t="s">
        <v>548</v>
      </c>
      <c r="F174" t="s">
        <v>165</v>
      </c>
      <c r="G174" t="s">
        <v>330</v>
      </c>
    </row>
    <row r="175" spans="1:7" x14ac:dyDescent="0.2">
      <c r="A175" t="s">
        <v>331</v>
      </c>
      <c r="B175" s="7">
        <v>1.4325374183923268E-7</v>
      </c>
      <c r="D175" t="s">
        <v>77</v>
      </c>
      <c r="E175" t="s">
        <v>548</v>
      </c>
      <c r="F175" t="s">
        <v>165</v>
      </c>
      <c r="G175" t="s">
        <v>331</v>
      </c>
    </row>
    <row r="176" spans="1:7" x14ac:dyDescent="0.2">
      <c r="A176" t="s">
        <v>332</v>
      </c>
      <c r="B176" s="7">
        <v>3.972035569178724E-7</v>
      </c>
      <c r="D176" t="s">
        <v>77</v>
      </c>
      <c r="E176" t="s">
        <v>548</v>
      </c>
      <c r="F176" t="s">
        <v>165</v>
      </c>
      <c r="G176" t="s">
        <v>332</v>
      </c>
    </row>
    <row r="177" spans="1:8" x14ac:dyDescent="0.2">
      <c r="A177" t="s">
        <v>335</v>
      </c>
      <c r="B177" s="7">
        <v>3.25576685998256E-8</v>
      </c>
      <c r="D177" t="s">
        <v>77</v>
      </c>
      <c r="E177" t="s">
        <v>548</v>
      </c>
      <c r="F177" t="s">
        <v>165</v>
      </c>
      <c r="G177" t="s">
        <v>335</v>
      </c>
    </row>
    <row r="178" spans="1:8" x14ac:dyDescent="0.2">
      <c r="A178" t="s">
        <v>333</v>
      </c>
      <c r="B178" s="7">
        <v>1.2371914067933729E-7</v>
      </c>
      <c r="D178" t="s">
        <v>77</v>
      </c>
      <c r="E178" t="s">
        <v>548</v>
      </c>
      <c r="F178" t="s">
        <v>165</v>
      </c>
      <c r="G178" t="s">
        <v>333</v>
      </c>
    </row>
    <row r="179" spans="1:8" x14ac:dyDescent="0.2">
      <c r="A179" t="s">
        <v>334</v>
      </c>
      <c r="B179" s="7">
        <v>6.5766490571647714E-7</v>
      </c>
      <c r="D179" t="s">
        <v>77</v>
      </c>
      <c r="E179" t="s">
        <v>548</v>
      </c>
      <c r="F179" t="s">
        <v>165</v>
      </c>
      <c r="G179" t="s">
        <v>334</v>
      </c>
    </row>
    <row r="180" spans="1:8" x14ac:dyDescent="0.2">
      <c r="A180" t="s">
        <v>343</v>
      </c>
      <c r="B180" s="7">
        <v>8.4017863498230475E-10</v>
      </c>
      <c r="D180" t="s">
        <v>77</v>
      </c>
      <c r="E180" t="s">
        <v>548</v>
      </c>
      <c r="F180" t="s">
        <v>165</v>
      </c>
      <c r="G180" t="s">
        <v>336</v>
      </c>
    </row>
    <row r="181" spans="1:8" x14ac:dyDescent="0.2">
      <c r="A181" t="s">
        <v>337</v>
      </c>
      <c r="B181" s="7">
        <v>7.2429192670888341E-12</v>
      </c>
      <c r="D181" t="s">
        <v>77</v>
      </c>
      <c r="E181" t="s">
        <v>548</v>
      </c>
      <c r="F181" t="s">
        <v>165</v>
      </c>
      <c r="G181" t="s">
        <v>337</v>
      </c>
    </row>
    <row r="182" spans="1:8" x14ac:dyDescent="0.2">
      <c r="A182" t="s">
        <v>338</v>
      </c>
      <c r="B182" s="7">
        <v>4.8286128447258891E-12</v>
      </c>
      <c r="D182" t="s">
        <v>77</v>
      </c>
      <c r="E182" t="s">
        <v>548</v>
      </c>
      <c r="F182" t="s">
        <v>165</v>
      </c>
      <c r="G182" t="s">
        <v>338</v>
      </c>
    </row>
    <row r="183" spans="1:8" x14ac:dyDescent="0.2">
      <c r="A183" t="s">
        <v>339</v>
      </c>
      <c r="B183" s="7">
        <v>5.2149018723039611E-8</v>
      </c>
      <c r="D183" t="s">
        <v>77</v>
      </c>
      <c r="E183" t="s">
        <v>548</v>
      </c>
      <c r="F183" t="s">
        <v>165</v>
      </c>
      <c r="G183" t="s">
        <v>339</v>
      </c>
    </row>
    <row r="184" spans="1:8" x14ac:dyDescent="0.2">
      <c r="A184" t="s">
        <v>297</v>
      </c>
      <c r="B184" s="7">
        <v>1.0140086973924367E-9</v>
      </c>
      <c r="D184" t="s">
        <v>77</v>
      </c>
      <c r="E184" t="s">
        <v>548</v>
      </c>
      <c r="F184" t="s">
        <v>165</v>
      </c>
      <c r="G184" t="s">
        <v>297</v>
      </c>
    </row>
    <row r="185" spans="1:8" x14ac:dyDescent="0.2">
      <c r="A185" t="s">
        <v>299</v>
      </c>
      <c r="B185" s="7">
        <v>3.1385983490718282E-10</v>
      </c>
      <c r="D185" t="s">
        <v>77</v>
      </c>
      <c r="E185" t="s">
        <v>548</v>
      </c>
      <c r="F185" t="s">
        <v>165</v>
      </c>
      <c r="G185" t="s">
        <v>299</v>
      </c>
    </row>
    <row r="186" spans="1:8" x14ac:dyDescent="0.2">
      <c r="A186" t="s">
        <v>298</v>
      </c>
      <c r="B186" s="7">
        <v>3.862890275780712E-10</v>
      </c>
      <c r="D186" t="s">
        <v>77</v>
      </c>
      <c r="E186" t="s">
        <v>548</v>
      </c>
      <c r="F186" t="s">
        <v>165</v>
      </c>
      <c r="G186" t="s">
        <v>298</v>
      </c>
    </row>
    <row r="187" spans="1:8" x14ac:dyDescent="0.2">
      <c r="A187" t="s">
        <v>342</v>
      </c>
      <c r="B187" s="7">
        <v>7.7257805515614221E-13</v>
      </c>
      <c r="D187" t="s">
        <v>77</v>
      </c>
      <c r="E187" t="s">
        <v>548</v>
      </c>
      <c r="F187" t="s">
        <v>165</v>
      </c>
      <c r="G187" t="s">
        <v>342</v>
      </c>
    </row>
    <row r="188" spans="1:8" x14ac:dyDescent="0.2">
      <c r="A188" t="s">
        <v>340</v>
      </c>
      <c r="B188" s="7">
        <v>2.1004465874557619E-10</v>
      </c>
      <c r="D188" t="s">
        <v>77</v>
      </c>
      <c r="E188" t="s">
        <v>548</v>
      </c>
      <c r="F188" t="s">
        <v>165</v>
      </c>
      <c r="G188" t="s">
        <v>340</v>
      </c>
    </row>
    <row r="189" spans="1:8" x14ac:dyDescent="0.2">
      <c r="A189" t="s">
        <v>341</v>
      </c>
      <c r="B189" s="7">
        <v>2.6074509361519809E-10</v>
      </c>
      <c r="D189" t="s">
        <v>77</v>
      </c>
      <c r="E189" t="s">
        <v>548</v>
      </c>
      <c r="F189" t="s">
        <v>165</v>
      </c>
      <c r="G189" t="s">
        <v>341</v>
      </c>
    </row>
    <row r="190" spans="1:8" x14ac:dyDescent="0.2">
      <c r="A190" t="s">
        <v>157</v>
      </c>
      <c r="B190" s="7">
        <v>-7.5947471854411634E-6</v>
      </c>
      <c r="C190" t="s">
        <v>92</v>
      </c>
      <c r="D190" t="s">
        <v>77</v>
      </c>
      <c r="F190" t="s">
        <v>89</v>
      </c>
      <c r="G190" t="s">
        <v>29</v>
      </c>
      <c r="H190" t="s">
        <v>159</v>
      </c>
    </row>
    <row r="191" spans="1:8" x14ac:dyDescent="0.2">
      <c r="A191" t="s">
        <v>158</v>
      </c>
      <c r="B191" s="7">
        <v>-5.7749536926761575E-6</v>
      </c>
      <c r="C191" t="s">
        <v>92</v>
      </c>
      <c r="D191" t="s">
        <v>77</v>
      </c>
      <c r="F191" t="s">
        <v>89</v>
      </c>
      <c r="G191" t="s">
        <v>30</v>
      </c>
      <c r="H191" t="s">
        <v>160</v>
      </c>
    </row>
    <row r="192" spans="1:8" x14ac:dyDescent="0.2">
      <c r="A192" t="s">
        <v>166</v>
      </c>
      <c r="B192" s="7">
        <v>-4.1370727127059103E-6</v>
      </c>
      <c r="C192" t="s">
        <v>92</v>
      </c>
      <c r="D192" t="s">
        <v>77</v>
      </c>
      <c r="F192" t="s">
        <v>89</v>
      </c>
      <c r="G192" t="s">
        <v>31</v>
      </c>
      <c r="H192" t="s">
        <v>161</v>
      </c>
    </row>
    <row r="194" spans="1:2" ht="16" x14ac:dyDescent="0.2">
      <c r="A194" s="10" t="s">
        <v>71</v>
      </c>
      <c r="B194" s="8" t="s">
        <v>872</v>
      </c>
    </row>
    <row r="195" spans="1:2" x14ac:dyDescent="0.2">
      <c r="A195" t="s">
        <v>72</v>
      </c>
      <c r="B195" t="s">
        <v>37</v>
      </c>
    </row>
    <row r="196" spans="1:2" x14ac:dyDescent="0.2">
      <c r="A196" t="s">
        <v>86</v>
      </c>
      <c r="B196" t="s">
        <v>414</v>
      </c>
    </row>
    <row r="197" spans="1:2" x14ac:dyDescent="0.2">
      <c r="A197" t="s">
        <v>87</v>
      </c>
    </row>
    <row r="198" spans="1:2" x14ac:dyDescent="0.2">
      <c r="A198" t="s">
        <v>88</v>
      </c>
      <c r="B198">
        <v>2016</v>
      </c>
    </row>
    <row r="199" spans="1:2" x14ac:dyDescent="0.2">
      <c r="A199" t="s">
        <v>124</v>
      </c>
      <c r="B199" t="s">
        <v>417</v>
      </c>
    </row>
    <row r="200" spans="1:2" x14ac:dyDescent="0.2">
      <c r="A200" t="s">
        <v>73</v>
      </c>
      <c r="B200" t="s">
        <v>872</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25000</v>
      </c>
    </row>
    <row r="205" spans="1:2" x14ac:dyDescent="0.2">
      <c r="A205" t="s">
        <v>126</v>
      </c>
      <c r="B205">
        <v>1.1000000000000001</v>
      </c>
    </row>
    <row r="206" spans="1:2" x14ac:dyDescent="0.2">
      <c r="A206" t="s">
        <v>127</v>
      </c>
      <c r="B206">
        <v>1</v>
      </c>
    </row>
    <row r="207" spans="1:2" x14ac:dyDescent="0.2">
      <c r="A207" t="s">
        <v>128</v>
      </c>
      <c r="B207">
        <v>0</v>
      </c>
    </row>
    <row r="208" spans="1:2" x14ac:dyDescent="0.2">
      <c r="A208" t="s">
        <v>129</v>
      </c>
      <c r="B208">
        <v>1776</v>
      </c>
    </row>
    <row r="209" spans="1:8" x14ac:dyDescent="0.2">
      <c r="A209" t="s">
        <v>130</v>
      </c>
      <c r="B209" s="2">
        <v>120.308682371765</v>
      </c>
    </row>
    <row r="210" spans="1:8" x14ac:dyDescent="0.2">
      <c r="A210" t="s">
        <v>131</v>
      </c>
      <c r="B210">
        <v>9</v>
      </c>
    </row>
    <row r="211" spans="1:8" x14ac:dyDescent="0.2">
      <c r="A211" t="s">
        <v>132</v>
      </c>
      <c r="B211" t="s">
        <v>85</v>
      </c>
    </row>
    <row r="212" spans="1:8" x14ac:dyDescent="0.2">
      <c r="A212" t="s">
        <v>133</v>
      </c>
      <c r="B212">
        <v>0</v>
      </c>
    </row>
    <row r="213" spans="1:8" x14ac:dyDescent="0.2">
      <c r="A213" t="s">
        <v>136</v>
      </c>
      <c r="B213" s="2">
        <v>79.875</v>
      </c>
    </row>
    <row r="214" spans="1:8" x14ac:dyDescent="0.2">
      <c r="A214" t="s">
        <v>137</v>
      </c>
      <c r="B214">
        <v>6.75</v>
      </c>
    </row>
    <row r="215" spans="1:8" x14ac:dyDescent="0.2">
      <c r="A215" t="s">
        <v>134</v>
      </c>
      <c r="B215" s="2">
        <v>283.0436564792974</v>
      </c>
    </row>
    <row r="216" spans="1:8" x14ac:dyDescent="0.2">
      <c r="A216" t="s">
        <v>135</v>
      </c>
      <c r="B216" t="s">
        <v>140</v>
      </c>
    </row>
    <row r="217" spans="1:8" x14ac:dyDescent="0.2">
      <c r="A217" t="s">
        <v>796</v>
      </c>
      <c r="B217" s="6">
        <v>-0.02</v>
      </c>
    </row>
    <row r="218" spans="1:8" x14ac:dyDescent="0.2">
      <c r="A218" t="s">
        <v>83</v>
      </c>
      <c r="B218" t="s">
        <v>873</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872</v>
      </c>
      <c r="B221">
        <v>1</v>
      </c>
      <c r="C221" t="s">
        <v>37</v>
      </c>
      <c r="D221" t="s">
        <v>164</v>
      </c>
      <c r="F221" t="s">
        <v>84</v>
      </c>
      <c r="G221" t="s">
        <v>85</v>
      </c>
      <c r="H221" t="s">
        <v>872</v>
      </c>
    </row>
    <row r="222" spans="1:8" x14ac:dyDescent="0.2">
      <c r="A222" t="s">
        <v>414</v>
      </c>
      <c r="B222" s="7">
        <v>4.0000000000000003E-5</v>
      </c>
      <c r="C222" t="s">
        <v>37</v>
      </c>
      <c r="D222" t="s">
        <v>76</v>
      </c>
      <c r="F222" t="s">
        <v>89</v>
      </c>
      <c r="H222" t="s">
        <v>414</v>
      </c>
    </row>
    <row r="223" spans="1:8" x14ac:dyDescent="0.2">
      <c r="A223" t="s">
        <v>107</v>
      </c>
      <c r="B223" s="7">
        <v>1.1213026243363781E-4</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557</v>
      </c>
      <c r="B226" s="7">
        <v>2.3847911251435212E-2</v>
      </c>
      <c r="C226" t="s">
        <v>37</v>
      </c>
      <c r="D226" t="s">
        <v>77</v>
      </c>
      <c r="F226" t="s">
        <v>89</v>
      </c>
      <c r="G226" t="s">
        <v>27</v>
      </c>
      <c r="H226" t="s">
        <v>558</v>
      </c>
    </row>
    <row r="227" spans="1:8" x14ac:dyDescent="0.2">
      <c r="A227" t="s">
        <v>152</v>
      </c>
      <c r="B227" s="11">
        <v>7.3983852033552483E-2</v>
      </c>
      <c r="D227" t="s">
        <v>77</v>
      </c>
      <c r="E227" t="s">
        <v>548</v>
      </c>
      <c r="F227" t="s">
        <v>165</v>
      </c>
      <c r="G227" t="s">
        <v>66</v>
      </c>
    </row>
    <row r="228" spans="1:8" x14ac:dyDescent="0.2">
      <c r="A228" t="s">
        <v>554</v>
      </c>
      <c r="B228" s="11">
        <v>8.9858929595407883E-4</v>
      </c>
      <c r="D228" t="s">
        <v>77</v>
      </c>
      <c r="E228" t="s">
        <v>548</v>
      </c>
      <c r="F228" t="s">
        <v>165</v>
      </c>
      <c r="G228" t="s">
        <v>552</v>
      </c>
    </row>
    <row r="229" spans="1:8" x14ac:dyDescent="0.2">
      <c r="A229" t="s">
        <v>212</v>
      </c>
      <c r="B229" s="7">
        <v>3.8156658002296336E-7</v>
      </c>
      <c r="D229" t="s">
        <v>77</v>
      </c>
      <c r="E229" t="s">
        <v>548</v>
      </c>
      <c r="F229" t="s">
        <v>165</v>
      </c>
      <c r="G229" t="s">
        <v>67</v>
      </c>
    </row>
    <row r="230" spans="1:8" x14ac:dyDescent="0.2">
      <c r="A230" t="s">
        <v>55</v>
      </c>
      <c r="B230" s="7">
        <v>5.1657452836225586E-6</v>
      </c>
      <c r="D230" t="s">
        <v>77</v>
      </c>
      <c r="E230" t="s">
        <v>548</v>
      </c>
      <c r="F230" t="s">
        <v>165</v>
      </c>
      <c r="G230" t="s">
        <v>55</v>
      </c>
    </row>
    <row r="231" spans="1:8" x14ac:dyDescent="0.2">
      <c r="A231" t="s">
        <v>153</v>
      </c>
      <c r="B231" s="7">
        <v>5.6307019006388424E-5</v>
      </c>
      <c r="D231" t="s">
        <v>77</v>
      </c>
      <c r="E231" t="s">
        <v>548</v>
      </c>
      <c r="F231" t="s">
        <v>165</v>
      </c>
      <c r="G231" t="s">
        <v>56</v>
      </c>
    </row>
    <row r="232" spans="1:8" x14ac:dyDescent="0.2">
      <c r="A232" t="s">
        <v>154</v>
      </c>
      <c r="B232" s="7">
        <v>8.2177593124772407E-4</v>
      </c>
      <c r="D232" t="s">
        <v>77</v>
      </c>
      <c r="E232" t="s">
        <v>548</v>
      </c>
      <c r="F232" t="s">
        <v>165</v>
      </c>
      <c r="G232" t="s">
        <v>57</v>
      </c>
    </row>
    <row r="233" spans="1:8" x14ac:dyDescent="0.2">
      <c r="A233" t="s">
        <v>213</v>
      </c>
      <c r="B233" s="7">
        <v>2.0109649645138723E-6</v>
      </c>
      <c r="D233" t="s">
        <v>77</v>
      </c>
      <c r="E233" t="s">
        <v>548</v>
      </c>
      <c r="F233" t="s">
        <v>165</v>
      </c>
      <c r="G233" t="s">
        <v>58</v>
      </c>
    </row>
    <row r="234" spans="1:8" x14ac:dyDescent="0.2">
      <c r="A234" t="s">
        <v>155</v>
      </c>
      <c r="B234" s="7">
        <v>2.0109649645138723E-6</v>
      </c>
      <c r="D234" t="s">
        <v>77</v>
      </c>
      <c r="E234" t="s">
        <v>548</v>
      </c>
      <c r="F234" t="s">
        <v>165</v>
      </c>
      <c r="G234" t="s">
        <v>59</v>
      </c>
    </row>
    <row r="235" spans="1:8" x14ac:dyDescent="0.2">
      <c r="A235" t="s">
        <v>156</v>
      </c>
      <c r="B235" s="7">
        <v>2.7297678240826657E-5</v>
      </c>
      <c r="D235" t="s">
        <v>77</v>
      </c>
      <c r="E235" t="s">
        <v>548</v>
      </c>
      <c r="F235" t="s">
        <v>165</v>
      </c>
      <c r="G235" t="s">
        <v>60</v>
      </c>
    </row>
    <row r="236" spans="1:8" x14ac:dyDescent="0.2">
      <c r="A236" t="s">
        <v>214</v>
      </c>
      <c r="B236" s="7">
        <v>5.0274124112846799E-6</v>
      </c>
      <c r="D236" t="s">
        <v>77</v>
      </c>
      <c r="E236" t="s">
        <v>548</v>
      </c>
      <c r="F236" t="s">
        <v>165</v>
      </c>
      <c r="G236" t="s">
        <v>62</v>
      </c>
    </row>
    <row r="237" spans="1:8" x14ac:dyDescent="0.2">
      <c r="A237" t="s">
        <v>209</v>
      </c>
      <c r="B237" s="7">
        <v>4.1657453944934862E-5</v>
      </c>
      <c r="D237" t="s">
        <v>77</v>
      </c>
      <c r="E237" t="s">
        <v>548</v>
      </c>
      <c r="F237" t="s">
        <v>165</v>
      </c>
      <c r="G237" t="s">
        <v>368</v>
      </c>
    </row>
    <row r="238" spans="1:8" x14ac:dyDescent="0.2">
      <c r="A238" t="s">
        <v>316</v>
      </c>
      <c r="B238" s="7">
        <v>2.9373845730402788E-6</v>
      </c>
      <c r="D238" t="s">
        <v>77</v>
      </c>
      <c r="E238" t="s">
        <v>548</v>
      </c>
      <c r="F238" t="s">
        <v>165</v>
      </c>
      <c r="G238" t="s">
        <v>316</v>
      </c>
    </row>
    <row r="239" spans="1:8" x14ac:dyDescent="0.2">
      <c r="A239" t="s">
        <v>317</v>
      </c>
      <c r="B239" s="7">
        <v>5.9852663713986867E-7</v>
      </c>
      <c r="D239" t="s">
        <v>77</v>
      </c>
      <c r="E239" t="s">
        <v>548</v>
      </c>
      <c r="F239" t="s">
        <v>165</v>
      </c>
      <c r="G239" t="s">
        <v>317</v>
      </c>
    </row>
    <row r="240" spans="1:8" x14ac:dyDescent="0.2">
      <c r="A240" t="s">
        <v>318</v>
      </c>
      <c r="B240" s="7">
        <v>4.8250455055583258E-6</v>
      </c>
      <c r="D240" t="s">
        <v>77</v>
      </c>
      <c r="E240" t="s">
        <v>548</v>
      </c>
      <c r="F240" t="s">
        <v>165</v>
      </c>
      <c r="G240" t="s">
        <v>318</v>
      </c>
    </row>
    <row r="241" spans="1:7" x14ac:dyDescent="0.2">
      <c r="A241" t="s">
        <v>319</v>
      </c>
      <c r="B241" s="7">
        <v>1.9797419536164887E-6</v>
      </c>
      <c r="D241" t="s">
        <v>77</v>
      </c>
      <c r="E241" t="s">
        <v>548</v>
      </c>
      <c r="F241" t="s">
        <v>165</v>
      </c>
      <c r="G241" t="s">
        <v>319</v>
      </c>
    </row>
    <row r="242" spans="1:7" x14ac:dyDescent="0.2">
      <c r="A242" t="s">
        <v>320</v>
      </c>
      <c r="B242" s="7">
        <v>1.4825044396849054E-6</v>
      </c>
      <c r="D242" t="s">
        <v>77</v>
      </c>
      <c r="E242" t="s">
        <v>548</v>
      </c>
      <c r="F242" t="s">
        <v>165</v>
      </c>
      <c r="G242" t="s">
        <v>320</v>
      </c>
    </row>
    <row r="243" spans="1:7" x14ac:dyDescent="0.2">
      <c r="A243" t="s">
        <v>321</v>
      </c>
      <c r="B243" s="7">
        <v>1.0497236405222313E-6</v>
      </c>
      <c r="D243" t="s">
        <v>77</v>
      </c>
      <c r="E243" t="s">
        <v>548</v>
      </c>
      <c r="F243" t="s">
        <v>165</v>
      </c>
      <c r="G243" t="s">
        <v>321</v>
      </c>
    </row>
    <row r="244" spans="1:7" x14ac:dyDescent="0.2">
      <c r="A244" t="s">
        <v>322</v>
      </c>
      <c r="B244" s="7">
        <v>6.8139955612846592E-7</v>
      </c>
      <c r="D244" t="s">
        <v>77</v>
      </c>
      <c r="E244" t="s">
        <v>548</v>
      </c>
      <c r="F244" t="s">
        <v>165</v>
      </c>
      <c r="G244" t="s">
        <v>322</v>
      </c>
    </row>
    <row r="245" spans="1:7" x14ac:dyDescent="0.2">
      <c r="A245" t="s">
        <v>323</v>
      </c>
      <c r="B245" s="7">
        <v>6.7219145401862166E-6</v>
      </c>
      <c r="D245" t="s">
        <v>77</v>
      </c>
      <c r="E245" t="s">
        <v>548</v>
      </c>
      <c r="F245" t="s">
        <v>165</v>
      </c>
      <c r="G245" t="s">
        <v>323</v>
      </c>
    </row>
    <row r="246" spans="1:7" x14ac:dyDescent="0.2">
      <c r="A246" t="s">
        <v>324</v>
      </c>
      <c r="B246" s="7">
        <v>3.5174950059604585E-6</v>
      </c>
      <c r="D246" t="s">
        <v>77</v>
      </c>
      <c r="E246" t="s">
        <v>548</v>
      </c>
      <c r="F246" t="s">
        <v>165</v>
      </c>
      <c r="G246" t="s">
        <v>324</v>
      </c>
    </row>
    <row r="247" spans="1:7" x14ac:dyDescent="0.2">
      <c r="A247" t="s">
        <v>325</v>
      </c>
      <c r="B247" s="7">
        <v>1.0128912320828547E-7</v>
      </c>
      <c r="D247" t="s">
        <v>77</v>
      </c>
      <c r="E247" t="s">
        <v>548</v>
      </c>
      <c r="F247" t="s">
        <v>165</v>
      </c>
      <c r="G247" t="s">
        <v>325</v>
      </c>
    </row>
    <row r="248" spans="1:7" x14ac:dyDescent="0.2">
      <c r="A248" t="s">
        <v>326</v>
      </c>
      <c r="B248" s="7">
        <v>1.0110496116608857E-5</v>
      </c>
      <c r="D248" t="s">
        <v>77</v>
      </c>
      <c r="E248" t="s">
        <v>548</v>
      </c>
      <c r="F248" t="s">
        <v>165</v>
      </c>
      <c r="G248" t="s">
        <v>326</v>
      </c>
    </row>
    <row r="249" spans="1:7" x14ac:dyDescent="0.2">
      <c r="A249" t="s">
        <v>327</v>
      </c>
      <c r="B249" s="7">
        <v>4.9999994456453646E-6</v>
      </c>
      <c r="D249" t="s">
        <v>77</v>
      </c>
      <c r="E249" t="s">
        <v>548</v>
      </c>
      <c r="F249" t="s">
        <v>165</v>
      </c>
      <c r="G249" t="s">
        <v>327</v>
      </c>
    </row>
    <row r="250" spans="1:7" x14ac:dyDescent="0.2">
      <c r="A250" t="s">
        <v>328</v>
      </c>
      <c r="B250" s="7">
        <v>2.0810310768247739E-6</v>
      </c>
      <c r="D250" t="s">
        <v>77</v>
      </c>
      <c r="E250" t="s">
        <v>548</v>
      </c>
      <c r="F250" t="s">
        <v>165</v>
      </c>
      <c r="G250" t="s">
        <v>328</v>
      </c>
    </row>
    <row r="251" spans="1:7" x14ac:dyDescent="0.2">
      <c r="A251" t="s">
        <v>329</v>
      </c>
      <c r="B251" s="7">
        <v>1.5653773586735031E-6</v>
      </c>
      <c r="D251" t="s">
        <v>77</v>
      </c>
      <c r="E251" t="s">
        <v>548</v>
      </c>
      <c r="F251" t="s">
        <v>165</v>
      </c>
      <c r="G251" t="s">
        <v>329</v>
      </c>
    </row>
    <row r="252" spans="1:7" x14ac:dyDescent="0.2">
      <c r="A252" t="s">
        <v>330</v>
      </c>
      <c r="B252" s="7">
        <v>6.9060765823831001E-7</v>
      </c>
      <c r="D252" t="s">
        <v>77</v>
      </c>
      <c r="E252" t="s">
        <v>548</v>
      </c>
      <c r="F252" t="s">
        <v>165</v>
      </c>
      <c r="G252" t="s">
        <v>330</v>
      </c>
    </row>
    <row r="253" spans="1:7" x14ac:dyDescent="0.2">
      <c r="A253" t="s">
        <v>331</v>
      </c>
      <c r="B253" s="7">
        <v>2.0257824641657093E-7</v>
      </c>
      <c r="D253" t="s">
        <v>77</v>
      </c>
      <c r="E253" t="s">
        <v>548</v>
      </c>
      <c r="F253" t="s">
        <v>165</v>
      </c>
      <c r="G253" t="s">
        <v>331</v>
      </c>
    </row>
    <row r="254" spans="1:7" x14ac:dyDescent="0.2">
      <c r="A254" t="s">
        <v>332</v>
      </c>
      <c r="B254" s="7">
        <v>5.616942287004922E-7</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1.7495394008703853E-7</v>
      </c>
      <c r="D256" t="s">
        <v>77</v>
      </c>
      <c r="E256" t="s">
        <v>548</v>
      </c>
      <c r="F256" t="s">
        <v>165</v>
      </c>
      <c r="G256" t="s">
        <v>333</v>
      </c>
    </row>
    <row r="257" spans="1:8" x14ac:dyDescent="0.2">
      <c r="A257" t="s">
        <v>334</v>
      </c>
      <c r="B257" s="7">
        <v>9.3001831309425754E-7</v>
      </c>
      <c r="D257" t="s">
        <v>77</v>
      </c>
      <c r="E257" t="s">
        <v>548</v>
      </c>
      <c r="F257" t="s">
        <v>165</v>
      </c>
      <c r="G257" t="s">
        <v>334</v>
      </c>
    </row>
    <row r="258" spans="1:8" x14ac:dyDescent="0.2">
      <c r="A258" t="s">
        <v>343</v>
      </c>
      <c r="B258" s="7">
        <v>8.3186003463594531E-10</v>
      </c>
      <c r="D258" t="s">
        <v>77</v>
      </c>
      <c r="E258" t="s">
        <v>548</v>
      </c>
      <c r="F258" t="s">
        <v>165</v>
      </c>
      <c r="G258" t="s">
        <v>336</v>
      </c>
    </row>
    <row r="259" spans="1:8" x14ac:dyDescent="0.2">
      <c r="A259" t="s">
        <v>337</v>
      </c>
      <c r="B259" s="7">
        <v>7.1712071951374601E-12</v>
      </c>
      <c r="D259" t="s">
        <v>77</v>
      </c>
      <c r="E259" t="s">
        <v>548</v>
      </c>
      <c r="F259" t="s">
        <v>165</v>
      </c>
      <c r="G259" t="s">
        <v>337</v>
      </c>
    </row>
    <row r="260" spans="1:8" x14ac:dyDescent="0.2">
      <c r="A260" t="s">
        <v>338</v>
      </c>
      <c r="B260" s="7">
        <v>4.7808047967583062E-12</v>
      </c>
      <c r="D260" t="s">
        <v>77</v>
      </c>
      <c r="E260" t="s">
        <v>548</v>
      </c>
      <c r="F260" t="s">
        <v>165</v>
      </c>
      <c r="G260" t="s">
        <v>338</v>
      </c>
    </row>
    <row r="261" spans="1:8" x14ac:dyDescent="0.2">
      <c r="A261" t="s">
        <v>339</v>
      </c>
      <c r="B261" s="7">
        <v>5.1632691804989713E-8</v>
      </c>
      <c r="D261" t="s">
        <v>77</v>
      </c>
      <c r="E261" t="s">
        <v>548</v>
      </c>
      <c r="F261" t="s">
        <v>165</v>
      </c>
      <c r="G261" t="s">
        <v>339</v>
      </c>
    </row>
    <row r="262" spans="1:8" x14ac:dyDescent="0.2">
      <c r="A262" t="s">
        <v>297</v>
      </c>
      <c r="B262" s="7">
        <v>1.0039690073192443E-9</v>
      </c>
      <c r="D262" t="s">
        <v>77</v>
      </c>
      <c r="E262" t="s">
        <v>548</v>
      </c>
      <c r="F262" t="s">
        <v>165</v>
      </c>
      <c r="G262" t="s">
        <v>297</v>
      </c>
    </row>
    <row r="263" spans="1:8" x14ac:dyDescent="0.2">
      <c r="A263" t="s">
        <v>299</v>
      </c>
      <c r="B263" s="7">
        <v>3.1075231178928993E-10</v>
      </c>
      <c r="D263" t="s">
        <v>77</v>
      </c>
      <c r="E263" t="s">
        <v>548</v>
      </c>
      <c r="F263" t="s">
        <v>165</v>
      </c>
      <c r="G263" t="s">
        <v>299</v>
      </c>
    </row>
    <row r="264" spans="1:8" x14ac:dyDescent="0.2">
      <c r="A264" t="s">
        <v>298</v>
      </c>
      <c r="B264" s="7">
        <v>3.8246438374066455E-10</v>
      </c>
      <c r="D264" t="s">
        <v>77</v>
      </c>
      <c r="E264" t="s">
        <v>548</v>
      </c>
      <c r="F264" t="s">
        <v>165</v>
      </c>
      <c r="G264" t="s">
        <v>298</v>
      </c>
    </row>
    <row r="265" spans="1:8" x14ac:dyDescent="0.2">
      <c r="A265" t="s">
        <v>342</v>
      </c>
      <c r="B265" s="7">
        <v>7.6492876748132895E-13</v>
      </c>
      <c r="D265" t="s">
        <v>77</v>
      </c>
      <c r="E265" t="s">
        <v>548</v>
      </c>
      <c r="F265" t="s">
        <v>165</v>
      </c>
      <c r="G265" t="s">
        <v>342</v>
      </c>
    </row>
    <row r="266" spans="1:8" x14ac:dyDescent="0.2">
      <c r="A266" t="s">
        <v>340</v>
      </c>
      <c r="B266" s="7">
        <v>2.0796500865898633E-10</v>
      </c>
      <c r="D266" t="s">
        <v>77</v>
      </c>
      <c r="E266" t="s">
        <v>548</v>
      </c>
      <c r="F266" t="s">
        <v>165</v>
      </c>
      <c r="G266" t="s">
        <v>340</v>
      </c>
    </row>
    <row r="267" spans="1:8" x14ac:dyDescent="0.2">
      <c r="A267" t="s">
        <v>341</v>
      </c>
      <c r="B267" s="7">
        <v>2.5816345902494862E-10</v>
      </c>
      <c r="D267" t="s">
        <v>77</v>
      </c>
      <c r="E267" t="s">
        <v>548</v>
      </c>
      <c r="F267" t="s">
        <v>165</v>
      </c>
      <c r="G267" t="s">
        <v>341</v>
      </c>
    </row>
    <row r="268" spans="1:8" x14ac:dyDescent="0.2">
      <c r="A268" t="s">
        <v>157</v>
      </c>
      <c r="B268" s="7">
        <v>-7.5385511472227333E-6</v>
      </c>
      <c r="C268" t="s">
        <v>92</v>
      </c>
      <c r="D268" t="s">
        <v>77</v>
      </c>
      <c r="F268" t="s">
        <v>89</v>
      </c>
      <c r="G268" t="s">
        <v>29</v>
      </c>
      <c r="H268" t="s">
        <v>159</v>
      </c>
    </row>
    <row r="269" spans="1:8" x14ac:dyDescent="0.2">
      <c r="A269" t="s">
        <v>158</v>
      </c>
      <c r="B269" s="7">
        <v>-5.7454099761314755E-6</v>
      </c>
      <c r="C269" t="s">
        <v>92</v>
      </c>
      <c r="D269" t="s">
        <v>77</v>
      </c>
      <c r="F269" t="s">
        <v>89</v>
      </c>
      <c r="G269" t="s">
        <v>30</v>
      </c>
      <c r="H269" t="s">
        <v>160</v>
      </c>
    </row>
    <row r="270" spans="1:8" x14ac:dyDescent="0.2">
      <c r="A270" t="s">
        <v>166</v>
      </c>
      <c r="B270" s="7">
        <v>-4.1119376024139909E-6</v>
      </c>
      <c r="C270" t="s">
        <v>92</v>
      </c>
      <c r="D270" t="s">
        <v>77</v>
      </c>
      <c r="F270" t="s">
        <v>89</v>
      </c>
      <c r="G270" t="s">
        <v>31</v>
      </c>
      <c r="H270" t="s">
        <v>161</v>
      </c>
    </row>
    <row r="272" spans="1:8" ht="16" x14ac:dyDescent="0.2">
      <c r="A272" s="10" t="s">
        <v>71</v>
      </c>
      <c r="B272" s="8" t="s">
        <v>874</v>
      </c>
    </row>
    <row r="273" spans="1:2" x14ac:dyDescent="0.2">
      <c r="A273" t="s">
        <v>72</v>
      </c>
      <c r="B273" t="s">
        <v>37</v>
      </c>
    </row>
    <row r="274" spans="1:2" x14ac:dyDescent="0.2">
      <c r="A274" t="s">
        <v>86</v>
      </c>
      <c r="B274" t="s">
        <v>415</v>
      </c>
    </row>
    <row r="275" spans="1:2" x14ac:dyDescent="0.2">
      <c r="A275" t="s">
        <v>87</v>
      </c>
    </row>
    <row r="276" spans="1:2" x14ac:dyDescent="0.2">
      <c r="A276" t="s">
        <v>88</v>
      </c>
      <c r="B276">
        <v>2020</v>
      </c>
    </row>
    <row r="277" spans="1:2" x14ac:dyDescent="0.2">
      <c r="A277" t="s">
        <v>124</v>
      </c>
      <c r="B277" t="s">
        <v>418</v>
      </c>
    </row>
    <row r="278" spans="1:2" x14ac:dyDescent="0.2">
      <c r="A278" t="s">
        <v>73</v>
      </c>
      <c r="B278" t="s">
        <v>874</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25000</v>
      </c>
    </row>
    <row r="283" spans="1:2" x14ac:dyDescent="0.2">
      <c r="A283" t="s">
        <v>126</v>
      </c>
      <c r="B283">
        <v>1.1000000000000001</v>
      </c>
    </row>
    <row r="284" spans="1:2" x14ac:dyDescent="0.2">
      <c r="A284" t="s">
        <v>127</v>
      </c>
      <c r="B284">
        <v>1</v>
      </c>
    </row>
    <row r="285" spans="1:2" x14ac:dyDescent="0.2">
      <c r="A285" t="s">
        <v>128</v>
      </c>
      <c r="B285">
        <v>0</v>
      </c>
    </row>
    <row r="286" spans="1:2" x14ac:dyDescent="0.2">
      <c r="A286" t="s">
        <v>129</v>
      </c>
      <c r="B286">
        <v>1776</v>
      </c>
    </row>
    <row r="287" spans="1:2" x14ac:dyDescent="0.2">
      <c r="A287" t="s">
        <v>130</v>
      </c>
      <c r="B287" s="2">
        <v>119.00000583255843</v>
      </c>
    </row>
    <row r="288" spans="1:2" x14ac:dyDescent="0.2">
      <c r="A288" t="s">
        <v>131</v>
      </c>
      <c r="B288">
        <v>9</v>
      </c>
    </row>
    <row r="289" spans="1:8" x14ac:dyDescent="0.2">
      <c r="A289" t="s">
        <v>132</v>
      </c>
      <c r="B289" t="s">
        <v>85</v>
      </c>
    </row>
    <row r="290" spans="1:8" x14ac:dyDescent="0.2">
      <c r="A290" t="s">
        <v>133</v>
      </c>
      <c r="B290">
        <v>0</v>
      </c>
    </row>
    <row r="291" spans="1:8" x14ac:dyDescent="0.2">
      <c r="A291" t="s">
        <v>136</v>
      </c>
      <c r="B291" s="2">
        <v>79.875</v>
      </c>
    </row>
    <row r="292" spans="1:8" x14ac:dyDescent="0.2">
      <c r="A292" t="s">
        <v>137</v>
      </c>
      <c r="B292">
        <v>6.75</v>
      </c>
    </row>
    <row r="293" spans="1:8" x14ac:dyDescent="0.2">
      <c r="A293" t="s">
        <v>134</v>
      </c>
      <c r="B293" s="2">
        <v>285.90268331242163</v>
      </c>
    </row>
    <row r="294" spans="1:8" x14ac:dyDescent="0.2">
      <c r="A294" t="s">
        <v>135</v>
      </c>
      <c r="B294" t="s">
        <v>141</v>
      </c>
    </row>
    <row r="295" spans="1:8" x14ac:dyDescent="0.2">
      <c r="A295" t="s">
        <v>796</v>
      </c>
      <c r="B295" s="6">
        <v>0</v>
      </c>
    </row>
    <row r="296" spans="1:8" x14ac:dyDescent="0.2">
      <c r="A296" t="s">
        <v>83</v>
      </c>
      <c r="B296" t="s">
        <v>875</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874</v>
      </c>
      <c r="B299">
        <v>1</v>
      </c>
      <c r="C299" t="s">
        <v>37</v>
      </c>
      <c r="D299" t="s">
        <v>164</v>
      </c>
      <c r="F299" t="s">
        <v>84</v>
      </c>
      <c r="G299" t="s">
        <v>85</v>
      </c>
      <c r="H299" t="s">
        <v>874</v>
      </c>
    </row>
    <row r="300" spans="1:8" x14ac:dyDescent="0.2">
      <c r="A300" t="s">
        <v>415</v>
      </c>
      <c r="B300" s="7">
        <v>4.0000000000000003E-5</v>
      </c>
      <c r="C300" t="s">
        <v>37</v>
      </c>
      <c r="D300" t="s">
        <v>76</v>
      </c>
      <c r="F300" t="s">
        <v>89</v>
      </c>
      <c r="H300" t="s">
        <v>415</v>
      </c>
    </row>
    <row r="301" spans="1:8" x14ac:dyDescent="0.2">
      <c r="A301" t="s">
        <v>107</v>
      </c>
      <c r="B301" s="7">
        <v>1.1142750313208388E-4</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557</v>
      </c>
      <c r="B304" s="7">
        <v>2.3609432138920861E-2</v>
      </c>
      <c r="C304" t="s">
        <v>37</v>
      </c>
      <c r="D304" t="s">
        <v>77</v>
      </c>
      <c r="F304" t="s">
        <v>89</v>
      </c>
      <c r="G304" t="s">
        <v>27</v>
      </c>
      <c r="H304" t="s">
        <v>558</v>
      </c>
    </row>
    <row r="305" spans="1:7" x14ac:dyDescent="0.2">
      <c r="A305" t="s">
        <v>152</v>
      </c>
      <c r="B305" s="11">
        <v>7.3244013513216966E-2</v>
      </c>
      <c r="D305" t="s">
        <v>77</v>
      </c>
      <c r="E305" t="s">
        <v>548</v>
      </c>
      <c r="F305" t="s">
        <v>165</v>
      </c>
      <c r="G305" t="s">
        <v>66</v>
      </c>
    </row>
    <row r="306" spans="1:7" x14ac:dyDescent="0.2">
      <c r="A306" t="s">
        <v>554</v>
      </c>
      <c r="B306" s="11">
        <v>8.8960340299453812E-4</v>
      </c>
      <c r="D306" t="s">
        <v>77</v>
      </c>
      <c r="E306" t="s">
        <v>548</v>
      </c>
      <c r="F306" t="s">
        <v>165</v>
      </c>
      <c r="G306" t="s">
        <v>552</v>
      </c>
    </row>
    <row r="307" spans="1:7" x14ac:dyDescent="0.2">
      <c r="A307" t="s">
        <v>212</v>
      </c>
      <c r="B307" s="7">
        <v>3.7775091422273376E-7</v>
      </c>
      <c r="D307" t="s">
        <v>77</v>
      </c>
      <c r="E307" t="s">
        <v>548</v>
      </c>
      <c r="F307" t="s">
        <v>165</v>
      </c>
      <c r="G307" t="s">
        <v>67</v>
      </c>
    </row>
    <row r="308" spans="1:7" x14ac:dyDescent="0.2">
      <c r="A308" t="s">
        <v>55</v>
      </c>
      <c r="B308" s="7">
        <v>3.0028551502939905E-6</v>
      </c>
      <c r="D308" t="s">
        <v>77</v>
      </c>
      <c r="E308" t="s">
        <v>548</v>
      </c>
      <c r="F308" t="s">
        <v>165</v>
      </c>
      <c r="G308" t="s">
        <v>55</v>
      </c>
    </row>
    <row r="309" spans="1:7" x14ac:dyDescent="0.2">
      <c r="A309" t="s">
        <v>153</v>
      </c>
      <c r="B309" s="7">
        <v>5.5743948816324545E-5</v>
      </c>
      <c r="D309" t="s">
        <v>77</v>
      </c>
      <c r="E309" t="s">
        <v>548</v>
      </c>
      <c r="F309" t="s">
        <v>165</v>
      </c>
      <c r="G309" t="s">
        <v>56</v>
      </c>
    </row>
    <row r="310" spans="1:7" x14ac:dyDescent="0.2">
      <c r="A310" t="s">
        <v>154</v>
      </c>
      <c r="B310" s="7">
        <v>7.1242322292383402E-4</v>
      </c>
      <c r="D310" t="s">
        <v>77</v>
      </c>
      <c r="E310" t="s">
        <v>548</v>
      </c>
      <c r="F310" t="s">
        <v>165</v>
      </c>
      <c r="G310" t="s">
        <v>57</v>
      </c>
    </row>
    <row r="311" spans="1:7" x14ac:dyDescent="0.2">
      <c r="A311" t="s">
        <v>213</v>
      </c>
      <c r="B311" s="7">
        <v>1.9908553148687333E-6</v>
      </c>
      <c r="D311" t="s">
        <v>77</v>
      </c>
      <c r="E311" t="s">
        <v>548</v>
      </c>
      <c r="F311" t="s">
        <v>165</v>
      </c>
      <c r="G311" t="s">
        <v>58</v>
      </c>
    </row>
    <row r="312" spans="1:7" x14ac:dyDescent="0.2">
      <c r="A312" t="s">
        <v>155</v>
      </c>
      <c r="B312" s="7">
        <v>1.9908553148687333E-6</v>
      </c>
      <c r="D312" t="s">
        <v>77</v>
      </c>
      <c r="E312" t="s">
        <v>548</v>
      </c>
      <c r="F312" t="s">
        <v>165</v>
      </c>
      <c r="G312" t="s">
        <v>59</v>
      </c>
    </row>
    <row r="313" spans="1:7" x14ac:dyDescent="0.2">
      <c r="A313" t="s">
        <v>156</v>
      </c>
      <c r="B313" s="7">
        <v>1.8315516128898121E-5</v>
      </c>
      <c r="D313" t="s">
        <v>77</v>
      </c>
      <c r="E313" t="s">
        <v>548</v>
      </c>
      <c r="F313" t="s">
        <v>165</v>
      </c>
      <c r="G313" t="s">
        <v>60</v>
      </c>
    </row>
    <row r="314" spans="1:7" x14ac:dyDescent="0.2">
      <c r="A314" t="s">
        <v>214</v>
      </c>
      <c r="B314" s="7">
        <v>4.9771382871718332E-6</v>
      </c>
      <c r="D314" t="s">
        <v>77</v>
      </c>
      <c r="E314" t="s">
        <v>548</v>
      </c>
      <c r="F314" t="s">
        <v>165</v>
      </c>
      <c r="G314" t="s">
        <v>62</v>
      </c>
    </row>
    <row r="315" spans="1:7" x14ac:dyDescent="0.2">
      <c r="A315" t="s">
        <v>209</v>
      </c>
      <c r="B315" s="7">
        <v>2.4215537789536568E-5</v>
      </c>
      <c r="D315" t="s">
        <v>77</v>
      </c>
      <c r="E315" t="s">
        <v>548</v>
      </c>
      <c r="F315" t="s">
        <v>165</v>
      </c>
      <c r="G315" t="s">
        <v>368</v>
      </c>
    </row>
    <row r="316" spans="1:7" x14ac:dyDescent="0.2">
      <c r="A316" t="s">
        <v>316</v>
      </c>
      <c r="B316" s="7">
        <v>1.7075058697750144E-6</v>
      </c>
      <c r="D316" t="s">
        <v>77</v>
      </c>
      <c r="E316" t="s">
        <v>548</v>
      </c>
      <c r="F316" t="s">
        <v>165</v>
      </c>
      <c r="G316" t="s">
        <v>316</v>
      </c>
    </row>
    <row r="317" spans="1:7" x14ac:dyDescent="0.2">
      <c r="A317" t="s">
        <v>317</v>
      </c>
      <c r="B317" s="7">
        <v>3.4792439352782425E-7</v>
      </c>
      <c r="D317" t="s">
        <v>77</v>
      </c>
      <c r="E317" t="s">
        <v>548</v>
      </c>
      <c r="F317" t="s">
        <v>165</v>
      </c>
      <c r="G317" t="s">
        <v>317</v>
      </c>
    </row>
    <row r="318" spans="1:7" x14ac:dyDescent="0.2">
      <c r="A318" t="s">
        <v>318</v>
      </c>
      <c r="B318" s="7">
        <v>2.804805880131999E-6</v>
      </c>
      <c r="D318" t="s">
        <v>77</v>
      </c>
      <c r="E318" t="s">
        <v>548</v>
      </c>
      <c r="F318" t="s">
        <v>165</v>
      </c>
      <c r="G318" t="s">
        <v>318</v>
      </c>
    </row>
    <row r="319" spans="1:7" x14ac:dyDescent="0.2">
      <c r="A319" t="s">
        <v>319</v>
      </c>
      <c r="B319" s="7">
        <v>1.1508268401304956E-6</v>
      </c>
      <c r="D319" t="s">
        <v>77</v>
      </c>
      <c r="E319" t="s">
        <v>548</v>
      </c>
      <c r="F319" t="s">
        <v>165</v>
      </c>
      <c r="G319" t="s">
        <v>319</v>
      </c>
    </row>
    <row r="320" spans="1:7" x14ac:dyDescent="0.2">
      <c r="A320" t="s">
        <v>320</v>
      </c>
      <c r="B320" s="7">
        <v>8.6178195935353402E-7</v>
      </c>
      <c r="D320" t="s">
        <v>77</v>
      </c>
      <c r="E320" t="s">
        <v>548</v>
      </c>
      <c r="F320" t="s">
        <v>165</v>
      </c>
      <c r="G320" t="s">
        <v>320</v>
      </c>
    </row>
    <row r="321" spans="1:7" x14ac:dyDescent="0.2">
      <c r="A321" t="s">
        <v>321</v>
      </c>
      <c r="B321" s="7">
        <v>6.1020585941803032E-7</v>
      </c>
      <c r="D321" t="s">
        <v>77</v>
      </c>
      <c r="E321" t="s">
        <v>548</v>
      </c>
      <c r="F321" t="s">
        <v>165</v>
      </c>
      <c r="G321" t="s">
        <v>321</v>
      </c>
    </row>
    <row r="322" spans="1:7" x14ac:dyDescent="0.2">
      <c r="A322" t="s">
        <v>322</v>
      </c>
      <c r="B322" s="7">
        <v>3.960985403239846E-7</v>
      </c>
      <c r="D322" t="s">
        <v>77</v>
      </c>
      <c r="E322" t="s">
        <v>548</v>
      </c>
      <c r="F322" t="s">
        <v>165</v>
      </c>
      <c r="G322" t="s">
        <v>322</v>
      </c>
    </row>
    <row r="323" spans="1:7" x14ac:dyDescent="0.2">
      <c r="A323" t="s">
        <v>323</v>
      </c>
      <c r="B323" s="7">
        <v>3.9074585734663338E-6</v>
      </c>
      <c r="D323" t="s">
        <v>77</v>
      </c>
      <c r="E323" t="s">
        <v>548</v>
      </c>
      <c r="F323" t="s">
        <v>165</v>
      </c>
      <c r="G323" t="s">
        <v>323</v>
      </c>
    </row>
    <row r="324" spans="1:7" x14ac:dyDescent="0.2">
      <c r="A324" t="s">
        <v>324</v>
      </c>
      <c r="B324" s="7">
        <v>2.0447248973481361E-6</v>
      </c>
      <c r="D324" t="s">
        <v>77</v>
      </c>
      <c r="E324" t="s">
        <v>548</v>
      </c>
      <c r="F324" t="s">
        <v>165</v>
      </c>
      <c r="G324" t="s">
        <v>324</v>
      </c>
    </row>
    <row r="325" spans="1:7" x14ac:dyDescent="0.2">
      <c r="A325" t="s">
        <v>325</v>
      </c>
      <c r="B325" s="7">
        <v>5.8879512750862572E-8</v>
      </c>
      <c r="D325" t="s">
        <v>77</v>
      </c>
      <c r="E325" t="s">
        <v>548</v>
      </c>
      <c r="F325" t="s">
        <v>165</v>
      </c>
      <c r="G325" t="s">
        <v>325</v>
      </c>
    </row>
    <row r="326" spans="1:7" x14ac:dyDescent="0.2">
      <c r="A326" t="s">
        <v>326</v>
      </c>
      <c r="B326" s="7">
        <v>5.877245909131555E-6</v>
      </c>
      <c r="D326" t="s">
        <v>77</v>
      </c>
      <c r="E326" t="s">
        <v>548</v>
      </c>
      <c r="F326" t="s">
        <v>165</v>
      </c>
      <c r="G326" t="s">
        <v>326</v>
      </c>
    </row>
    <row r="327" spans="1:7" x14ac:dyDescent="0.2">
      <c r="A327" t="s">
        <v>327</v>
      </c>
      <c r="B327" s="7">
        <v>2.9065068567016706E-6</v>
      </c>
      <c r="D327" t="s">
        <v>77</v>
      </c>
      <c r="E327" t="s">
        <v>548</v>
      </c>
      <c r="F327" t="s">
        <v>165</v>
      </c>
      <c r="G327" t="s">
        <v>327</v>
      </c>
    </row>
    <row r="328" spans="1:7" x14ac:dyDescent="0.2">
      <c r="A328" t="s">
        <v>328</v>
      </c>
      <c r="B328" s="7">
        <v>1.2097063528813583E-6</v>
      </c>
      <c r="D328" t="s">
        <v>77</v>
      </c>
      <c r="E328" t="s">
        <v>548</v>
      </c>
      <c r="F328" t="s">
        <v>165</v>
      </c>
      <c r="G328" t="s">
        <v>328</v>
      </c>
    </row>
    <row r="329" spans="1:7" x14ac:dyDescent="0.2">
      <c r="A329" t="s">
        <v>329</v>
      </c>
      <c r="B329" s="7">
        <v>9.0995610614969421E-7</v>
      </c>
      <c r="D329" t="s">
        <v>77</v>
      </c>
      <c r="E329" t="s">
        <v>548</v>
      </c>
      <c r="F329" t="s">
        <v>165</v>
      </c>
      <c r="G329" t="s">
        <v>329</v>
      </c>
    </row>
    <row r="330" spans="1:7" x14ac:dyDescent="0.2">
      <c r="A330" t="s">
        <v>330</v>
      </c>
      <c r="B330" s="7">
        <v>4.0145122330133565E-7</v>
      </c>
      <c r="D330" t="s">
        <v>77</v>
      </c>
      <c r="E330" t="s">
        <v>548</v>
      </c>
      <c r="F330" t="s">
        <v>165</v>
      </c>
      <c r="G330" t="s">
        <v>330</v>
      </c>
    </row>
    <row r="331" spans="1:7" x14ac:dyDescent="0.2">
      <c r="A331" t="s">
        <v>331</v>
      </c>
      <c r="B331" s="7">
        <v>1.1775902550172514E-7</v>
      </c>
      <c r="D331" t="s">
        <v>77</v>
      </c>
      <c r="E331" t="s">
        <v>548</v>
      </c>
      <c r="F331" t="s">
        <v>165</v>
      </c>
      <c r="G331" t="s">
        <v>331</v>
      </c>
    </row>
    <row r="332" spans="1:7" x14ac:dyDescent="0.2">
      <c r="A332" t="s">
        <v>332</v>
      </c>
      <c r="B332" s="7">
        <v>3.2651366161841968E-7</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1.017009765696717E-7</v>
      </c>
      <c r="D334" t="s">
        <v>77</v>
      </c>
      <c r="E334" t="s">
        <v>548</v>
      </c>
      <c r="F334" t="s">
        <v>165</v>
      </c>
      <c r="G334" t="s">
        <v>333</v>
      </c>
    </row>
    <row r="335" spans="1:7" x14ac:dyDescent="0.2">
      <c r="A335" t="s">
        <v>334</v>
      </c>
      <c r="B335" s="7">
        <v>5.4062098071246539E-7</v>
      </c>
      <c r="D335" t="s">
        <v>77</v>
      </c>
      <c r="E335" t="s">
        <v>548</v>
      </c>
      <c r="F335" t="s">
        <v>165</v>
      </c>
      <c r="G335" t="s">
        <v>334</v>
      </c>
    </row>
    <row r="336" spans="1:7" x14ac:dyDescent="0.2">
      <c r="A336" t="s">
        <v>343</v>
      </c>
      <c r="B336" s="7">
        <v>8.2354143428958587E-10</v>
      </c>
      <c r="D336" t="s">
        <v>77</v>
      </c>
      <c r="E336" t="s">
        <v>548</v>
      </c>
      <c r="F336" t="s">
        <v>165</v>
      </c>
      <c r="G336" t="s">
        <v>336</v>
      </c>
    </row>
    <row r="337" spans="1:8" x14ac:dyDescent="0.2">
      <c r="A337" t="s">
        <v>337</v>
      </c>
      <c r="B337" s="7">
        <v>7.0994951231860852E-12</v>
      </c>
      <c r="D337" t="s">
        <v>77</v>
      </c>
      <c r="E337" t="s">
        <v>548</v>
      </c>
      <c r="F337" t="s">
        <v>165</v>
      </c>
      <c r="G337" t="s">
        <v>337</v>
      </c>
    </row>
    <row r="338" spans="1:8" x14ac:dyDescent="0.2">
      <c r="A338" t="s">
        <v>338</v>
      </c>
      <c r="B338" s="7">
        <v>4.7329967487907232E-12</v>
      </c>
      <c r="D338" t="s">
        <v>77</v>
      </c>
      <c r="E338" t="s">
        <v>548</v>
      </c>
      <c r="F338" t="s">
        <v>165</v>
      </c>
      <c r="G338" t="s">
        <v>338</v>
      </c>
    </row>
    <row r="339" spans="1:8" x14ac:dyDescent="0.2">
      <c r="A339" t="s">
        <v>339</v>
      </c>
      <c r="B339" s="7">
        <v>5.1116364886939815E-8</v>
      </c>
      <c r="D339" t="s">
        <v>77</v>
      </c>
      <c r="E339" t="s">
        <v>548</v>
      </c>
      <c r="F339" t="s">
        <v>165</v>
      </c>
      <c r="G339" t="s">
        <v>339</v>
      </c>
    </row>
    <row r="340" spans="1:8" x14ac:dyDescent="0.2">
      <c r="A340" t="s">
        <v>297</v>
      </c>
      <c r="B340" s="7">
        <v>9.9392931724605184E-10</v>
      </c>
      <c r="D340" t="s">
        <v>77</v>
      </c>
      <c r="E340" t="s">
        <v>548</v>
      </c>
      <c r="F340" t="s">
        <v>165</v>
      </c>
      <c r="G340" t="s">
        <v>297</v>
      </c>
    </row>
    <row r="341" spans="1:8" x14ac:dyDescent="0.2">
      <c r="A341" t="s">
        <v>299</v>
      </c>
      <c r="B341" s="7">
        <v>3.0764478867139705E-10</v>
      </c>
      <c r="D341" t="s">
        <v>77</v>
      </c>
      <c r="E341" t="s">
        <v>548</v>
      </c>
      <c r="F341" t="s">
        <v>165</v>
      </c>
      <c r="G341" t="s">
        <v>299</v>
      </c>
    </row>
    <row r="342" spans="1:8" x14ac:dyDescent="0.2">
      <c r="A342" t="s">
        <v>298</v>
      </c>
      <c r="B342" s="7">
        <v>3.786397399032579E-10</v>
      </c>
      <c r="D342" t="s">
        <v>77</v>
      </c>
      <c r="E342" t="s">
        <v>548</v>
      </c>
      <c r="F342" t="s">
        <v>165</v>
      </c>
      <c r="G342" t="s">
        <v>298</v>
      </c>
    </row>
    <row r="343" spans="1:8" x14ac:dyDescent="0.2">
      <c r="A343" t="s">
        <v>342</v>
      </c>
      <c r="B343" s="7">
        <v>7.5727947980651569E-13</v>
      </c>
      <c r="D343" t="s">
        <v>77</v>
      </c>
      <c r="E343" t="s">
        <v>548</v>
      </c>
      <c r="F343" t="s">
        <v>165</v>
      </c>
      <c r="G343" t="s">
        <v>342</v>
      </c>
    </row>
    <row r="344" spans="1:8" x14ac:dyDescent="0.2">
      <c r="A344" t="s">
        <v>340</v>
      </c>
      <c r="B344" s="7">
        <v>2.0588535857239647E-10</v>
      </c>
      <c r="D344" t="s">
        <v>77</v>
      </c>
      <c r="E344" t="s">
        <v>548</v>
      </c>
      <c r="F344" t="s">
        <v>165</v>
      </c>
      <c r="G344" t="s">
        <v>340</v>
      </c>
    </row>
    <row r="345" spans="1:8" x14ac:dyDescent="0.2">
      <c r="A345" t="s">
        <v>341</v>
      </c>
      <c r="B345" s="7">
        <v>2.5558182443469911E-10</v>
      </c>
      <c r="D345" t="s">
        <v>77</v>
      </c>
      <c r="E345" t="s">
        <v>548</v>
      </c>
      <c r="F345" t="s">
        <v>165</v>
      </c>
      <c r="G345" t="s">
        <v>341</v>
      </c>
    </row>
    <row r="346" spans="1:8" x14ac:dyDescent="0.2">
      <c r="A346" t="s">
        <v>157</v>
      </c>
      <c r="B346" s="7">
        <v>-7.5010320003631441E-6</v>
      </c>
      <c r="C346" t="s">
        <v>92</v>
      </c>
      <c r="D346" t="s">
        <v>77</v>
      </c>
      <c r="F346" t="s">
        <v>89</v>
      </c>
      <c r="G346" t="s">
        <v>29</v>
      </c>
      <c r="H346" t="s">
        <v>159</v>
      </c>
    </row>
    <row r="347" spans="1:8" x14ac:dyDescent="0.2">
      <c r="A347" t="s">
        <v>158</v>
      </c>
      <c r="B347" s="7">
        <v>-5.7255953221129413E-6</v>
      </c>
      <c r="C347" t="s">
        <v>92</v>
      </c>
      <c r="D347" t="s">
        <v>77</v>
      </c>
      <c r="F347" t="s">
        <v>89</v>
      </c>
      <c r="G347" t="s">
        <v>30</v>
      </c>
      <c r="H347" t="s">
        <v>160</v>
      </c>
    </row>
    <row r="348" spans="1:8" x14ac:dyDescent="0.2">
      <c r="A348" t="s">
        <v>166</v>
      </c>
      <c r="B348" s="7">
        <v>-4.0951102276429758E-6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420"/>
  <sheetViews>
    <sheetView topLeftCell="A273" workbookViewId="0">
      <selection activeCell="G298" sqref="G298"/>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395</v>
      </c>
    </row>
    <row r="2" spans="1:2" x14ac:dyDescent="0.2">
      <c r="A2" t="s">
        <v>72</v>
      </c>
      <c r="B2" t="s">
        <v>37</v>
      </c>
    </row>
    <row r="3" spans="1:2" x14ac:dyDescent="0.2">
      <c r="A3" t="s">
        <v>86</v>
      </c>
      <c r="B3" t="s">
        <v>395</v>
      </c>
    </row>
    <row r="4" spans="1:2" x14ac:dyDescent="0.2">
      <c r="A4" t="s">
        <v>87</v>
      </c>
    </row>
    <row r="5" spans="1:2" x14ac:dyDescent="0.2">
      <c r="A5" t="s">
        <v>88</v>
      </c>
      <c r="B5">
        <v>2006</v>
      </c>
    </row>
    <row r="6" spans="1:2" x14ac:dyDescent="0.2">
      <c r="A6" t="s">
        <v>124</v>
      </c>
      <c r="B6" t="s">
        <v>398</v>
      </c>
    </row>
    <row r="7" spans="1:2" x14ac:dyDescent="0.2">
      <c r="A7" t="s">
        <v>73</v>
      </c>
      <c r="B7" t="s">
        <v>395</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0</v>
      </c>
    </row>
    <row r="15" spans="1:2" x14ac:dyDescent="0.2">
      <c r="A15" t="s">
        <v>129</v>
      </c>
      <c r="B15">
        <v>2405</v>
      </c>
    </row>
    <row r="16" spans="1:2" x14ac:dyDescent="0.2">
      <c r="A16" t="s">
        <v>130</v>
      </c>
      <c r="B16" s="2">
        <v>159.98750000000001</v>
      </c>
    </row>
    <row r="17" spans="1:8" x14ac:dyDescent="0.2">
      <c r="A17" t="s">
        <v>131</v>
      </c>
      <c r="B17">
        <v>20</v>
      </c>
    </row>
    <row r="18" spans="1:8" x14ac:dyDescent="0.2">
      <c r="A18" t="s">
        <v>132</v>
      </c>
      <c r="B18" t="s">
        <v>85</v>
      </c>
    </row>
    <row r="19" spans="1:8" x14ac:dyDescent="0.2">
      <c r="A19" t="s">
        <v>133</v>
      </c>
      <c r="B19">
        <v>0</v>
      </c>
    </row>
    <row r="20" spans="1:8" x14ac:dyDescent="0.2">
      <c r="A20" t="s">
        <v>136</v>
      </c>
      <c r="B20" s="2">
        <v>133.125</v>
      </c>
    </row>
    <row r="21" spans="1:8" x14ac:dyDescent="0.2">
      <c r="A21" t="s">
        <v>137</v>
      </c>
      <c r="B21">
        <v>11.25</v>
      </c>
    </row>
    <row r="22" spans="1:8" x14ac:dyDescent="0.2">
      <c r="A22" t="s">
        <v>134</v>
      </c>
      <c r="B22" s="2">
        <v>322.02291022423861</v>
      </c>
    </row>
    <row r="23" spans="1:8" x14ac:dyDescent="0.2">
      <c r="A23" t="s">
        <v>135</v>
      </c>
      <c r="B23" t="s">
        <v>139</v>
      </c>
    </row>
    <row r="24" spans="1:8" ht="15" customHeight="1"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858</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395</v>
      </c>
      <c r="B31">
        <v>1</v>
      </c>
      <c r="C31" t="s">
        <v>37</v>
      </c>
      <c r="D31" t="s">
        <v>76</v>
      </c>
      <c r="F31" t="s">
        <v>84</v>
      </c>
      <c r="G31" t="s">
        <v>85</v>
      </c>
      <c r="H31" t="s">
        <v>395</v>
      </c>
    </row>
    <row r="32" spans="1:8" x14ac:dyDescent="0.2">
      <c r="A32" t="s">
        <v>112</v>
      </c>
      <c r="B32" s="6">
        <v>0.9</v>
      </c>
      <c r="C32" t="s">
        <v>92</v>
      </c>
      <c r="D32" t="s">
        <v>76</v>
      </c>
      <c r="F32" t="s">
        <v>89</v>
      </c>
      <c r="G32" t="s">
        <v>15</v>
      </c>
      <c r="H32" t="s">
        <v>113</v>
      </c>
    </row>
    <row r="33" spans="1:8" x14ac:dyDescent="0.2">
      <c r="A33" t="s">
        <v>112</v>
      </c>
      <c r="B33" s="6">
        <v>0.68888888888888888</v>
      </c>
      <c r="C33" t="s">
        <v>92</v>
      </c>
      <c r="D33" t="s">
        <v>76</v>
      </c>
      <c r="F33" t="s">
        <v>89</v>
      </c>
      <c r="G33" t="s">
        <v>16</v>
      </c>
      <c r="H33" t="s">
        <v>113</v>
      </c>
    </row>
    <row r="34" spans="1:8" x14ac:dyDescent="0.2">
      <c r="A34" t="s">
        <v>114</v>
      </c>
      <c r="B34" s="6">
        <v>1.6875</v>
      </c>
      <c r="C34" t="s">
        <v>92</v>
      </c>
      <c r="D34" t="s">
        <v>77</v>
      </c>
      <c r="F34" t="s">
        <v>89</v>
      </c>
      <c r="G34" t="s">
        <v>24</v>
      </c>
      <c r="H34" t="s">
        <v>115</v>
      </c>
    </row>
    <row r="35" spans="1:8" x14ac:dyDescent="0.2">
      <c r="A35" t="s">
        <v>199</v>
      </c>
      <c r="B35" s="6">
        <v>1.6976861167002013</v>
      </c>
      <c r="C35" t="s">
        <v>92</v>
      </c>
      <c r="D35" t="s">
        <v>77</v>
      </c>
      <c r="F35" t="s">
        <v>89</v>
      </c>
      <c r="G35" t="s">
        <v>422</v>
      </c>
      <c r="H35" t="s">
        <v>199</v>
      </c>
    </row>
    <row r="36" spans="1:8" x14ac:dyDescent="0.2">
      <c r="A36" s="13" t="s">
        <v>549</v>
      </c>
      <c r="B36" s="2">
        <v>159.98750000000001</v>
      </c>
      <c r="C36" t="s">
        <v>92</v>
      </c>
      <c r="D36" t="s">
        <v>193</v>
      </c>
      <c r="F36" t="s">
        <v>89</v>
      </c>
      <c r="H36" s="13" t="s">
        <v>550</v>
      </c>
    </row>
    <row r="37" spans="1:8" x14ac:dyDescent="0.2">
      <c r="A37" s="13" t="s">
        <v>216</v>
      </c>
      <c r="B37" s="2">
        <v>2543.80125</v>
      </c>
      <c r="C37" t="s">
        <v>95</v>
      </c>
      <c r="D37" t="s">
        <v>193</v>
      </c>
      <c r="F37" t="s">
        <v>89</v>
      </c>
      <c r="H37" s="13" t="s">
        <v>216</v>
      </c>
    </row>
    <row r="38" spans="1:8" x14ac:dyDescent="0.2">
      <c r="B38" s="11"/>
    </row>
    <row r="39" spans="1:8" ht="16" x14ac:dyDescent="0.2">
      <c r="A39" s="10" t="s">
        <v>71</v>
      </c>
      <c r="B39" s="8" t="s">
        <v>396</v>
      </c>
    </row>
    <row r="40" spans="1:8" x14ac:dyDescent="0.2">
      <c r="A40" t="s">
        <v>72</v>
      </c>
      <c r="B40" t="s">
        <v>37</v>
      </c>
    </row>
    <row r="41" spans="1:8" x14ac:dyDescent="0.2">
      <c r="A41" t="s">
        <v>86</v>
      </c>
      <c r="B41" t="s">
        <v>396</v>
      </c>
    </row>
    <row r="42" spans="1:8" x14ac:dyDescent="0.2">
      <c r="A42" t="s">
        <v>87</v>
      </c>
    </row>
    <row r="43" spans="1:8" x14ac:dyDescent="0.2">
      <c r="A43" t="s">
        <v>88</v>
      </c>
      <c r="B43">
        <v>2016</v>
      </c>
    </row>
    <row r="44" spans="1:8" x14ac:dyDescent="0.2">
      <c r="A44" t="s">
        <v>124</v>
      </c>
      <c r="B44" t="s">
        <v>399</v>
      </c>
    </row>
    <row r="45" spans="1:8" x14ac:dyDescent="0.2">
      <c r="A45" t="s">
        <v>73</v>
      </c>
      <c r="B45" t="s">
        <v>396</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38500</v>
      </c>
    </row>
    <row r="50" spans="1:2" x14ac:dyDescent="0.2">
      <c r="A50" t="s">
        <v>126</v>
      </c>
      <c r="B50">
        <v>1.1000000000000001</v>
      </c>
    </row>
    <row r="51" spans="1:2" x14ac:dyDescent="0.2">
      <c r="A51" t="s">
        <v>127</v>
      </c>
      <c r="B51">
        <v>1.54</v>
      </c>
    </row>
    <row r="52" spans="1:2" x14ac:dyDescent="0.2">
      <c r="A52" t="s">
        <v>128</v>
      </c>
      <c r="B52">
        <v>0</v>
      </c>
    </row>
    <row r="53" spans="1:2" x14ac:dyDescent="0.2">
      <c r="A53" t="s">
        <v>129</v>
      </c>
      <c r="B53">
        <v>2405</v>
      </c>
    </row>
    <row r="54" spans="1:2" x14ac:dyDescent="0.2">
      <c r="A54" t="s">
        <v>130</v>
      </c>
      <c r="B54" s="2">
        <v>157.5575</v>
      </c>
    </row>
    <row r="55" spans="1:2" x14ac:dyDescent="0.2">
      <c r="A55" t="s">
        <v>131</v>
      </c>
      <c r="B55">
        <v>20</v>
      </c>
    </row>
    <row r="56" spans="1:2" x14ac:dyDescent="0.2">
      <c r="A56" t="s">
        <v>132</v>
      </c>
      <c r="B56" t="s">
        <v>85</v>
      </c>
    </row>
    <row r="57" spans="1:2" x14ac:dyDescent="0.2">
      <c r="A57" t="s">
        <v>133</v>
      </c>
      <c r="B57">
        <v>0</v>
      </c>
    </row>
    <row r="58" spans="1:2" x14ac:dyDescent="0.2">
      <c r="A58" t="s">
        <v>136</v>
      </c>
      <c r="B58" s="2">
        <v>133.125</v>
      </c>
    </row>
    <row r="59" spans="1:2" x14ac:dyDescent="0.2">
      <c r="A59" t="s">
        <v>137</v>
      </c>
      <c r="B59">
        <v>11.25</v>
      </c>
    </row>
    <row r="60" spans="1:2" x14ac:dyDescent="0.2">
      <c r="A60" t="s">
        <v>134</v>
      </c>
      <c r="B60" s="2">
        <v>325.24313932648096</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859</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396</v>
      </c>
      <c r="B69">
        <v>1</v>
      </c>
      <c r="C69" t="s">
        <v>37</v>
      </c>
      <c r="D69" t="s">
        <v>76</v>
      </c>
      <c r="F69" t="s">
        <v>84</v>
      </c>
      <c r="G69" t="s">
        <v>85</v>
      </c>
      <c r="H69" t="s">
        <v>396</v>
      </c>
    </row>
    <row r="70" spans="1:8" x14ac:dyDescent="0.2">
      <c r="A70" t="s">
        <v>112</v>
      </c>
      <c r="B70" s="6">
        <v>0.9</v>
      </c>
      <c r="C70" t="s">
        <v>92</v>
      </c>
      <c r="D70" t="s">
        <v>76</v>
      </c>
      <c r="F70" t="s">
        <v>89</v>
      </c>
      <c r="G70" t="s">
        <v>15</v>
      </c>
      <c r="H70" t="s">
        <v>113</v>
      </c>
    </row>
    <row r="71" spans="1:8" x14ac:dyDescent="0.2">
      <c r="A71" t="s">
        <v>112</v>
      </c>
      <c r="B71" s="6">
        <v>0.68888888888888888</v>
      </c>
      <c r="C71" t="s">
        <v>92</v>
      </c>
      <c r="D71" t="s">
        <v>76</v>
      </c>
      <c r="F71" t="s">
        <v>89</v>
      </c>
      <c r="G71" t="s">
        <v>16</v>
      </c>
      <c r="H71" t="s">
        <v>113</v>
      </c>
    </row>
    <row r="72" spans="1:8" x14ac:dyDescent="0.2">
      <c r="A72" t="s">
        <v>114</v>
      </c>
      <c r="B72" s="6">
        <v>1.6875</v>
      </c>
      <c r="C72" t="s">
        <v>92</v>
      </c>
      <c r="D72" t="s">
        <v>77</v>
      </c>
      <c r="F72" t="s">
        <v>89</v>
      </c>
      <c r="G72" t="s">
        <v>24</v>
      </c>
      <c r="H72" t="s">
        <v>115</v>
      </c>
    </row>
    <row r="73" spans="1:8" x14ac:dyDescent="0.2">
      <c r="A73" t="s">
        <v>199</v>
      </c>
      <c r="B73" s="6">
        <v>1.6976861167002013</v>
      </c>
      <c r="C73" t="s">
        <v>92</v>
      </c>
      <c r="D73" t="s">
        <v>77</v>
      </c>
      <c r="F73" t="s">
        <v>89</v>
      </c>
      <c r="G73" t="s">
        <v>422</v>
      </c>
      <c r="H73" t="s">
        <v>199</v>
      </c>
    </row>
    <row r="74" spans="1:8" x14ac:dyDescent="0.2">
      <c r="A74" s="13" t="s">
        <v>549</v>
      </c>
      <c r="B74" s="2">
        <v>157.5575</v>
      </c>
      <c r="C74" t="s">
        <v>92</v>
      </c>
      <c r="D74" t="s">
        <v>193</v>
      </c>
      <c r="F74" t="s">
        <v>89</v>
      </c>
      <c r="H74" s="13" t="s">
        <v>550</v>
      </c>
    </row>
    <row r="75" spans="1:8" x14ac:dyDescent="0.2">
      <c r="A75" s="13" t="s">
        <v>216</v>
      </c>
      <c r="B75" s="2">
        <v>2505.1642500000003</v>
      </c>
      <c r="C75" t="s">
        <v>95</v>
      </c>
      <c r="D75" t="s">
        <v>193</v>
      </c>
      <c r="F75" t="s">
        <v>89</v>
      </c>
      <c r="H75" s="13" t="s">
        <v>216</v>
      </c>
    </row>
    <row r="77" spans="1:8" ht="16" x14ac:dyDescent="0.2">
      <c r="A77" s="10" t="s">
        <v>71</v>
      </c>
      <c r="B77" s="8" t="s">
        <v>397</v>
      </c>
    </row>
    <row r="78" spans="1:8" x14ac:dyDescent="0.2">
      <c r="A78" t="s">
        <v>72</v>
      </c>
      <c r="B78" t="s">
        <v>37</v>
      </c>
    </row>
    <row r="79" spans="1:8" x14ac:dyDescent="0.2">
      <c r="A79" t="s">
        <v>86</v>
      </c>
      <c r="B79" t="s">
        <v>397</v>
      </c>
    </row>
    <row r="80" spans="1:8" x14ac:dyDescent="0.2">
      <c r="A80" t="s">
        <v>87</v>
      </c>
    </row>
    <row r="81" spans="1:2" x14ac:dyDescent="0.2">
      <c r="A81" t="s">
        <v>88</v>
      </c>
      <c r="B81">
        <v>2020</v>
      </c>
    </row>
    <row r="82" spans="1:2" x14ac:dyDescent="0.2">
      <c r="A82" t="s">
        <v>124</v>
      </c>
      <c r="B82" t="s">
        <v>400</v>
      </c>
    </row>
    <row r="83" spans="1:2" x14ac:dyDescent="0.2">
      <c r="A83" t="s">
        <v>73</v>
      </c>
      <c r="B83" t="s">
        <v>397</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38500</v>
      </c>
    </row>
    <row r="88" spans="1:2" x14ac:dyDescent="0.2">
      <c r="A88" t="s">
        <v>126</v>
      </c>
      <c r="B88">
        <v>1.1000000000000001</v>
      </c>
    </row>
    <row r="89" spans="1:2" x14ac:dyDescent="0.2">
      <c r="A89" t="s">
        <v>127</v>
      </c>
      <c r="B89">
        <v>1.54</v>
      </c>
    </row>
    <row r="90" spans="1:2" x14ac:dyDescent="0.2">
      <c r="A90" t="s">
        <v>128</v>
      </c>
      <c r="B90">
        <v>0</v>
      </c>
    </row>
    <row r="91" spans="1:2" x14ac:dyDescent="0.2">
      <c r="A91" t="s">
        <v>129</v>
      </c>
      <c r="B91">
        <v>2405</v>
      </c>
    </row>
    <row r="92" spans="1:2" x14ac:dyDescent="0.2">
      <c r="A92" t="s">
        <v>130</v>
      </c>
      <c r="B92" s="2">
        <v>155.9375</v>
      </c>
    </row>
    <row r="93" spans="1:2" x14ac:dyDescent="0.2">
      <c r="A93" t="s">
        <v>131</v>
      </c>
      <c r="B93">
        <v>20</v>
      </c>
    </row>
    <row r="94" spans="1:2" x14ac:dyDescent="0.2">
      <c r="A94" t="s">
        <v>132</v>
      </c>
      <c r="B94" t="s">
        <v>85</v>
      </c>
    </row>
    <row r="95" spans="1:2" x14ac:dyDescent="0.2">
      <c r="A95" t="s">
        <v>133</v>
      </c>
      <c r="B95">
        <v>0</v>
      </c>
    </row>
    <row r="96" spans="1:2" x14ac:dyDescent="0.2">
      <c r="A96" t="s">
        <v>136</v>
      </c>
      <c r="B96" s="2">
        <v>133.125</v>
      </c>
    </row>
    <row r="97" spans="1:8" x14ac:dyDescent="0.2">
      <c r="A97" t="s">
        <v>137</v>
      </c>
      <c r="B97">
        <v>11.25</v>
      </c>
    </row>
    <row r="98" spans="1:8" x14ac:dyDescent="0.2">
      <c r="A98" t="s">
        <v>134</v>
      </c>
      <c r="B98" s="2">
        <v>328.52842356210198</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860</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397</v>
      </c>
      <c r="B107">
        <v>1</v>
      </c>
      <c r="C107" t="s">
        <v>37</v>
      </c>
      <c r="D107" t="s">
        <v>76</v>
      </c>
      <c r="F107" t="s">
        <v>84</v>
      </c>
      <c r="G107" t="s">
        <v>85</v>
      </c>
      <c r="H107" t="s">
        <v>397</v>
      </c>
    </row>
    <row r="108" spans="1:8" x14ac:dyDescent="0.2">
      <c r="A108" t="s">
        <v>112</v>
      </c>
      <c r="B108" s="6">
        <v>0.9</v>
      </c>
      <c r="C108" t="s">
        <v>92</v>
      </c>
      <c r="D108" t="s">
        <v>76</v>
      </c>
      <c r="F108" t="s">
        <v>89</v>
      </c>
      <c r="G108" t="s">
        <v>15</v>
      </c>
      <c r="H108" t="s">
        <v>113</v>
      </c>
    </row>
    <row r="109" spans="1:8" x14ac:dyDescent="0.2">
      <c r="A109" t="s">
        <v>112</v>
      </c>
      <c r="B109" s="6">
        <v>0.68888888888888888</v>
      </c>
      <c r="C109" t="s">
        <v>92</v>
      </c>
      <c r="D109" t="s">
        <v>76</v>
      </c>
      <c r="F109" t="s">
        <v>89</v>
      </c>
      <c r="G109" t="s">
        <v>16</v>
      </c>
      <c r="H109" t="s">
        <v>113</v>
      </c>
    </row>
    <row r="110" spans="1:8" x14ac:dyDescent="0.2">
      <c r="A110" t="s">
        <v>114</v>
      </c>
      <c r="B110" s="6">
        <v>1.6875</v>
      </c>
      <c r="C110" t="s">
        <v>92</v>
      </c>
      <c r="D110" t="s">
        <v>77</v>
      </c>
      <c r="F110" t="s">
        <v>89</v>
      </c>
      <c r="G110" t="s">
        <v>24</v>
      </c>
      <c r="H110" t="s">
        <v>115</v>
      </c>
    </row>
    <row r="111" spans="1:8" x14ac:dyDescent="0.2">
      <c r="A111" t="s">
        <v>199</v>
      </c>
      <c r="B111" s="6">
        <v>1.6976861167002013</v>
      </c>
      <c r="C111" t="s">
        <v>92</v>
      </c>
      <c r="D111" t="s">
        <v>77</v>
      </c>
      <c r="F111" t="s">
        <v>89</v>
      </c>
      <c r="G111" t="s">
        <v>422</v>
      </c>
      <c r="H111" t="s">
        <v>199</v>
      </c>
    </row>
    <row r="112" spans="1:8" x14ac:dyDescent="0.2">
      <c r="A112" s="13" t="s">
        <v>549</v>
      </c>
      <c r="B112" s="2">
        <v>155.9375</v>
      </c>
      <c r="C112" t="s">
        <v>92</v>
      </c>
      <c r="D112" t="s">
        <v>193</v>
      </c>
      <c r="F112" t="s">
        <v>89</v>
      </c>
      <c r="H112" s="13" t="s">
        <v>550</v>
      </c>
    </row>
    <row r="113" spans="1:8" x14ac:dyDescent="0.2">
      <c r="A113" s="13" t="s">
        <v>216</v>
      </c>
      <c r="B113" s="2">
        <v>2479.40625</v>
      </c>
      <c r="C113" t="s">
        <v>95</v>
      </c>
      <c r="D113" t="s">
        <v>193</v>
      </c>
      <c r="F113" t="s">
        <v>89</v>
      </c>
      <c r="H113" s="13" t="s">
        <v>216</v>
      </c>
    </row>
    <row r="116" spans="1:8" ht="16" x14ac:dyDescent="0.2">
      <c r="A116" s="10" t="s">
        <v>71</v>
      </c>
      <c r="B116" s="8" t="s">
        <v>861</v>
      </c>
    </row>
    <row r="117" spans="1:8" x14ac:dyDescent="0.2">
      <c r="A117" t="s">
        <v>72</v>
      </c>
      <c r="B117" t="s">
        <v>37</v>
      </c>
    </row>
    <row r="118" spans="1:8" x14ac:dyDescent="0.2">
      <c r="A118" t="s">
        <v>86</v>
      </c>
      <c r="B118" t="s">
        <v>395</v>
      </c>
    </row>
    <row r="119" spans="1:8" x14ac:dyDescent="0.2">
      <c r="A119" t="s">
        <v>87</v>
      </c>
    </row>
    <row r="120" spans="1:8" x14ac:dyDescent="0.2">
      <c r="A120" t="s">
        <v>88</v>
      </c>
      <c r="B120">
        <v>2006</v>
      </c>
    </row>
    <row r="121" spans="1:8" x14ac:dyDescent="0.2">
      <c r="A121" t="s">
        <v>124</v>
      </c>
      <c r="B121" t="s">
        <v>398</v>
      </c>
    </row>
    <row r="122" spans="1:8" x14ac:dyDescent="0.2">
      <c r="A122" t="s">
        <v>73</v>
      </c>
      <c r="B122" t="s">
        <v>861</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38500</v>
      </c>
    </row>
    <row r="127" spans="1:8" x14ac:dyDescent="0.2">
      <c r="A127" t="s">
        <v>126</v>
      </c>
      <c r="B127">
        <v>1.1000000000000001</v>
      </c>
    </row>
    <row r="128" spans="1:8" x14ac:dyDescent="0.2">
      <c r="A128" t="s">
        <v>127</v>
      </c>
      <c r="B128">
        <v>1.54</v>
      </c>
    </row>
    <row r="129" spans="1:8" x14ac:dyDescent="0.2">
      <c r="A129" t="s">
        <v>128</v>
      </c>
      <c r="B129">
        <v>0</v>
      </c>
    </row>
    <row r="130" spans="1:8" x14ac:dyDescent="0.2">
      <c r="A130" t="s">
        <v>129</v>
      </c>
      <c r="B130">
        <v>2405</v>
      </c>
    </row>
    <row r="131" spans="1:8" x14ac:dyDescent="0.2">
      <c r="A131" t="s">
        <v>130</v>
      </c>
      <c r="B131" s="2">
        <v>159.98750000000001</v>
      </c>
    </row>
    <row r="132" spans="1:8" x14ac:dyDescent="0.2">
      <c r="A132" t="s">
        <v>131</v>
      </c>
      <c r="B132">
        <v>20</v>
      </c>
    </row>
    <row r="133" spans="1:8" x14ac:dyDescent="0.2">
      <c r="A133" t="s">
        <v>132</v>
      </c>
      <c r="B133" t="s">
        <v>85</v>
      </c>
    </row>
    <row r="134" spans="1:8" x14ac:dyDescent="0.2">
      <c r="A134" t="s">
        <v>133</v>
      </c>
      <c r="B134">
        <v>0</v>
      </c>
    </row>
    <row r="135" spans="1:8" x14ac:dyDescent="0.2">
      <c r="A135" t="s">
        <v>136</v>
      </c>
      <c r="B135" s="2">
        <v>133.125</v>
      </c>
    </row>
    <row r="136" spans="1:8" x14ac:dyDescent="0.2">
      <c r="A136" t="s">
        <v>137</v>
      </c>
      <c r="B136">
        <v>11.25</v>
      </c>
    </row>
    <row r="137" spans="1:8" x14ac:dyDescent="0.2">
      <c r="A137" t="s">
        <v>134</v>
      </c>
      <c r="B137" s="2">
        <v>322.02291022423861</v>
      </c>
    </row>
    <row r="138" spans="1:8" x14ac:dyDescent="0.2">
      <c r="A138" t="s">
        <v>135</v>
      </c>
      <c r="B138" t="s">
        <v>139</v>
      </c>
    </row>
    <row r="139" spans="1:8" x14ac:dyDescent="0.2">
      <c r="A139" t="s">
        <v>796</v>
      </c>
      <c r="B139" s="6">
        <v>-0.05</v>
      </c>
    </row>
    <row r="140" spans="1:8" x14ac:dyDescent="0.2">
      <c r="A140" t="s">
        <v>83</v>
      </c>
      <c r="B140" t="s">
        <v>862</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861</v>
      </c>
      <c r="B143">
        <v>1</v>
      </c>
      <c r="C143" t="s">
        <v>37</v>
      </c>
      <c r="D143" t="s">
        <v>164</v>
      </c>
      <c r="F143" t="s">
        <v>84</v>
      </c>
      <c r="G143" t="s">
        <v>85</v>
      </c>
      <c r="H143" t="s">
        <v>861</v>
      </c>
    </row>
    <row r="144" spans="1:8" x14ac:dyDescent="0.2">
      <c r="A144" t="s">
        <v>395</v>
      </c>
      <c r="B144" s="7">
        <v>2.5974025974025975E-5</v>
      </c>
      <c r="C144" t="s">
        <v>37</v>
      </c>
      <c r="D144" t="s">
        <v>76</v>
      </c>
      <c r="F144" t="s">
        <v>89</v>
      </c>
      <c r="H144" t="s">
        <v>395</v>
      </c>
    </row>
    <row r="145" spans="1:8" x14ac:dyDescent="0.2">
      <c r="A145" t="s">
        <v>107</v>
      </c>
      <c r="B145" s="7">
        <v>1.334377875E-4</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557</v>
      </c>
      <c r="B148" s="7">
        <v>3.4935402553085845E-2</v>
      </c>
      <c r="C148" t="s">
        <v>37</v>
      </c>
      <c r="D148" t="s">
        <v>77</v>
      </c>
      <c r="F148" t="s">
        <v>89</v>
      </c>
      <c r="G148" t="s">
        <v>27</v>
      </c>
      <c r="H148" t="s">
        <v>558</v>
      </c>
    </row>
    <row r="149" spans="1:8" x14ac:dyDescent="0.2">
      <c r="A149" t="s">
        <v>152</v>
      </c>
      <c r="B149" s="11">
        <v>0.10838079804848928</v>
      </c>
      <c r="D149" t="s">
        <v>77</v>
      </c>
      <c r="E149" t="s">
        <v>548</v>
      </c>
      <c r="F149" t="s">
        <v>165</v>
      </c>
      <c r="G149" t="s">
        <v>66</v>
      </c>
    </row>
    <row r="150" spans="1:8" x14ac:dyDescent="0.2">
      <c r="A150" t="s">
        <v>554</v>
      </c>
      <c r="B150" s="11">
        <v>1.3163659682002746E-3</v>
      </c>
      <c r="D150" t="s">
        <v>77</v>
      </c>
      <c r="E150" t="s">
        <v>548</v>
      </c>
      <c r="F150" t="s">
        <v>165</v>
      </c>
      <c r="G150" t="s">
        <v>552</v>
      </c>
    </row>
    <row r="151" spans="1:8" x14ac:dyDescent="0.2">
      <c r="A151" t="s">
        <v>212</v>
      </c>
      <c r="B151" s="7">
        <v>5.589664408493735E-7</v>
      </c>
      <c r="D151" t="s">
        <v>77</v>
      </c>
      <c r="E151" t="s">
        <v>548</v>
      </c>
      <c r="F151" t="s">
        <v>165</v>
      </c>
      <c r="G151" t="s">
        <v>67</v>
      </c>
    </row>
    <row r="152" spans="1:8" x14ac:dyDescent="0.2">
      <c r="A152" t="s">
        <v>55</v>
      </c>
      <c r="B152" s="7">
        <v>5.4417962719780696E-6</v>
      </c>
      <c r="D152" t="s">
        <v>77</v>
      </c>
      <c r="E152" t="s">
        <v>548</v>
      </c>
      <c r="F152" t="s">
        <v>165</v>
      </c>
      <c r="G152" t="s">
        <v>55</v>
      </c>
    </row>
    <row r="153" spans="1:8" x14ac:dyDescent="0.2">
      <c r="A153" t="s">
        <v>153</v>
      </c>
      <c r="B153" s="7">
        <v>2.203769637337727E-5</v>
      </c>
      <c r="D153" t="s">
        <v>77</v>
      </c>
      <c r="E153" t="s">
        <v>548</v>
      </c>
      <c r="F153" t="s">
        <v>165</v>
      </c>
      <c r="G153" t="s">
        <v>56</v>
      </c>
    </row>
    <row r="154" spans="1:8" x14ac:dyDescent="0.2">
      <c r="A154" t="s">
        <v>154</v>
      </c>
      <c r="B154" s="7">
        <v>2.2122455045910314E-4</v>
      </c>
      <c r="D154" t="s">
        <v>77</v>
      </c>
      <c r="E154" t="s">
        <v>548</v>
      </c>
      <c r="F154" t="s">
        <v>165</v>
      </c>
      <c r="G154" t="s">
        <v>57</v>
      </c>
    </row>
    <row r="155" spans="1:8" x14ac:dyDescent="0.2">
      <c r="A155" t="s">
        <v>213</v>
      </c>
      <c r="B155" s="7">
        <v>6.627878608534517E-7</v>
      </c>
      <c r="D155" t="s">
        <v>77</v>
      </c>
      <c r="E155" t="s">
        <v>548</v>
      </c>
      <c r="F155" t="s">
        <v>165</v>
      </c>
      <c r="G155" t="s">
        <v>58</v>
      </c>
    </row>
    <row r="156" spans="1:8" x14ac:dyDescent="0.2">
      <c r="A156" t="s">
        <v>155</v>
      </c>
      <c r="B156" s="7">
        <v>6.627878608534517E-7</v>
      </c>
      <c r="D156" t="s">
        <v>77</v>
      </c>
      <c r="E156" t="s">
        <v>548</v>
      </c>
      <c r="F156" t="s">
        <v>165</v>
      </c>
      <c r="G156" t="s">
        <v>59</v>
      </c>
    </row>
    <row r="157" spans="1:8" x14ac:dyDescent="0.2">
      <c r="A157" t="s">
        <v>156</v>
      </c>
      <c r="B157" s="7">
        <v>2.6220817193601416E-5</v>
      </c>
      <c r="D157" t="s">
        <v>77</v>
      </c>
      <c r="E157" t="s">
        <v>548</v>
      </c>
      <c r="F157" t="s">
        <v>165</v>
      </c>
      <c r="G157" t="s">
        <v>60</v>
      </c>
    </row>
    <row r="158" spans="1:8" x14ac:dyDescent="0.2">
      <c r="A158" t="s">
        <v>214</v>
      </c>
      <c r="B158" s="7">
        <v>1.6569696521336294E-6</v>
      </c>
      <c r="D158" t="s">
        <v>77</v>
      </c>
      <c r="E158" t="s">
        <v>548</v>
      </c>
      <c r="F158" t="s">
        <v>165</v>
      </c>
      <c r="G158" t="s">
        <v>62</v>
      </c>
    </row>
    <row r="159" spans="1:8" x14ac:dyDescent="0.2">
      <c r="A159" t="s">
        <v>209</v>
      </c>
      <c r="B159" s="7">
        <v>4.3883576353705504E-5</v>
      </c>
      <c r="D159" t="s">
        <v>77</v>
      </c>
      <c r="E159" t="s">
        <v>548</v>
      </c>
      <c r="F159" t="s">
        <v>165</v>
      </c>
      <c r="G159" t="s">
        <v>368</v>
      </c>
    </row>
    <row r="160" spans="1:8" x14ac:dyDescent="0.2">
      <c r="A160" t="s">
        <v>316</v>
      </c>
      <c r="B160" s="7">
        <v>3.09435474288949E-6</v>
      </c>
      <c r="D160" t="s">
        <v>77</v>
      </c>
      <c r="E160" t="s">
        <v>548</v>
      </c>
      <c r="F160" t="s">
        <v>165</v>
      </c>
      <c r="G160" t="s">
        <v>316</v>
      </c>
    </row>
    <row r="161" spans="1:7" x14ac:dyDescent="0.2">
      <c r="A161" t="s">
        <v>317</v>
      </c>
      <c r="B161" s="7">
        <v>6.3051115450726299E-7</v>
      </c>
      <c r="D161" t="s">
        <v>77</v>
      </c>
      <c r="E161" t="s">
        <v>548</v>
      </c>
      <c r="F161" t="s">
        <v>165</v>
      </c>
      <c r="G161" t="s">
        <v>317</v>
      </c>
    </row>
    <row r="162" spans="1:7" x14ac:dyDescent="0.2">
      <c r="A162" t="s">
        <v>318</v>
      </c>
      <c r="B162" s="7">
        <v>5.0828899224893196E-6</v>
      </c>
      <c r="D162" t="s">
        <v>77</v>
      </c>
      <c r="E162" t="s">
        <v>548</v>
      </c>
      <c r="F162" t="s">
        <v>165</v>
      </c>
      <c r="G162" t="s">
        <v>318</v>
      </c>
    </row>
    <row r="163" spans="1:7" x14ac:dyDescent="0.2">
      <c r="A163" t="s">
        <v>319</v>
      </c>
      <c r="B163" s="7">
        <v>2.0855368956778698E-6</v>
      </c>
      <c r="D163" t="s">
        <v>77</v>
      </c>
      <c r="E163" t="s">
        <v>548</v>
      </c>
      <c r="F163" t="s">
        <v>165</v>
      </c>
      <c r="G163" t="s">
        <v>319</v>
      </c>
    </row>
    <row r="164" spans="1:7" x14ac:dyDescent="0.2">
      <c r="A164" t="s">
        <v>320</v>
      </c>
      <c r="B164" s="7">
        <v>1.5617276288564514E-6</v>
      </c>
      <c r="D164" t="s">
        <v>77</v>
      </c>
      <c r="E164" t="s">
        <v>548</v>
      </c>
      <c r="F164" t="s">
        <v>165</v>
      </c>
      <c r="G164" t="s">
        <v>320</v>
      </c>
    </row>
    <row r="165" spans="1:7" x14ac:dyDescent="0.2">
      <c r="A165" t="s">
        <v>321</v>
      </c>
      <c r="B165" s="7">
        <v>1.1058195632896611E-6</v>
      </c>
      <c r="D165" t="s">
        <v>77</v>
      </c>
      <c r="E165" t="s">
        <v>548</v>
      </c>
      <c r="F165" t="s">
        <v>165</v>
      </c>
      <c r="G165" t="s">
        <v>321</v>
      </c>
    </row>
    <row r="166" spans="1:7" x14ac:dyDescent="0.2">
      <c r="A166" t="s">
        <v>322</v>
      </c>
      <c r="B166" s="7">
        <v>7.1781269897749935E-7</v>
      </c>
      <c r="D166" t="s">
        <v>77</v>
      </c>
      <c r="E166" t="s">
        <v>548</v>
      </c>
      <c r="F166" t="s">
        <v>165</v>
      </c>
      <c r="G166" t="s">
        <v>322</v>
      </c>
    </row>
    <row r="167" spans="1:7" x14ac:dyDescent="0.2">
      <c r="A167" t="s">
        <v>323</v>
      </c>
      <c r="B167" s="7">
        <v>7.0811252736969535E-6</v>
      </c>
      <c r="D167" t="s">
        <v>77</v>
      </c>
      <c r="E167" t="s">
        <v>548</v>
      </c>
      <c r="F167" t="s">
        <v>165</v>
      </c>
      <c r="G167" t="s">
        <v>323</v>
      </c>
    </row>
    <row r="168" spans="1:7" x14ac:dyDescent="0.2">
      <c r="A168" t="s">
        <v>324</v>
      </c>
      <c r="B168" s="7">
        <v>3.7054655541811453E-6</v>
      </c>
      <c r="D168" t="s">
        <v>77</v>
      </c>
      <c r="E168" t="s">
        <v>548</v>
      </c>
      <c r="F168" t="s">
        <v>165</v>
      </c>
      <c r="G168" t="s">
        <v>324</v>
      </c>
    </row>
    <row r="169" spans="1:7" x14ac:dyDescent="0.2">
      <c r="A169" t="s">
        <v>325</v>
      </c>
      <c r="B169" s="7">
        <v>1.0670188768584451E-7</v>
      </c>
      <c r="D169" t="s">
        <v>77</v>
      </c>
      <c r="E169" t="s">
        <v>548</v>
      </c>
      <c r="F169" t="s">
        <v>165</v>
      </c>
      <c r="G169" t="s">
        <v>325</v>
      </c>
    </row>
    <row r="170" spans="1:7" x14ac:dyDescent="0.2">
      <c r="A170" t="s">
        <v>326</v>
      </c>
      <c r="B170" s="7">
        <v>1.0650788425368842E-5</v>
      </c>
      <c r="D170" t="s">
        <v>77</v>
      </c>
      <c r="E170" t="s">
        <v>548</v>
      </c>
      <c r="F170" t="s">
        <v>165</v>
      </c>
      <c r="G170" t="s">
        <v>326</v>
      </c>
    </row>
    <row r="171" spans="1:7" x14ac:dyDescent="0.2">
      <c r="A171" t="s">
        <v>327</v>
      </c>
      <c r="B171" s="7">
        <v>5.2671931830375969E-6</v>
      </c>
      <c r="D171" t="s">
        <v>77</v>
      </c>
      <c r="E171" t="s">
        <v>548</v>
      </c>
      <c r="F171" t="s">
        <v>165</v>
      </c>
      <c r="G171" t="s">
        <v>327</v>
      </c>
    </row>
    <row r="172" spans="1:7" x14ac:dyDescent="0.2">
      <c r="A172" t="s">
        <v>328</v>
      </c>
      <c r="B172" s="7">
        <v>2.192238783363714E-6</v>
      </c>
      <c r="D172" t="s">
        <v>77</v>
      </c>
      <c r="E172" t="s">
        <v>548</v>
      </c>
      <c r="F172" t="s">
        <v>165</v>
      </c>
      <c r="G172" t="s">
        <v>328</v>
      </c>
    </row>
    <row r="173" spans="1:7" x14ac:dyDescent="0.2">
      <c r="A173" t="s">
        <v>329</v>
      </c>
      <c r="B173" s="7">
        <v>1.649029173326688E-6</v>
      </c>
      <c r="D173" t="s">
        <v>77</v>
      </c>
      <c r="E173" t="s">
        <v>548</v>
      </c>
      <c r="F173" t="s">
        <v>165</v>
      </c>
      <c r="G173" t="s">
        <v>329</v>
      </c>
    </row>
    <row r="174" spans="1:7" x14ac:dyDescent="0.2">
      <c r="A174" t="s">
        <v>330</v>
      </c>
      <c r="B174" s="7">
        <v>7.2751287058530338E-7</v>
      </c>
      <c r="D174" t="s">
        <v>77</v>
      </c>
      <c r="E174" t="s">
        <v>548</v>
      </c>
      <c r="F174" t="s">
        <v>165</v>
      </c>
      <c r="G174" t="s">
        <v>330</v>
      </c>
    </row>
    <row r="175" spans="1:7" x14ac:dyDescent="0.2">
      <c r="A175" t="s">
        <v>331</v>
      </c>
      <c r="B175" s="7">
        <v>2.1340377537168902E-7</v>
      </c>
      <c r="D175" t="s">
        <v>77</v>
      </c>
      <c r="E175" t="s">
        <v>548</v>
      </c>
      <c r="F175" t="s">
        <v>165</v>
      </c>
      <c r="G175" t="s">
        <v>331</v>
      </c>
    </row>
    <row r="176" spans="1:7" x14ac:dyDescent="0.2">
      <c r="A176" t="s">
        <v>332</v>
      </c>
      <c r="B176" s="7">
        <v>5.9171046807604678E-7</v>
      </c>
      <c r="D176" t="s">
        <v>77</v>
      </c>
      <c r="E176" t="s">
        <v>548</v>
      </c>
      <c r="F176" t="s">
        <v>165</v>
      </c>
      <c r="G176" t="s">
        <v>332</v>
      </c>
    </row>
    <row r="177" spans="1:8" x14ac:dyDescent="0.2">
      <c r="A177" t="s">
        <v>335</v>
      </c>
      <c r="B177" s="7">
        <v>4.8500858039020227E-8</v>
      </c>
      <c r="D177" t="s">
        <v>77</v>
      </c>
      <c r="E177" t="s">
        <v>548</v>
      </c>
      <c r="F177" t="s">
        <v>165</v>
      </c>
      <c r="G177" t="s">
        <v>335</v>
      </c>
    </row>
    <row r="178" spans="1:8" x14ac:dyDescent="0.2">
      <c r="A178" t="s">
        <v>333</v>
      </c>
      <c r="B178" s="7">
        <v>1.8430326054827685E-7</v>
      </c>
      <c r="D178" t="s">
        <v>77</v>
      </c>
      <c r="E178" t="s">
        <v>548</v>
      </c>
      <c r="F178" t="s">
        <v>165</v>
      </c>
      <c r="G178" t="s">
        <v>333</v>
      </c>
    </row>
    <row r="179" spans="1:8" x14ac:dyDescent="0.2">
      <c r="A179" t="s">
        <v>334</v>
      </c>
      <c r="B179" s="7">
        <v>9.7971733238820843E-7</v>
      </c>
      <c r="D179" t="s">
        <v>77</v>
      </c>
      <c r="E179" t="s">
        <v>548</v>
      </c>
      <c r="F179" t="s">
        <v>165</v>
      </c>
      <c r="G179" t="s">
        <v>334</v>
      </c>
    </row>
    <row r="180" spans="1:8" x14ac:dyDescent="0.2">
      <c r="A180" t="s">
        <v>343</v>
      </c>
      <c r="B180" s="7">
        <v>1.2186126018093815E-9</v>
      </c>
      <c r="D180" t="s">
        <v>77</v>
      </c>
      <c r="E180" t="s">
        <v>548</v>
      </c>
      <c r="F180" t="s">
        <v>165</v>
      </c>
      <c r="G180" t="s">
        <v>336</v>
      </c>
    </row>
    <row r="181" spans="1:8" x14ac:dyDescent="0.2">
      <c r="A181" t="s">
        <v>337</v>
      </c>
      <c r="B181" s="7">
        <v>1.0505281050080874E-11</v>
      </c>
      <c r="D181" t="s">
        <v>77</v>
      </c>
      <c r="E181" t="s">
        <v>548</v>
      </c>
      <c r="F181" t="s">
        <v>165</v>
      </c>
      <c r="G181" t="s">
        <v>337</v>
      </c>
    </row>
    <row r="182" spans="1:8" x14ac:dyDescent="0.2">
      <c r="A182" t="s">
        <v>338</v>
      </c>
      <c r="B182" s="7">
        <v>7.0035207000539162E-12</v>
      </c>
      <c r="D182" t="s">
        <v>77</v>
      </c>
      <c r="E182" t="s">
        <v>548</v>
      </c>
      <c r="F182" t="s">
        <v>165</v>
      </c>
      <c r="G182" t="s">
        <v>338</v>
      </c>
    </row>
    <row r="183" spans="1:8" x14ac:dyDescent="0.2">
      <c r="A183" t="s">
        <v>339</v>
      </c>
      <c r="B183" s="7">
        <v>7.5638023560582296E-8</v>
      </c>
      <c r="D183" t="s">
        <v>77</v>
      </c>
      <c r="E183" t="s">
        <v>548</v>
      </c>
      <c r="F183" t="s">
        <v>165</v>
      </c>
      <c r="G183" t="s">
        <v>339</v>
      </c>
    </row>
    <row r="184" spans="1:8" x14ac:dyDescent="0.2">
      <c r="A184" t="s">
        <v>297</v>
      </c>
      <c r="B184" s="7">
        <v>1.4707393470113222E-9</v>
      </c>
      <c r="D184" t="s">
        <v>77</v>
      </c>
      <c r="E184" t="s">
        <v>548</v>
      </c>
      <c r="F184" t="s">
        <v>165</v>
      </c>
      <c r="G184" t="s">
        <v>297</v>
      </c>
    </row>
    <row r="185" spans="1:8" x14ac:dyDescent="0.2">
      <c r="A185" t="s">
        <v>299</v>
      </c>
      <c r="B185" s="7">
        <v>4.5522884550350459E-10</v>
      </c>
      <c r="D185" t="s">
        <v>77</v>
      </c>
      <c r="E185" t="s">
        <v>548</v>
      </c>
      <c r="F185" t="s">
        <v>165</v>
      </c>
      <c r="G185" t="s">
        <v>299</v>
      </c>
    </row>
    <row r="186" spans="1:8" x14ac:dyDescent="0.2">
      <c r="A186" t="s">
        <v>298</v>
      </c>
      <c r="B186" s="7">
        <v>5.6028165600431336E-10</v>
      </c>
      <c r="D186" t="s">
        <v>77</v>
      </c>
      <c r="E186" t="s">
        <v>548</v>
      </c>
      <c r="F186" t="s">
        <v>165</v>
      </c>
      <c r="G186" t="s">
        <v>298</v>
      </c>
    </row>
    <row r="187" spans="1:8" x14ac:dyDescent="0.2">
      <c r="A187" t="s">
        <v>342</v>
      </c>
      <c r="B187" s="7">
        <v>1.1205633120086266E-12</v>
      </c>
      <c r="D187" t="s">
        <v>77</v>
      </c>
      <c r="E187" t="s">
        <v>548</v>
      </c>
      <c r="F187" t="s">
        <v>165</v>
      </c>
      <c r="G187" t="s">
        <v>342</v>
      </c>
    </row>
    <row r="188" spans="1:8" x14ac:dyDescent="0.2">
      <c r="A188" t="s">
        <v>340</v>
      </c>
      <c r="B188" s="7">
        <v>3.0465315045234537E-10</v>
      </c>
      <c r="D188" t="s">
        <v>77</v>
      </c>
      <c r="E188" t="s">
        <v>548</v>
      </c>
      <c r="F188" t="s">
        <v>165</v>
      </c>
      <c r="G188" t="s">
        <v>340</v>
      </c>
    </row>
    <row r="189" spans="1:8" x14ac:dyDescent="0.2">
      <c r="A189" t="s">
        <v>341</v>
      </c>
      <c r="B189" s="7">
        <v>3.7819011780291154E-10</v>
      </c>
      <c r="D189" t="s">
        <v>77</v>
      </c>
      <c r="E189" t="s">
        <v>548</v>
      </c>
      <c r="F189" t="s">
        <v>165</v>
      </c>
      <c r="G189" t="s">
        <v>341</v>
      </c>
    </row>
    <row r="190" spans="1:8" x14ac:dyDescent="0.2">
      <c r="A190" t="s">
        <v>157</v>
      </c>
      <c r="B190" s="7">
        <v>-8.656625299749574E-6</v>
      </c>
      <c r="C190" t="s">
        <v>92</v>
      </c>
      <c r="D190" t="s">
        <v>77</v>
      </c>
      <c r="F190" t="s">
        <v>89</v>
      </c>
      <c r="G190" t="s">
        <v>29</v>
      </c>
      <c r="H190" t="s">
        <v>159</v>
      </c>
    </row>
    <row r="191" spans="1:8" x14ac:dyDescent="0.2">
      <c r="A191" t="s">
        <v>158</v>
      </c>
      <c r="B191" s="7">
        <v>-5.7181641106782229E-6</v>
      </c>
      <c r="C191" t="s">
        <v>92</v>
      </c>
      <c r="D191" t="s">
        <v>77</v>
      </c>
      <c r="F191" t="s">
        <v>89</v>
      </c>
      <c r="G191" t="s">
        <v>30</v>
      </c>
      <c r="H191" t="s">
        <v>160</v>
      </c>
    </row>
    <row r="192" spans="1:8" x14ac:dyDescent="0.2">
      <c r="A192" t="s">
        <v>166</v>
      </c>
      <c r="B192" s="7">
        <v>-3.1799843875219737E-6</v>
      </c>
      <c r="C192" t="s">
        <v>92</v>
      </c>
      <c r="D192" t="s">
        <v>77</v>
      </c>
      <c r="F192" t="s">
        <v>89</v>
      </c>
      <c r="G192" t="s">
        <v>31</v>
      </c>
      <c r="H192" t="s">
        <v>161</v>
      </c>
    </row>
    <row r="194" spans="1:2" ht="16" x14ac:dyDescent="0.2">
      <c r="A194" s="10" t="s">
        <v>71</v>
      </c>
      <c r="B194" s="8" t="s">
        <v>863</v>
      </c>
    </row>
    <row r="195" spans="1:2" x14ac:dyDescent="0.2">
      <c r="A195" t="s">
        <v>72</v>
      </c>
      <c r="B195" t="s">
        <v>37</v>
      </c>
    </row>
    <row r="196" spans="1:2" x14ac:dyDescent="0.2">
      <c r="A196" t="s">
        <v>86</v>
      </c>
      <c r="B196" t="s">
        <v>396</v>
      </c>
    </row>
    <row r="197" spans="1:2" x14ac:dyDescent="0.2">
      <c r="A197" t="s">
        <v>87</v>
      </c>
    </row>
    <row r="198" spans="1:2" x14ac:dyDescent="0.2">
      <c r="A198" t="s">
        <v>88</v>
      </c>
      <c r="B198">
        <v>2016</v>
      </c>
    </row>
    <row r="199" spans="1:2" x14ac:dyDescent="0.2">
      <c r="A199" t="s">
        <v>124</v>
      </c>
      <c r="B199" t="s">
        <v>399</v>
      </c>
    </row>
    <row r="200" spans="1:2" x14ac:dyDescent="0.2">
      <c r="A200" t="s">
        <v>73</v>
      </c>
      <c r="B200" t="s">
        <v>863</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38500</v>
      </c>
    </row>
    <row r="205" spans="1:2" x14ac:dyDescent="0.2">
      <c r="A205" t="s">
        <v>126</v>
      </c>
      <c r="B205">
        <v>1.1000000000000001</v>
      </c>
    </row>
    <row r="206" spans="1:2" x14ac:dyDescent="0.2">
      <c r="A206" t="s">
        <v>127</v>
      </c>
      <c r="B206">
        <v>1.54</v>
      </c>
    </row>
    <row r="207" spans="1:2" x14ac:dyDescent="0.2">
      <c r="A207" t="s">
        <v>128</v>
      </c>
      <c r="B207">
        <v>0</v>
      </c>
    </row>
    <row r="208" spans="1:2" x14ac:dyDescent="0.2">
      <c r="A208" t="s">
        <v>129</v>
      </c>
      <c r="B208">
        <v>2405</v>
      </c>
    </row>
    <row r="209" spans="1:8" x14ac:dyDescent="0.2">
      <c r="A209" t="s">
        <v>130</v>
      </c>
      <c r="B209" s="2">
        <v>157.5575</v>
      </c>
    </row>
    <row r="210" spans="1:8" x14ac:dyDescent="0.2">
      <c r="A210" t="s">
        <v>131</v>
      </c>
      <c r="B210">
        <v>20</v>
      </c>
    </row>
    <row r="211" spans="1:8" x14ac:dyDescent="0.2">
      <c r="A211" t="s">
        <v>132</v>
      </c>
      <c r="B211" t="s">
        <v>85</v>
      </c>
    </row>
    <row r="212" spans="1:8" x14ac:dyDescent="0.2">
      <c r="A212" t="s">
        <v>133</v>
      </c>
      <c r="B212">
        <v>0</v>
      </c>
    </row>
    <row r="213" spans="1:8" x14ac:dyDescent="0.2">
      <c r="A213" t="s">
        <v>136</v>
      </c>
      <c r="B213" s="2">
        <v>133.125</v>
      </c>
    </row>
    <row r="214" spans="1:8" x14ac:dyDescent="0.2">
      <c r="A214" t="s">
        <v>137</v>
      </c>
      <c r="B214">
        <v>11.25</v>
      </c>
    </row>
    <row r="215" spans="1:8" x14ac:dyDescent="0.2">
      <c r="A215" t="s">
        <v>134</v>
      </c>
      <c r="B215" s="2">
        <v>325.24313932648096</v>
      </c>
    </row>
    <row r="216" spans="1:8" x14ac:dyDescent="0.2">
      <c r="A216" t="s">
        <v>135</v>
      </c>
      <c r="B216" t="s">
        <v>140</v>
      </c>
    </row>
    <row r="217" spans="1:8" x14ac:dyDescent="0.2">
      <c r="A217" t="s">
        <v>796</v>
      </c>
      <c r="B217" s="6">
        <v>-0.02</v>
      </c>
    </row>
    <row r="218" spans="1:8" x14ac:dyDescent="0.2">
      <c r="A218" t="s">
        <v>83</v>
      </c>
      <c r="B218" t="s">
        <v>864</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863</v>
      </c>
      <c r="B221">
        <v>1</v>
      </c>
      <c r="C221" t="s">
        <v>37</v>
      </c>
      <c r="D221" t="s">
        <v>164</v>
      </c>
      <c r="F221" t="s">
        <v>84</v>
      </c>
      <c r="G221" t="s">
        <v>85</v>
      </c>
      <c r="H221" t="s">
        <v>863</v>
      </c>
    </row>
    <row r="222" spans="1:8" x14ac:dyDescent="0.2">
      <c r="A222" t="s">
        <v>396</v>
      </c>
      <c r="B222" s="7">
        <v>2.5974025974025975E-5</v>
      </c>
      <c r="C222" t="s">
        <v>37</v>
      </c>
      <c r="D222" t="s">
        <v>76</v>
      </c>
      <c r="F222" t="s">
        <v>89</v>
      </c>
      <c r="H222" t="s">
        <v>396</v>
      </c>
    </row>
    <row r="223" spans="1:8" x14ac:dyDescent="0.2">
      <c r="A223" t="s">
        <v>107</v>
      </c>
      <c r="B223" s="7">
        <v>1.3213287749999999E-4</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557</v>
      </c>
      <c r="B226" s="7">
        <v>3.4589507478302819E-2</v>
      </c>
      <c r="C226" t="s">
        <v>37</v>
      </c>
      <c r="D226" t="s">
        <v>77</v>
      </c>
      <c r="F226" t="s">
        <v>89</v>
      </c>
      <c r="G226" t="s">
        <v>27</v>
      </c>
      <c r="H226" t="s">
        <v>558</v>
      </c>
    </row>
    <row r="227" spans="1:8" x14ac:dyDescent="0.2">
      <c r="A227" t="s">
        <v>152</v>
      </c>
      <c r="B227" s="11">
        <v>0.10730772084008841</v>
      </c>
      <c r="D227" t="s">
        <v>77</v>
      </c>
      <c r="E227" t="s">
        <v>548</v>
      </c>
      <c r="F227" t="s">
        <v>165</v>
      </c>
      <c r="G227" t="s">
        <v>66</v>
      </c>
    </row>
    <row r="228" spans="1:8" x14ac:dyDescent="0.2">
      <c r="A228" t="s">
        <v>554</v>
      </c>
      <c r="B228" s="11">
        <v>1.3033326417824505E-3</v>
      </c>
      <c r="D228" t="s">
        <v>77</v>
      </c>
      <c r="E228" t="s">
        <v>548</v>
      </c>
      <c r="F228" t="s">
        <v>165</v>
      </c>
      <c r="G228" t="s">
        <v>552</v>
      </c>
    </row>
    <row r="229" spans="1:8" x14ac:dyDescent="0.2">
      <c r="A229" t="s">
        <v>212</v>
      </c>
      <c r="B229" s="7">
        <v>5.5343211965284504E-7</v>
      </c>
      <c r="D229" t="s">
        <v>77</v>
      </c>
      <c r="E229" t="s">
        <v>548</v>
      </c>
      <c r="F229" t="s">
        <v>165</v>
      </c>
      <c r="G229" t="s">
        <v>67</v>
      </c>
    </row>
    <row r="230" spans="1:8" x14ac:dyDescent="0.2">
      <c r="A230" t="s">
        <v>55</v>
      </c>
      <c r="B230" s="7">
        <v>1.9073617591137917E-6</v>
      </c>
      <c r="D230" t="s">
        <v>77</v>
      </c>
      <c r="E230" t="s">
        <v>548</v>
      </c>
      <c r="F230" t="s">
        <v>165</v>
      </c>
      <c r="G230" t="s">
        <v>55</v>
      </c>
    </row>
    <row r="231" spans="1:8" x14ac:dyDescent="0.2">
      <c r="A231" t="s">
        <v>153</v>
      </c>
      <c r="B231" s="7">
        <v>2.7697735778460602E-5</v>
      </c>
      <c r="D231" t="s">
        <v>77</v>
      </c>
      <c r="E231" t="s">
        <v>548</v>
      </c>
      <c r="F231" t="s">
        <v>165</v>
      </c>
      <c r="G231" t="s">
        <v>56</v>
      </c>
    </row>
    <row r="232" spans="1:8" x14ac:dyDescent="0.2">
      <c r="A232" t="s">
        <v>154</v>
      </c>
      <c r="B232" s="7">
        <v>1.4020599038117664E-4</v>
      </c>
      <c r="D232" t="s">
        <v>77</v>
      </c>
      <c r="E232" t="s">
        <v>548</v>
      </c>
      <c r="F232" t="s">
        <v>165</v>
      </c>
      <c r="G232" t="s">
        <v>57</v>
      </c>
    </row>
    <row r="233" spans="1:8" x14ac:dyDescent="0.2">
      <c r="A233" t="s">
        <v>213</v>
      </c>
      <c r="B233" s="7">
        <v>8.3301460987851437E-7</v>
      </c>
      <c r="D233" t="s">
        <v>77</v>
      </c>
      <c r="E233" t="s">
        <v>548</v>
      </c>
      <c r="F233" t="s">
        <v>165</v>
      </c>
      <c r="G233" t="s">
        <v>58</v>
      </c>
    </row>
    <row r="234" spans="1:8" x14ac:dyDescent="0.2">
      <c r="A234" t="s">
        <v>155</v>
      </c>
      <c r="B234" s="7">
        <v>8.3301460987851437E-7</v>
      </c>
      <c r="D234" t="s">
        <v>77</v>
      </c>
      <c r="E234" t="s">
        <v>548</v>
      </c>
      <c r="F234" t="s">
        <v>165</v>
      </c>
      <c r="G234" t="s">
        <v>59</v>
      </c>
    </row>
    <row r="235" spans="1:8" x14ac:dyDescent="0.2">
      <c r="A235" t="s">
        <v>156</v>
      </c>
      <c r="B235" s="7">
        <v>1.3603299444488674E-5</v>
      </c>
      <c r="D235" t="s">
        <v>77</v>
      </c>
      <c r="E235" t="s">
        <v>548</v>
      </c>
      <c r="F235" t="s">
        <v>165</v>
      </c>
      <c r="G235" t="s">
        <v>60</v>
      </c>
    </row>
    <row r="236" spans="1:8" x14ac:dyDescent="0.2">
      <c r="A236" t="s">
        <v>214</v>
      </c>
      <c r="B236" s="7">
        <v>2.082536524696286E-6</v>
      </c>
      <c r="D236" t="s">
        <v>77</v>
      </c>
      <c r="E236" t="s">
        <v>548</v>
      </c>
      <c r="F236" t="s">
        <v>165</v>
      </c>
      <c r="G236" t="s">
        <v>62</v>
      </c>
    </row>
    <row r="237" spans="1:8" x14ac:dyDescent="0.2">
      <c r="A237" t="s">
        <v>209</v>
      </c>
      <c r="B237" s="7">
        <v>1.5381291618949722E-5</v>
      </c>
      <c r="D237" t="s">
        <v>77</v>
      </c>
      <c r="E237" t="s">
        <v>548</v>
      </c>
      <c r="F237" t="s">
        <v>165</v>
      </c>
      <c r="G237" t="s">
        <v>368</v>
      </c>
    </row>
    <row r="238" spans="1:8" x14ac:dyDescent="0.2">
      <c r="A238" t="s">
        <v>316</v>
      </c>
      <c r="B238" s="7">
        <v>1.084578255182352E-6</v>
      </c>
      <c r="D238" t="s">
        <v>77</v>
      </c>
      <c r="E238" t="s">
        <v>548</v>
      </c>
      <c r="F238" t="s">
        <v>165</v>
      </c>
      <c r="G238" t="s">
        <v>316</v>
      </c>
    </row>
    <row r="239" spans="1:8" x14ac:dyDescent="0.2">
      <c r="A239" t="s">
        <v>317</v>
      </c>
      <c r="B239" s="7">
        <v>2.2099556923778335E-7</v>
      </c>
      <c r="D239" t="s">
        <v>77</v>
      </c>
      <c r="E239" t="s">
        <v>548</v>
      </c>
      <c r="F239" t="s">
        <v>165</v>
      </c>
      <c r="G239" t="s">
        <v>317</v>
      </c>
    </row>
    <row r="240" spans="1:8" x14ac:dyDescent="0.2">
      <c r="A240" t="s">
        <v>318</v>
      </c>
      <c r="B240" s="7">
        <v>1.7815642812399767E-6</v>
      </c>
      <c r="D240" t="s">
        <v>77</v>
      </c>
      <c r="E240" t="s">
        <v>548</v>
      </c>
      <c r="F240" t="s">
        <v>165</v>
      </c>
      <c r="G240" t="s">
        <v>318</v>
      </c>
    </row>
    <row r="241" spans="1:7" x14ac:dyDescent="0.2">
      <c r="A241" t="s">
        <v>319</v>
      </c>
      <c r="B241" s="7">
        <v>7.3098534440189867E-7</v>
      </c>
      <c r="D241" t="s">
        <v>77</v>
      </c>
      <c r="E241" t="s">
        <v>548</v>
      </c>
      <c r="F241" t="s">
        <v>165</v>
      </c>
      <c r="G241" t="s">
        <v>319</v>
      </c>
    </row>
    <row r="242" spans="1:7" x14ac:dyDescent="0.2">
      <c r="A242" t="s">
        <v>320</v>
      </c>
      <c r="B242" s="7">
        <v>5.4738902534281725E-7</v>
      </c>
      <c r="D242" t="s">
        <v>77</v>
      </c>
      <c r="E242" t="s">
        <v>548</v>
      </c>
      <c r="F242" t="s">
        <v>165</v>
      </c>
      <c r="G242" t="s">
        <v>320</v>
      </c>
    </row>
    <row r="243" spans="1:7" x14ac:dyDescent="0.2">
      <c r="A243" t="s">
        <v>321</v>
      </c>
      <c r="B243" s="7">
        <v>3.875922291247277E-7</v>
      </c>
      <c r="D243" t="s">
        <v>77</v>
      </c>
      <c r="E243" t="s">
        <v>548</v>
      </c>
      <c r="F243" t="s">
        <v>165</v>
      </c>
      <c r="G243" t="s">
        <v>321</v>
      </c>
    </row>
    <row r="244" spans="1:7" x14ac:dyDescent="0.2">
      <c r="A244" t="s">
        <v>322</v>
      </c>
      <c r="B244" s="7">
        <v>2.5159495574763026E-7</v>
      </c>
      <c r="D244" t="s">
        <v>77</v>
      </c>
      <c r="E244" t="s">
        <v>548</v>
      </c>
      <c r="F244" t="s">
        <v>165</v>
      </c>
      <c r="G244" t="s">
        <v>322</v>
      </c>
    </row>
    <row r="245" spans="1:7" x14ac:dyDescent="0.2">
      <c r="A245" t="s">
        <v>323</v>
      </c>
      <c r="B245" s="7">
        <v>2.481950239132028E-6</v>
      </c>
      <c r="D245" t="s">
        <v>77</v>
      </c>
      <c r="E245" t="s">
        <v>548</v>
      </c>
      <c r="F245" t="s">
        <v>165</v>
      </c>
      <c r="G245" t="s">
        <v>323</v>
      </c>
    </row>
    <row r="246" spans="1:7" x14ac:dyDescent="0.2">
      <c r="A246" t="s">
        <v>324</v>
      </c>
      <c r="B246" s="7">
        <v>1.2987739607512805E-6</v>
      </c>
      <c r="D246" t="s">
        <v>77</v>
      </c>
      <c r="E246" t="s">
        <v>548</v>
      </c>
      <c r="F246" t="s">
        <v>165</v>
      </c>
      <c r="G246" t="s">
        <v>324</v>
      </c>
    </row>
    <row r="247" spans="1:7" x14ac:dyDescent="0.2">
      <c r="A247" t="s">
        <v>325</v>
      </c>
      <c r="B247" s="7">
        <v>3.73992501787018E-8</v>
      </c>
      <c r="D247" t="s">
        <v>77</v>
      </c>
      <c r="E247" t="s">
        <v>548</v>
      </c>
      <c r="F247" t="s">
        <v>165</v>
      </c>
      <c r="G247" t="s">
        <v>325</v>
      </c>
    </row>
    <row r="248" spans="1:7" x14ac:dyDescent="0.2">
      <c r="A248" t="s">
        <v>326</v>
      </c>
      <c r="B248" s="7">
        <v>3.7331251542013252E-6</v>
      </c>
      <c r="D248" t="s">
        <v>77</v>
      </c>
      <c r="E248" t="s">
        <v>548</v>
      </c>
      <c r="F248" t="s">
        <v>165</v>
      </c>
      <c r="G248" t="s">
        <v>326</v>
      </c>
    </row>
    <row r="249" spans="1:7" x14ac:dyDescent="0.2">
      <c r="A249" t="s">
        <v>327</v>
      </c>
      <c r="B249" s="7">
        <v>1.8461629860940981E-6</v>
      </c>
      <c r="D249" t="s">
        <v>77</v>
      </c>
      <c r="E249" t="s">
        <v>548</v>
      </c>
      <c r="F249" t="s">
        <v>165</v>
      </c>
      <c r="G249" t="s">
        <v>327</v>
      </c>
    </row>
    <row r="250" spans="1:7" x14ac:dyDescent="0.2">
      <c r="A250" t="s">
        <v>328</v>
      </c>
      <c r="B250" s="7">
        <v>7.6838459458060058E-7</v>
      </c>
      <c r="D250" t="s">
        <v>77</v>
      </c>
      <c r="E250" t="s">
        <v>548</v>
      </c>
      <c r="F250" t="s">
        <v>165</v>
      </c>
      <c r="G250" t="s">
        <v>328</v>
      </c>
    </row>
    <row r="251" spans="1:7" x14ac:dyDescent="0.2">
      <c r="A251" t="s">
        <v>329</v>
      </c>
      <c r="B251" s="7">
        <v>5.7798841185266424E-7</v>
      </c>
      <c r="D251" t="s">
        <v>77</v>
      </c>
      <c r="E251" t="s">
        <v>548</v>
      </c>
      <c r="F251" t="s">
        <v>165</v>
      </c>
      <c r="G251" t="s">
        <v>329</v>
      </c>
    </row>
    <row r="252" spans="1:7" x14ac:dyDescent="0.2">
      <c r="A252" t="s">
        <v>330</v>
      </c>
      <c r="B252" s="7">
        <v>2.5499488758205772E-7</v>
      </c>
      <c r="D252" t="s">
        <v>77</v>
      </c>
      <c r="E252" t="s">
        <v>548</v>
      </c>
      <c r="F252" t="s">
        <v>165</v>
      </c>
      <c r="G252" t="s">
        <v>330</v>
      </c>
    </row>
    <row r="253" spans="1:7" x14ac:dyDescent="0.2">
      <c r="A253" t="s">
        <v>331</v>
      </c>
      <c r="B253" s="7">
        <v>7.47985003574036E-8</v>
      </c>
      <c r="D253" t="s">
        <v>77</v>
      </c>
      <c r="E253" t="s">
        <v>548</v>
      </c>
      <c r="F253" t="s">
        <v>165</v>
      </c>
      <c r="G253" t="s">
        <v>331</v>
      </c>
    </row>
    <row r="254" spans="1:7" x14ac:dyDescent="0.2">
      <c r="A254" t="s">
        <v>332</v>
      </c>
      <c r="B254" s="7">
        <v>2.0739584190007364E-7</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6.4598704854121283E-8</v>
      </c>
      <c r="D256" t="s">
        <v>77</v>
      </c>
      <c r="E256" t="s">
        <v>548</v>
      </c>
      <c r="F256" t="s">
        <v>165</v>
      </c>
      <c r="G256" t="s">
        <v>333</v>
      </c>
    </row>
    <row r="257" spans="1:8" x14ac:dyDescent="0.2">
      <c r="A257" t="s">
        <v>334</v>
      </c>
      <c r="B257" s="7">
        <v>3.4339311527717102E-7</v>
      </c>
      <c r="D257" t="s">
        <v>77</v>
      </c>
      <c r="E257" t="s">
        <v>548</v>
      </c>
      <c r="F257" t="s">
        <v>165</v>
      </c>
      <c r="G257" t="s">
        <v>334</v>
      </c>
    </row>
    <row r="258" spans="1:8" x14ac:dyDescent="0.2">
      <c r="A258" t="s">
        <v>343</v>
      </c>
      <c r="B258" s="7">
        <v>1.206547130504338E-9</v>
      </c>
      <c r="D258" t="s">
        <v>77</v>
      </c>
      <c r="E258" t="s">
        <v>548</v>
      </c>
      <c r="F258" t="s">
        <v>165</v>
      </c>
      <c r="G258" t="s">
        <v>336</v>
      </c>
    </row>
    <row r="259" spans="1:8" x14ac:dyDescent="0.2">
      <c r="A259" t="s">
        <v>337</v>
      </c>
      <c r="B259" s="7">
        <v>1.0401268366416708E-11</v>
      </c>
      <c r="D259" t="s">
        <v>77</v>
      </c>
      <c r="E259" t="s">
        <v>548</v>
      </c>
      <c r="F259" t="s">
        <v>165</v>
      </c>
      <c r="G259" t="s">
        <v>337</v>
      </c>
    </row>
    <row r="260" spans="1:8" x14ac:dyDescent="0.2">
      <c r="A260" t="s">
        <v>338</v>
      </c>
      <c r="B260" s="7">
        <v>6.9341789109444719E-12</v>
      </c>
      <c r="D260" t="s">
        <v>77</v>
      </c>
      <c r="E260" t="s">
        <v>548</v>
      </c>
      <c r="F260" t="s">
        <v>165</v>
      </c>
      <c r="G260" t="s">
        <v>338</v>
      </c>
    </row>
    <row r="261" spans="1:8" x14ac:dyDescent="0.2">
      <c r="A261" t="s">
        <v>339</v>
      </c>
      <c r="B261" s="7">
        <v>7.4889132238200295E-8</v>
      </c>
      <c r="D261" t="s">
        <v>77</v>
      </c>
      <c r="E261" t="s">
        <v>548</v>
      </c>
      <c r="F261" t="s">
        <v>165</v>
      </c>
      <c r="G261" t="s">
        <v>339</v>
      </c>
    </row>
    <row r="262" spans="1:8" x14ac:dyDescent="0.2">
      <c r="A262" t="s">
        <v>297</v>
      </c>
      <c r="B262" s="7">
        <v>1.4561775712983389E-9</v>
      </c>
      <c r="D262" t="s">
        <v>77</v>
      </c>
      <c r="E262" t="s">
        <v>548</v>
      </c>
      <c r="F262" t="s">
        <v>165</v>
      </c>
      <c r="G262" t="s">
        <v>297</v>
      </c>
    </row>
    <row r="263" spans="1:8" x14ac:dyDescent="0.2">
      <c r="A263" t="s">
        <v>299</v>
      </c>
      <c r="B263" s="7">
        <v>4.5072162921139066E-10</v>
      </c>
      <c r="D263" t="s">
        <v>77</v>
      </c>
      <c r="E263" t="s">
        <v>548</v>
      </c>
      <c r="F263" t="s">
        <v>165</v>
      </c>
      <c r="G263" t="s">
        <v>299</v>
      </c>
    </row>
    <row r="264" spans="1:8" x14ac:dyDescent="0.2">
      <c r="A264" t="s">
        <v>298</v>
      </c>
      <c r="B264" s="7">
        <v>5.5473431287555782E-10</v>
      </c>
      <c r="D264" t="s">
        <v>77</v>
      </c>
      <c r="E264" t="s">
        <v>548</v>
      </c>
      <c r="F264" t="s">
        <v>165</v>
      </c>
      <c r="G264" t="s">
        <v>298</v>
      </c>
    </row>
    <row r="265" spans="1:8" x14ac:dyDescent="0.2">
      <c r="A265" t="s">
        <v>342</v>
      </c>
      <c r="B265" s="7">
        <v>1.1094686257511153E-12</v>
      </c>
      <c r="D265" t="s">
        <v>77</v>
      </c>
      <c r="E265" t="s">
        <v>548</v>
      </c>
      <c r="F265" t="s">
        <v>165</v>
      </c>
      <c r="G265" t="s">
        <v>342</v>
      </c>
    </row>
    <row r="266" spans="1:8" x14ac:dyDescent="0.2">
      <c r="A266" t="s">
        <v>340</v>
      </c>
      <c r="B266" s="7">
        <v>3.016367826260845E-10</v>
      </c>
      <c r="D266" t="s">
        <v>77</v>
      </c>
      <c r="E266" t="s">
        <v>548</v>
      </c>
      <c r="F266" t="s">
        <v>165</v>
      </c>
      <c r="G266" t="s">
        <v>340</v>
      </c>
    </row>
    <row r="267" spans="1:8" x14ac:dyDescent="0.2">
      <c r="A267" t="s">
        <v>341</v>
      </c>
      <c r="B267" s="7">
        <v>3.7444566119100157E-10</v>
      </c>
      <c r="D267" t="s">
        <v>77</v>
      </c>
      <c r="E267" t="s">
        <v>548</v>
      </c>
      <c r="F267" t="s">
        <v>165</v>
      </c>
      <c r="G267" t="s">
        <v>341</v>
      </c>
    </row>
    <row r="268" spans="1:8" x14ac:dyDescent="0.2">
      <c r="A268" t="s">
        <v>157</v>
      </c>
      <c r="B268" s="7">
        <v>-8.5891628161937534E-6</v>
      </c>
      <c r="C268" t="s">
        <v>92</v>
      </c>
      <c r="D268" t="s">
        <v>77</v>
      </c>
      <c r="F268" t="s">
        <v>89</v>
      </c>
      <c r="G268" t="s">
        <v>29</v>
      </c>
      <c r="H268" t="s">
        <v>159</v>
      </c>
    </row>
    <row r="269" spans="1:8" x14ac:dyDescent="0.2">
      <c r="A269" t="s">
        <v>158</v>
      </c>
      <c r="B269" s="7">
        <v>-5.6888158267475719E-6</v>
      </c>
      <c r="C269" t="s">
        <v>92</v>
      </c>
      <c r="D269" t="s">
        <v>77</v>
      </c>
      <c r="F269" t="s">
        <v>89</v>
      </c>
      <c r="G269" t="s">
        <v>30</v>
      </c>
      <c r="H269" t="s">
        <v>160</v>
      </c>
    </row>
    <row r="270" spans="1:8" x14ac:dyDescent="0.2">
      <c r="A270" t="s">
        <v>166</v>
      </c>
      <c r="B270" s="7">
        <v>-3.1599080713138445E-6</v>
      </c>
      <c r="C270" t="s">
        <v>92</v>
      </c>
      <c r="D270" t="s">
        <v>77</v>
      </c>
      <c r="F270" t="s">
        <v>89</v>
      </c>
      <c r="G270" t="s">
        <v>31</v>
      </c>
      <c r="H270" t="s">
        <v>161</v>
      </c>
    </row>
    <row r="272" spans="1:8" ht="16" x14ac:dyDescent="0.2">
      <c r="A272" s="10" t="s">
        <v>71</v>
      </c>
      <c r="B272" s="8" t="s">
        <v>865</v>
      </c>
    </row>
    <row r="273" spans="1:2" x14ac:dyDescent="0.2">
      <c r="A273" t="s">
        <v>72</v>
      </c>
      <c r="B273" t="s">
        <v>37</v>
      </c>
    </row>
    <row r="274" spans="1:2" x14ac:dyDescent="0.2">
      <c r="A274" t="s">
        <v>86</v>
      </c>
      <c r="B274" t="s">
        <v>397</v>
      </c>
    </row>
    <row r="275" spans="1:2" x14ac:dyDescent="0.2">
      <c r="A275" t="s">
        <v>87</v>
      </c>
    </row>
    <row r="276" spans="1:2" x14ac:dyDescent="0.2">
      <c r="A276" t="s">
        <v>88</v>
      </c>
      <c r="B276">
        <v>2020</v>
      </c>
    </row>
    <row r="277" spans="1:2" x14ac:dyDescent="0.2">
      <c r="A277" t="s">
        <v>124</v>
      </c>
      <c r="B277" t="s">
        <v>400</v>
      </c>
    </row>
    <row r="278" spans="1:2" x14ac:dyDescent="0.2">
      <c r="A278" t="s">
        <v>73</v>
      </c>
      <c r="B278" t="s">
        <v>865</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38500</v>
      </c>
    </row>
    <row r="283" spans="1:2" x14ac:dyDescent="0.2">
      <c r="A283" t="s">
        <v>126</v>
      </c>
      <c r="B283">
        <v>1.1000000000000001</v>
      </c>
    </row>
    <row r="284" spans="1:2" x14ac:dyDescent="0.2">
      <c r="A284" t="s">
        <v>127</v>
      </c>
      <c r="B284">
        <v>1.54</v>
      </c>
    </row>
    <row r="285" spans="1:2" x14ac:dyDescent="0.2">
      <c r="A285" t="s">
        <v>128</v>
      </c>
      <c r="B285">
        <v>0</v>
      </c>
    </row>
    <row r="286" spans="1:2" x14ac:dyDescent="0.2">
      <c r="A286" t="s">
        <v>129</v>
      </c>
      <c r="B286">
        <v>2405</v>
      </c>
    </row>
    <row r="287" spans="1:2" x14ac:dyDescent="0.2">
      <c r="A287" t="s">
        <v>130</v>
      </c>
      <c r="B287" s="2">
        <v>155.9375</v>
      </c>
    </row>
    <row r="288" spans="1:2" x14ac:dyDescent="0.2">
      <c r="A288" t="s">
        <v>131</v>
      </c>
      <c r="B288">
        <v>20</v>
      </c>
    </row>
    <row r="289" spans="1:8" x14ac:dyDescent="0.2">
      <c r="A289" t="s">
        <v>132</v>
      </c>
      <c r="B289" t="s">
        <v>85</v>
      </c>
    </row>
    <row r="290" spans="1:8" x14ac:dyDescent="0.2">
      <c r="A290" t="s">
        <v>133</v>
      </c>
      <c r="B290">
        <v>0</v>
      </c>
    </row>
    <row r="291" spans="1:8" x14ac:dyDescent="0.2">
      <c r="A291" t="s">
        <v>136</v>
      </c>
      <c r="B291" s="2">
        <v>133.125</v>
      </c>
    </row>
    <row r="292" spans="1:8" x14ac:dyDescent="0.2">
      <c r="A292" t="s">
        <v>137</v>
      </c>
      <c r="B292">
        <v>11.25</v>
      </c>
    </row>
    <row r="293" spans="1:8" x14ac:dyDescent="0.2">
      <c r="A293" t="s">
        <v>134</v>
      </c>
      <c r="B293" s="2">
        <v>328.52842356210198</v>
      </c>
    </row>
    <row r="294" spans="1:8" x14ac:dyDescent="0.2">
      <c r="A294" t="s">
        <v>135</v>
      </c>
      <c r="B294" t="s">
        <v>141</v>
      </c>
    </row>
    <row r="295" spans="1:8" x14ac:dyDescent="0.2">
      <c r="A295" t="s">
        <v>796</v>
      </c>
      <c r="B295" s="6">
        <v>0</v>
      </c>
    </row>
    <row r="296" spans="1:8" x14ac:dyDescent="0.2">
      <c r="A296" t="s">
        <v>83</v>
      </c>
      <c r="B296" t="s">
        <v>866</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865</v>
      </c>
      <c r="B299">
        <v>1</v>
      </c>
      <c r="C299" t="s">
        <v>37</v>
      </c>
      <c r="D299" t="s">
        <v>164</v>
      </c>
      <c r="F299" t="s">
        <v>84</v>
      </c>
      <c r="G299" t="s">
        <v>85</v>
      </c>
      <c r="H299" t="s">
        <v>865</v>
      </c>
    </row>
    <row r="300" spans="1:8" x14ac:dyDescent="0.2">
      <c r="A300" t="s">
        <v>397</v>
      </c>
      <c r="B300" s="7">
        <v>2.5974025974025975E-5</v>
      </c>
      <c r="C300" t="s">
        <v>37</v>
      </c>
      <c r="D300" t="s">
        <v>76</v>
      </c>
      <c r="F300" t="s">
        <v>89</v>
      </c>
      <c r="H300" t="s">
        <v>397</v>
      </c>
    </row>
    <row r="301" spans="1:8" x14ac:dyDescent="0.2">
      <c r="A301" t="s">
        <v>107</v>
      </c>
      <c r="B301" s="7">
        <v>1.3126293750000001E-4</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557</v>
      </c>
      <c r="B304" s="7">
        <v>3.4243612403519794E-2</v>
      </c>
      <c r="C304" t="s">
        <v>37</v>
      </c>
      <c r="D304" t="s">
        <v>77</v>
      </c>
      <c r="F304" t="s">
        <v>89</v>
      </c>
      <c r="G304" t="s">
        <v>27</v>
      </c>
      <c r="H304" t="s">
        <v>558</v>
      </c>
    </row>
    <row r="305" spans="1:7" x14ac:dyDescent="0.2">
      <c r="A305" t="s">
        <v>152</v>
      </c>
      <c r="B305" s="11">
        <v>0.10623464363168753</v>
      </c>
      <c r="D305" t="s">
        <v>77</v>
      </c>
      <c r="E305" t="s">
        <v>548</v>
      </c>
      <c r="F305" t="s">
        <v>165</v>
      </c>
      <c r="G305" t="s">
        <v>66</v>
      </c>
    </row>
    <row r="306" spans="1:7" x14ac:dyDescent="0.2">
      <c r="A306" t="s">
        <v>554</v>
      </c>
      <c r="B306" s="11">
        <v>1.2902993153646259E-3</v>
      </c>
      <c r="D306" t="s">
        <v>77</v>
      </c>
      <c r="E306" t="s">
        <v>548</v>
      </c>
      <c r="F306" t="s">
        <v>165</v>
      </c>
      <c r="G306" t="s">
        <v>552</v>
      </c>
    </row>
    <row r="307" spans="1:7" x14ac:dyDescent="0.2">
      <c r="A307" t="s">
        <v>212</v>
      </c>
      <c r="B307" s="7">
        <v>5.478977984563167E-7</v>
      </c>
      <c r="D307" t="s">
        <v>77</v>
      </c>
      <c r="E307" t="s">
        <v>548</v>
      </c>
      <c r="F307" t="s">
        <v>165</v>
      </c>
      <c r="G307" t="s">
        <v>67</v>
      </c>
    </row>
    <row r="308" spans="1:7" x14ac:dyDescent="0.2">
      <c r="A308" t="s">
        <v>55</v>
      </c>
      <c r="B308" s="7">
        <v>1.1120861815633757E-6</v>
      </c>
      <c r="D308" t="s">
        <v>77</v>
      </c>
      <c r="E308" t="s">
        <v>548</v>
      </c>
      <c r="F308" t="s">
        <v>165</v>
      </c>
      <c r="G308" t="s">
        <v>55</v>
      </c>
    </row>
    <row r="309" spans="1:7" x14ac:dyDescent="0.2">
      <c r="A309" t="s">
        <v>153</v>
      </c>
      <c r="B309" s="7">
        <v>2.7420758420675998E-5</v>
      </c>
      <c r="D309" t="s">
        <v>77</v>
      </c>
      <c r="E309" t="s">
        <v>548</v>
      </c>
      <c r="F309" t="s">
        <v>165</v>
      </c>
      <c r="G309" t="s">
        <v>56</v>
      </c>
    </row>
    <row r="310" spans="1:7" x14ac:dyDescent="0.2">
      <c r="A310" t="s">
        <v>154</v>
      </c>
      <c r="B310" s="7">
        <v>1.217425302427384E-4</v>
      </c>
      <c r="D310" t="s">
        <v>77</v>
      </c>
      <c r="E310" t="s">
        <v>548</v>
      </c>
      <c r="F310" t="s">
        <v>165</v>
      </c>
      <c r="G310" t="s">
        <v>57</v>
      </c>
    </row>
    <row r="311" spans="1:7" x14ac:dyDescent="0.2">
      <c r="A311" t="s">
        <v>213</v>
      </c>
      <c r="B311" s="7">
        <v>8.2468446377972918E-7</v>
      </c>
      <c r="D311" t="s">
        <v>77</v>
      </c>
      <c r="E311" t="s">
        <v>548</v>
      </c>
      <c r="F311" t="s">
        <v>165</v>
      </c>
      <c r="G311" t="s">
        <v>58</v>
      </c>
    </row>
    <row r="312" spans="1:7" x14ac:dyDescent="0.2">
      <c r="A312" t="s">
        <v>155</v>
      </c>
      <c r="B312" s="7">
        <v>8.2468446377972918E-7</v>
      </c>
      <c r="D312" t="s">
        <v>77</v>
      </c>
      <c r="E312" t="s">
        <v>548</v>
      </c>
      <c r="F312" t="s">
        <v>165</v>
      </c>
      <c r="G312" t="s">
        <v>59</v>
      </c>
    </row>
    <row r="313" spans="1:7" x14ac:dyDescent="0.2">
      <c r="A313" t="s">
        <v>156</v>
      </c>
      <c r="B313" s="7">
        <v>8.9890099189194488E-6</v>
      </c>
      <c r="D313" t="s">
        <v>77</v>
      </c>
      <c r="E313" t="s">
        <v>548</v>
      </c>
      <c r="F313" t="s">
        <v>165</v>
      </c>
      <c r="G313" t="s">
        <v>60</v>
      </c>
    </row>
    <row r="314" spans="1:7" x14ac:dyDescent="0.2">
      <c r="A314" t="s">
        <v>214</v>
      </c>
      <c r="B314" s="7">
        <v>2.0617111594493231E-6</v>
      </c>
      <c r="D314" t="s">
        <v>77</v>
      </c>
      <c r="E314" t="s">
        <v>548</v>
      </c>
      <c r="F314" t="s">
        <v>165</v>
      </c>
      <c r="G314" t="s">
        <v>62</v>
      </c>
    </row>
    <row r="315" spans="1:7" x14ac:dyDescent="0.2">
      <c r="A315" t="s">
        <v>209</v>
      </c>
      <c r="B315" s="7">
        <v>8.9680532716447633E-6</v>
      </c>
      <c r="D315" t="s">
        <v>77</v>
      </c>
      <c r="E315" t="s">
        <v>548</v>
      </c>
      <c r="F315" t="s">
        <v>165</v>
      </c>
      <c r="G315" t="s">
        <v>368</v>
      </c>
    </row>
    <row r="316" spans="1:7" x14ac:dyDescent="0.2">
      <c r="A316" t="s">
        <v>316</v>
      </c>
      <c r="B316" s="7">
        <v>6.3236273069289983E-7</v>
      </c>
      <c r="D316" t="s">
        <v>77</v>
      </c>
      <c r="E316" t="s">
        <v>548</v>
      </c>
      <c r="F316" t="s">
        <v>165</v>
      </c>
      <c r="G316" t="s">
        <v>316</v>
      </c>
    </row>
    <row r="317" spans="1:7" x14ac:dyDescent="0.2">
      <c r="A317" t="s">
        <v>317</v>
      </c>
      <c r="B317" s="7">
        <v>1.2885134010983853E-7</v>
      </c>
      <c r="D317" t="s">
        <v>77</v>
      </c>
      <c r="E317" t="s">
        <v>548</v>
      </c>
      <c r="F317" t="s">
        <v>165</v>
      </c>
      <c r="G317" t="s">
        <v>317</v>
      </c>
    </row>
    <row r="318" spans="1:7" x14ac:dyDescent="0.2">
      <c r="A318" t="s">
        <v>318</v>
      </c>
      <c r="B318" s="7">
        <v>1.0387400341162367E-6</v>
      </c>
      <c r="D318" t="s">
        <v>77</v>
      </c>
      <c r="E318" t="s">
        <v>548</v>
      </c>
      <c r="F318" t="s">
        <v>165</v>
      </c>
      <c r="G318" t="s">
        <v>318</v>
      </c>
    </row>
    <row r="319" spans="1:7" x14ac:dyDescent="0.2">
      <c r="A319" t="s">
        <v>319</v>
      </c>
      <c r="B319" s="7">
        <v>4.2620058651715824E-7</v>
      </c>
      <c r="D319" t="s">
        <v>77</v>
      </c>
      <c r="E319" t="s">
        <v>548</v>
      </c>
      <c r="F319" t="s">
        <v>165</v>
      </c>
      <c r="G319" t="s">
        <v>319</v>
      </c>
    </row>
    <row r="320" spans="1:7" x14ac:dyDescent="0.2">
      <c r="A320" t="s">
        <v>320</v>
      </c>
      <c r="B320" s="7">
        <v>3.1915485781052317E-7</v>
      </c>
      <c r="D320" t="s">
        <v>77</v>
      </c>
      <c r="E320" t="s">
        <v>548</v>
      </c>
      <c r="F320" t="s">
        <v>165</v>
      </c>
      <c r="G320" t="s">
        <v>320</v>
      </c>
    </row>
    <row r="321" spans="1:7" x14ac:dyDescent="0.2">
      <c r="A321" t="s">
        <v>321</v>
      </c>
      <c r="B321" s="7">
        <v>2.2598542726956295E-7</v>
      </c>
      <c r="D321" t="s">
        <v>77</v>
      </c>
      <c r="E321" t="s">
        <v>548</v>
      </c>
      <c r="F321" t="s">
        <v>165</v>
      </c>
      <c r="G321" t="s">
        <v>321</v>
      </c>
    </row>
    <row r="322" spans="1:7" x14ac:dyDescent="0.2">
      <c r="A322" t="s">
        <v>322</v>
      </c>
      <c r="B322" s="7">
        <v>1.4669229489427773E-7</v>
      </c>
      <c r="D322" t="s">
        <v>77</v>
      </c>
      <c r="E322" t="s">
        <v>548</v>
      </c>
      <c r="F322" t="s">
        <v>165</v>
      </c>
      <c r="G322" t="s">
        <v>322</v>
      </c>
    </row>
    <row r="323" spans="1:7" x14ac:dyDescent="0.2">
      <c r="A323" t="s">
        <v>323</v>
      </c>
      <c r="B323" s="7">
        <v>1.4470996658489557E-6</v>
      </c>
      <c r="D323" t="s">
        <v>77</v>
      </c>
      <c r="E323" t="s">
        <v>548</v>
      </c>
      <c r="F323" t="s">
        <v>165</v>
      </c>
      <c r="G323" t="s">
        <v>323</v>
      </c>
    </row>
    <row r="324" spans="1:7" x14ac:dyDescent="0.2">
      <c r="A324" t="s">
        <v>324</v>
      </c>
      <c r="B324" s="7">
        <v>7.572494141839741E-7</v>
      </c>
      <c r="D324" t="s">
        <v>77</v>
      </c>
      <c r="E324" t="s">
        <v>548</v>
      </c>
      <c r="F324" t="s">
        <v>165</v>
      </c>
      <c r="G324" t="s">
        <v>324</v>
      </c>
    </row>
    <row r="325" spans="1:7" x14ac:dyDescent="0.2">
      <c r="A325" t="s">
        <v>325</v>
      </c>
      <c r="B325" s="7">
        <v>2.1805611403203451E-8</v>
      </c>
      <c r="D325" t="s">
        <v>77</v>
      </c>
      <c r="E325" t="s">
        <v>548</v>
      </c>
      <c r="F325" t="s">
        <v>165</v>
      </c>
      <c r="G325" t="s">
        <v>325</v>
      </c>
    </row>
    <row r="326" spans="1:7" x14ac:dyDescent="0.2">
      <c r="A326" t="s">
        <v>326</v>
      </c>
      <c r="B326" s="7">
        <v>2.1765964837015801E-6</v>
      </c>
      <c r="D326" t="s">
        <v>77</v>
      </c>
      <c r="E326" t="s">
        <v>548</v>
      </c>
      <c r="F326" t="s">
        <v>165</v>
      </c>
      <c r="G326" t="s">
        <v>326</v>
      </c>
    </row>
    <row r="327" spans="1:7" x14ac:dyDescent="0.2">
      <c r="A327" t="s">
        <v>327</v>
      </c>
      <c r="B327" s="7">
        <v>1.0764042719944975E-6</v>
      </c>
      <c r="D327" t="s">
        <v>77</v>
      </c>
      <c r="E327" t="s">
        <v>548</v>
      </c>
      <c r="F327" t="s">
        <v>165</v>
      </c>
      <c r="G327" t="s">
        <v>327</v>
      </c>
    </row>
    <row r="328" spans="1:7" x14ac:dyDescent="0.2">
      <c r="A328" t="s">
        <v>328</v>
      </c>
      <c r="B328" s="7">
        <v>4.4800619792036162E-7</v>
      </c>
      <c r="D328" t="s">
        <v>77</v>
      </c>
      <c r="E328" t="s">
        <v>548</v>
      </c>
      <c r="F328" t="s">
        <v>165</v>
      </c>
      <c r="G328" t="s">
        <v>328</v>
      </c>
    </row>
    <row r="329" spans="1:7" x14ac:dyDescent="0.2">
      <c r="A329" t="s">
        <v>329</v>
      </c>
      <c r="B329" s="7">
        <v>3.3699581259496236E-7</v>
      </c>
      <c r="D329" t="s">
        <v>77</v>
      </c>
      <c r="E329" t="s">
        <v>548</v>
      </c>
      <c r="F329" t="s">
        <v>165</v>
      </c>
      <c r="G329" t="s">
        <v>329</v>
      </c>
    </row>
    <row r="330" spans="1:7" x14ac:dyDescent="0.2">
      <c r="A330" t="s">
        <v>330</v>
      </c>
      <c r="B330" s="7">
        <v>1.4867462320365984E-7</v>
      </c>
      <c r="D330" t="s">
        <v>77</v>
      </c>
      <c r="E330" t="s">
        <v>548</v>
      </c>
      <c r="F330" t="s">
        <v>165</v>
      </c>
      <c r="G330" t="s">
        <v>330</v>
      </c>
    </row>
    <row r="331" spans="1:7" x14ac:dyDescent="0.2">
      <c r="A331" t="s">
        <v>331</v>
      </c>
      <c r="B331" s="7">
        <v>4.3611222806406902E-8</v>
      </c>
      <c r="D331" t="s">
        <v>77</v>
      </c>
      <c r="E331" t="s">
        <v>548</v>
      </c>
      <c r="F331" t="s">
        <v>165</v>
      </c>
      <c r="G331" t="s">
        <v>331</v>
      </c>
    </row>
    <row r="332" spans="1:7" x14ac:dyDescent="0.2">
      <c r="A332" t="s">
        <v>332</v>
      </c>
      <c r="B332" s="7">
        <v>1.2092202687231004E-7</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3.7664237878260496E-8</v>
      </c>
      <c r="D334" t="s">
        <v>77</v>
      </c>
      <c r="E334" t="s">
        <v>548</v>
      </c>
      <c r="F334" t="s">
        <v>165</v>
      </c>
      <c r="G334" t="s">
        <v>333</v>
      </c>
    </row>
    <row r="335" spans="1:7" x14ac:dyDescent="0.2">
      <c r="A335" t="s">
        <v>334</v>
      </c>
      <c r="B335" s="7">
        <v>2.0021515924759527E-7</v>
      </c>
      <c r="D335" t="s">
        <v>77</v>
      </c>
      <c r="E335" t="s">
        <v>548</v>
      </c>
      <c r="F335" t="s">
        <v>165</v>
      </c>
      <c r="G335" t="s">
        <v>334</v>
      </c>
    </row>
    <row r="336" spans="1:7" x14ac:dyDescent="0.2">
      <c r="A336" t="s">
        <v>343</v>
      </c>
      <c r="B336" s="7">
        <v>1.1944816591992947E-9</v>
      </c>
      <c r="D336" t="s">
        <v>77</v>
      </c>
      <c r="E336" t="s">
        <v>548</v>
      </c>
      <c r="F336" t="s">
        <v>165</v>
      </c>
      <c r="G336" t="s">
        <v>336</v>
      </c>
    </row>
    <row r="337" spans="1:8" x14ac:dyDescent="0.2">
      <c r="A337" t="s">
        <v>337</v>
      </c>
      <c r="B337" s="7">
        <v>1.0297255682752541E-11</v>
      </c>
      <c r="D337" t="s">
        <v>77</v>
      </c>
      <c r="E337" t="s">
        <v>548</v>
      </c>
      <c r="F337" t="s">
        <v>165</v>
      </c>
      <c r="G337" t="s">
        <v>337</v>
      </c>
    </row>
    <row r="338" spans="1:8" x14ac:dyDescent="0.2">
      <c r="A338" t="s">
        <v>338</v>
      </c>
      <c r="B338" s="7">
        <v>6.8648371218350269E-12</v>
      </c>
      <c r="D338" t="s">
        <v>77</v>
      </c>
      <c r="E338" t="s">
        <v>548</v>
      </c>
      <c r="F338" t="s">
        <v>165</v>
      </c>
      <c r="G338" t="s">
        <v>338</v>
      </c>
    </row>
    <row r="339" spans="1:8" x14ac:dyDescent="0.2">
      <c r="A339" t="s">
        <v>339</v>
      </c>
      <c r="B339" s="7">
        <v>7.4140240915818294E-8</v>
      </c>
      <c r="D339" t="s">
        <v>77</v>
      </c>
      <c r="E339" t="s">
        <v>548</v>
      </c>
      <c r="F339" t="s">
        <v>165</v>
      </c>
      <c r="G339" t="s">
        <v>339</v>
      </c>
    </row>
    <row r="340" spans="1:8" x14ac:dyDescent="0.2">
      <c r="A340" t="s">
        <v>297</v>
      </c>
      <c r="B340" s="7">
        <v>1.4416157955853554E-9</v>
      </c>
      <c r="D340" t="s">
        <v>77</v>
      </c>
      <c r="E340" t="s">
        <v>548</v>
      </c>
      <c r="F340" t="s">
        <v>165</v>
      </c>
      <c r="G340" t="s">
        <v>297</v>
      </c>
    </row>
    <row r="341" spans="1:8" x14ac:dyDescent="0.2">
      <c r="A341" t="s">
        <v>299</v>
      </c>
      <c r="B341" s="7">
        <v>4.4621441291927677E-10</v>
      </c>
      <c r="D341" t="s">
        <v>77</v>
      </c>
      <c r="E341" t="s">
        <v>548</v>
      </c>
      <c r="F341" t="s">
        <v>165</v>
      </c>
      <c r="G341" t="s">
        <v>299</v>
      </c>
    </row>
    <row r="342" spans="1:8" x14ac:dyDescent="0.2">
      <c r="A342" t="s">
        <v>298</v>
      </c>
      <c r="B342" s="7">
        <v>5.4918696974680217E-10</v>
      </c>
      <c r="D342" t="s">
        <v>77</v>
      </c>
      <c r="E342" t="s">
        <v>548</v>
      </c>
      <c r="F342" t="s">
        <v>165</v>
      </c>
      <c r="G342" t="s">
        <v>298</v>
      </c>
    </row>
    <row r="343" spans="1:8" x14ac:dyDescent="0.2">
      <c r="A343" t="s">
        <v>342</v>
      </c>
      <c r="B343" s="7">
        <v>1.0983739394936042E-12</v>
      </c>
      <c r="D343" t="s">
        <v>77</v>
      </c>
      <c r="E343" t="s">
        <v>548</v>
      </c>
      <c r="F343" t="s">
        <v>165</v>
      </c>
      <c r="G343" t="s">
        <v>342</v>
      </c>
    </row>
    <row r="344" spans="1:8" x14ac:dyDescent="0.2">
      <c r="A344" t="s">
        <v>340</v>
      </c>
      <c r="B344" s="7">
        <v>2.9862041479982367E-10</v>
      </c>
      <c r="D344" t="s">
        <v>77</v>
      </c>
      <c r="E344" t="s">
        <v>548</v>
      </c>
      <c r="F344" t="s">
        <v>165</v>
      </c>
      <c r="G344" t="s">
        <v>340</v>
      </c>
    </row>
    <row r="345" spans="1:8" x14ac:dyDescent="0.2">
      <c r="A345" t="s">
        <v>341</v>
      </c>
      <c r="B345" s="7">
        <v>3.7070120457909154E-10</v>
      </c>
      <c r="D345" t="s">
        <v>77</v>
      </c>
      <c r="E345" t="s">
        <v>548</v>
      </c>
      <c r="F345" t="s">
        <v>165</v>
      </c>
      <c r="G345" t="s">
        <v>341</v>
      </c>
    </row>
    <row r="346" spans="1:8" x14ac:dyDescent="0.2">
      <c r="A346" t="s">
        <v>157</v>
      </c>
      <c r="B346" s="7">
        <v>-8.5441191684619126E-6</v>
      </c>
      <c r="C346" t="s">
        <v>92</v>
      </c>
      <c r="D346" t="s">
        <v>77</v>
      </c>
      <c r="F346" t="s">
        <v>89</v>
      </c>
      <c r="G346" t="s">
        <v>29</v>
      </c>
      <c r="H346" t="s">
        <v>159</v>
      </c>
    </row>
    <row r="347" spans="1:8" x14ac:dyDescent="0.2">
      <c r="A347" t="s">
        <v>158</v>
      </c>
      <c r="B347" s="7">
        <v>-5.6691348947099748E-6</v>
      </c>
      <c r="C347" t="s">
        <v>92</v>
      </c>
      <c r="D347" t="s">
        <v>77</v>
      </c>
      <c r="F347" t="s">
        <v>89</v>
      </c>
      <c r="G347" t="s">
        <v>30</v>
      </c>
      <c r="H347" t="s">
        <v>160</v>
      </c>
    </row>
    <row r="348" spans="1:8" x14ac:dyDescent="0.2">
      <c r="A348" t="s">
        <v>166</v>
      </c>
      <c r="B348" s="7">
        <v>-3.1464693215033047E-6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419"/>
  <sheetViews>
    <sheetView topLeftCell="A272" workbookViewId="0">
      <selection activeCell="G297" sqref="G29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404</v>
      </c>
    </row>
    <row r="2" spans="1:2" x14ac:dyDescent="0.2">
      <c r="A2" t="s">
        <v>72</v>
      </c>
      <c r="B2" t="s">
        <v>37</v>
      </c>
    </row>
    <row r="3" spans="1:2" x14ac:dyDescent="0.2">
      <c r="A3" t="s">
        <v>86</v>
      </c>
      <c r="B3" t="s">
        <v>404</v>
      </c>
    </row>
    <row r="4" spans="1:2" x14ac:dyDescent="0.2">
      <c r="A4" t="s">
        <v>87</v>
      </c>
    </row>
    <row r="5" spans="1:2" x14ac:dyDescent="0.2">
      <c r="A5" t="s">
        <v>88</v>
      </c>
      <c r="B5">
        <v>2006</v>
      </c>
    </row>
    <row r="6" spans="1:2" x14ac:dyDescent="0.2">
      <c r="A6" t="s">
        <v>124</v>
      </c>
      <c r="B6" t="s">
        <v>407</v>
      </c>
    </row>
    <row r="7" spans="1:2" x14ac:dyDescent="0.2">
      <c r="A7" t="s">
        <v>73</v>
      </c>
      <c r="B7" t="s">
        <v>404</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0</v>
      </c>
    </row>
    <row r="15" spans="1:2" x14ac:dyDescent="0.2">
      <c r="A15" t="s">
        <v>129</v>
      </c>
      <c r="B15">
        <v>2896</v>
      </c>
    </row>
    <row r="16" spans="1:2" x14ac:dyDescent="0.2">
      <c r="A16" t="s">
        <v>130</v>
      </c>
      <c r="B16" s="2">
        <v>262.07499999999999</v>
      </c>
    </row>
    <row r="17" spans="1:8" x14ac:dyDescent="0.2">
      <c r="A17" t="s">
        <v>131</v>
      </c>
      <c r="B17">
        <v>91</v>
      </c>
    </row>
    <row r="18" spans="1:8" x14ac:dyDescent="0.2">
      <c r="A18" t="s">
        <v>132</v>
      </c>
      <c r="B18" t="s">
        <v>85</v>
      </c>
    </row>
    <row r="19" spans="1:8" x14ac:dyDescent="0.2">
      <c r="A19" t="s">
        <v>133</v>
      </c>
      <c r="B19">
        <v>0</v>
      </c>
    </row>
    <row r="20" spans="1:8" x14ac:dyDescent="0.2">
      <c r="A20" t="s">
        <v>136</v>
      </c>
      <c r="B20" s="2">
        <v>159.75</v>
      </c>
    </row>
    <row r="21" spans="1:8" x14ac:dyDescent="0.2">
      <c r="A21" t="s">
        <v>137</v>
      </c>
      <c r="B21">
        <v>13.5</v>
      </c>
    </row>
    <row r="22" spans="1:8" x14ac:dyDescent="0.2">
      <c r="A22" t="s">
        <v>134</v>
      </c>
      <c r="B22" s="2">
        <v>291.42030699682999</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849</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404</v>
      </c>
      <c r="B31">
        <v>1</v>
      </c>
      <c r="C31" t="s">
        <v>37</v>
      </c>
      <c r="D31" t="s">
        <v>76</v>
      </c>
      <c r="F31" t="s">
        <v>84</v>
      </c>
      <c r="G31" t="s">
        <v>85</v>
      </c>
      <c r="H31" t="s">
        <v>404</v>
      </c>
    </row>
    <row r="32" spans="1:8" x14ac:dyDescent="0.2">
      <c r="A32" t="s">
        <v>112</v>
      </c>
      <c r="B32" s="6">
        <v>1.2333333333333334</v>
      </c>
      <c r="C32" t="s">
        <v>92</v>
      </c>
      <c r="D32" t="s">
        <v>76</v>
      </c>
      <c r="F32" t="s">
        <v>89</v>
      </c>
      <c r="G32" t="s">
        <v>15</v>
      </c>
      <c r="H32" t="s">
        <v>113</v>
      </c>
    </row>
    <row r="33" spans="1:8" x14ac:dyDescent="0.2">
      <c r="A33" t="s">
        <v>112</v>
      </c>
      <c r="B33" s="6">
        <v>1.4444444444444444</v>
      </c>
      <c r="C33" t="s">
        <v>92</v>
      </c>
      <c r="D33" t="s">
        <v>76</v>
      </c>
      <c r="F33" t="s">
        <v>89</v>
      </c>
      <c r="G33" t="s">
        <v>16</v>
      </c>
      <c r="H33" t="s">
        <v>113</v>
      </c>
    </row>
    <row r="34" spans="1:8" x14ac:dyDescent="0.2">
      <c r="A34" t="s">
        <v>114</v>
      </c>
      <c r="B34" s="6">
        <v>2.0249999999999999</v>
      </c>
      <c r="C34" t="s">
        <v>92</v>
      </c>
      <c r="D34" t="s">
        <v>77</v>
      </c>
      <c r="F34" t="s">
        <v>89</v>
      </c>
      <c r="G34" t="s">
        <v>24</v>
      </c>
      <c r="H34" t="s">
        <v>115</v>
      </c>
    </row>
    <row r="35" spans="1:8" x14ac:dyDescent="0.2">
      <c r="A35" t="s">
        <v>199</v>
      </c>
      <c r="B35" s="6">
        <v>2.0372233400402413</v>
      </c>
      <c r="C35" t="s">
        <v>92</v>
      </c>
      <c r="D35" t="s">
        <v>77</v>
      </c>
      <c r="F35" t="s">
        <v>89</v>
      </c>
      <c r="G35" t="s">
        <v>422</v>
      </c>
      <c r="H35" t="s">
        <v>199</v>
      </c>
    </row>
    <row r="36" spans="1:8" x14ac:dyDescent="0.2">
      <c r="A36" s="13" t="s">
        <v>549</v>
      </c>
      <c r="B36" s="2">
        <v>262.07499999999999</v>
      </c>
      <c r="C36" t="s">
        <v>92</v>
      </c>
      <c r="D36" t="s">
        <v>193</v>
      </c>
      <c r="F36" t="s">
        <v>89</v>
      </c>
      <c r="H36" s="13" t="s">
        <v>550</v>
      </c>
    </row>
    <row r="37" spans="1:8" x14ac:dyDescent="0.2">
      <c r="A37" s="13" t="s">
        <v>216</v>
      </c>
      <c r="B37" s="2">
        <v>4166.9925000000003</v>
      </c>
      <c r="C37" t="s">
        <v>95</v>
      </c>
      <c r="D37" t="s">
        <v>193</v>
      </c>
      <c r="F37" t="s">
        <v>89</v>
      </c>
      <c r="H37" s="13" t="s">
        <v>216</v>
      </c>
    </row>
    <row r="38" spans="1:8" x14ac:dyDescent="0.2">
      <c r="B38" s="11"/>
    </row>
    <row r="39" spans="1:8" ht="16" x14ac:dyDescent="0.2">
      <c r="A39" s="10" t="s">
        <v>71</v>
      </c>
      <c r="B39" s="8" t="s">
        <v>405</v>
      </c>
    </row>
    <row r="40" spans="1:8" x14ac:dyDescent="0.2">
      <c r="A40" t="s">
        <v>72</v>
      </c>
      <c r="B40" t="s">
        <v>37</v>
      </c>
    </row>
    <row r="41" spans="1:8" x14ac:dyDescent="0.2">
      <c r="A41" t="s">
        <v>86</v>
      </c>
      <c r="B41" t="s">
        <v>405</v>
      </c>
    </row>
    <row r="42" spans="1:8" x14ac:dyDescent="0.2">
      <c r="A42" t="s">
        <v>87</v>
      </c>
    </row>
    <row r="43" spans="1:8" x14ac:dyDescent="0.2">
      <c r="A43" t="s">
        <v>88</v>
      </c>
      <c r="B43">
        <v>2016</v>
      </c>
    </row>
    <row r="44" spans="1:8" x14ac:dyDescent="0.2">
      <c r="A44" t="s">
        <v>124</v>
      </c>
      <c r="B44" t="s">
        <v>408</v>
      </c>
    </row>
    <row r="45" spans="1:8" x14ac:dyDescent="0.2">
      <c r="A45" t="s">
        <v>73</v>
      </c>
      <c r="B45" t="s">
        <v>405</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40500</v>
      </c>
    </row>
    <row r="50" spans="1:2" x14ac:dyDescent="0.2">
      <c r="A50" t="s">
        <v>126</v>
      </c>
      <c r="B50">
        <v>1.1000000000000001</v>
      </c>
    </row>
    <row r="51" spans="1:2" x14ac:dyDescent="0.2">
      <c r="A51" t="s">
        <v>127</v>
      </c>
      <c r="B51">
        <v>1.62</v>
      </c>
    </row>
    <row r="52" spans="1:2" x14ac:dyDescent="0.2">
      <c r="A52" t="s">
        <v>128</v>
      </c>
      <c r="B52">
        <v>0</v>
      </c>
    </row>
    <row r="53" spans="1:2" x14ac:dyDescent="0.2">
      <c r="A53" t="s">
        <v>129</v>
      </c>
      <c r="B53">
        <v>2896</v>
      </c>
    </row>
    <row r="54" spans="1:2" x14ac:dyDescent="0.2">
      <c r="A54" t="s">
        <v>130</v>
      </c>
      <c r="B54" s="2">
        <v>258.745</v>
      </c>
    </row>
    <row r="55" spans="1:2" x14ac:dyDescent="0.2">
      <c r="A55" t="s">
        <v>131</v>
      </c>
      <c r="B55">
        <v>91</v>
      </c>
    </row>
    <row r="56" spans="1:2" x14ac:dyDescent="0.2">
      <c r="A56" t="s">
        <v>132</v>
      </c>
      <c r="B56" t="s">
        <v>85</v>
      </c>
    </row>
    <row r="57" spans="1:2" x14ac:dyDescent="0.2">
      <c r="A57" t="s">
        <v>133</v>
      </c>
      <c r="B57">
        <v>0</v>
      </c>
    </row>
    <row r="58" spans="1:2" x14ac:dyDescent="0.2">
      <c r="A58" t="s">
        <v>136</v>
      </c>
      <c r="B58" s="2">
        <v>159.75</v>
      </c>
    </row>
    <row r="59" spans="1:2" x14ac:dyDescent="0.2">
      <c r="A59" t="s">
        <v>137</v>
      </c>
      <c r="B59">
        <v>13.5</v>
      </c>
    </row>
    <row r="60" spans="1:2" x14ac:dyDescent="0.2">
      <c r="A60" t="s">
        <v>134</v>
      </c>
      <c r="B60" s="2">
        <v>294.33451006679832</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850</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405</v>
      </c>
      <c r="B69">
        <v>1</v>
      </c>
      <c r="C69" t="s">
        <v>37</v>
      </c>
      <c r="D69" t="s">
        <v>76</v>
      </c>
      <c r="F69" t="s">
        <v>84</v>
      </c>
      <c r="G69" t="s">
        <v>85</v>
      </c>
      <c r="H69" t="s">
        <v>405</v>
      </c>
    </row>
    <row r="70" spans="1:8" x14ac:dyDescent="0.2">
      <c r="A70" t="s">
        <v>112</v>
      </c>
      <c r="B70" s="6">
        <v>1.2333333333333334</v>
      </c>
      <c r="C70" t="s">
        <v>92</v>
      </c>
      <c r="D70" t="s">
        <v>76</v>
      </c>
      <c r="F70" t="s">
        <v>89</v>
      </c>
      <c r="G70" t="s">
        <v>15</v>
      </c>
      <c r="H70" t="s">
        <v>113</v>
      </c>
    </row>
    <row r="71" spans="1:8" x14ac:dyDescent="0.2">
      <c r="A71" t="s">
        <v>112</v>
      </c>
      <c r="B71" s="6">
        <v>1.4444444444444444</v>
      </c>
      <c r="C71" t="s">
        <v>92</v>
      </c>
      <c r="D71" t="s">
        <v>76</v>
      </c>
      <c r="F71" t="s">
        <v>89</v>
      </c>
      <c r="G71" t="s">
        <v>16</v>
      </c>
      <c r="H71" t="s">
        <v>113</v>
      </c>
    </row>
    <row r="72" spans="1:8" x14ac:dyDescent="0.2">
      <c r="A72" t="s">
        <v>114</v>
      </c>
      <c r="B72" s="6">
        <v>2.0249999999999999</v>
      </c>
      <c r="C72" t="s">
        <v>92</v>
      </c>
      <c r="D72" t="s">
        <v>77</v>
      </c>
      <c r="F72" t="s">
        <v>89</v>
      </c>
      <c r="G72" t="s">
        <v>24</v>
      </c>
      <c r="H72" t="s">
        <v>115</v>
      </c>
    </row>
    <row r="73" spans="1:8" x14ac:dyDescent="0.2">
      <c r="A73" t="s">
        <v>199</v>
      </c>
      <c r="B73" s="6">
        <v>2.0372233400402413</v>
      </c>
      <c r="C73" t="s">
        <v>92</v>
      </c>
      <c r="D73" t="s">
        <v>77</v>
      </c>
      <c r="F73" t="s">
        <v>89</v>
      </c>
      <c r="G73" t="s">
        <v>422</v>
      </c>
      <c r="H73" t="s">
        <v>199</v>
      </c>
    </row>
    <row r="74" spans="1:8" x14ac:dyDescent="0.2">
      <c r="A74" s="13" t="s">
        <v>549</v>
      </c>
      <c r="B74" s="2">
        <v>258.745</v>
      </c>
      <c r="C74" t="s">
        <v>92</v>
      </c>
      <c r="D74" t="s">
        <v>193</v>
      </c>
      <c r="F74" t="s">
        <v>89</v>
      </c>
      <c r="H74" s="13" t="s">
        <v>550</v>
      </c>
    </row>
    <row r="75" spans="1:8" x14ac:dyDescent="0.2">
      <c r="A75" s="13" t="s">
        <v>216</v>
      </c>
      <c r="B75" s="2">
        <v>4114.0455000000002</v>
      </c>
      <c r="C75" t="s">
        <v>95</v>
      </c>
      <c r="D75" t="s">
        <v>193</v>
      </c>
      <c r="F75" t="s">
        <v>89</v>
      </c>
      <c r="H75" s="13" t="s">
        <v>216</v>
      </c>
    </row>
    <row r="77" spans="1:8" ht="16" x14ac:dyDescent="0.2">
      <c r="A77" s="10" t="s">
        <v>71</v>
      </c>
      <c r="B77" s="8" t="s">
        <v>406</v>
      </c>
    </row>
    <row r="78" spans="1:8" x14ac:dyDescent="0.2">
      <c r="A78" t="s">
        <v>72</v>
      </c>
      <c r="B78" t="s">
        <v>37</v>
      </c>
    </row>
    <row r="79" spans="1:8" x14ac:dyDescent="0.2">
      <c r="A79" t="s">
        <v>86</v>
      </c>
      <c r="B79" t="s">
        <v>406</v>
      </c>
    </row>
    <row r="80" spans="1:8" x14ac:dyDescent="0.2">
      <c r="A80" t="s">
        <v>87</v>
      </c>
    </row>
    <row r="81" spans="1:2" x14ac:dyDescent="0.2">
      <c r="A81" t="s">
        <v>88</v>
      </c>
      <c r="B81">
        <v>2020</v>
      </c>
    </row>
    <row r="82" spans="1:2" x14ac:dyDescent="0.2">
      <c r="A82" t="s">
        <v>124</v>
      </c>
      <c r="B82" t="s">
        <v>409</v>
      </c>
    </row>
    <row r="83" spans="1:2" x14ac:dyDescent="0.2">
      <c r="A83" t="s">
        <v>73</v>
      </c>
      <c r="B83" t="s">
        <v>406</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40500</v>
      </c>
    </row>
    <row r="88" spans="1:2" x14ac:dyDescent="0.2">
      <c r="A88" t="s">
        <v>126</v>
      </c>
      <c r="B88">
        <v>1.1000000000000001</v>
      </c>
    </row>
    <row r="89" spans="1:2" x14ac:dyDescent="0.2">
      <c r="A89" t="s">
        <v>127</v>
      </c>
      <c r="B89">
        <v>1.62</v>
      </c>
    </row>
    <row r="90" spans="1:2" x14ac:dyDescent="0.2">
      <c r="A90" t="s">
        <v>128</v>
      </c>
      <c r="B90">
        <v>0</v>
      </c>
    </row>
    <row r="91" spans="1:2" x14ac:dyDescent="0.2">
      <c r="A91" t="s">
        <v>129</v>
      </c>
      <c r="B91">
        <v>2896</v>
      </c>
    </row>
    <row r="92" spans="1:2" x14ac:dyDescent="0.2">
      <c r="A92" t="s">
        <v>130</v>
      </c>
      <c r="B92" s="2">
        <v>256.52499999999998</v>
      </c>
    </row>
    <row r="93" spans="1:2" x14ac:dyDescent="0.2">
      <c r="A93" t="s">
        <v>131</v>
      </c>
      <c r="B93">
        <v>91</v>
      </c>
    </row>
    <row r="94" spans="1:2" x14ac:dyDescent="0.2">
      <c r="A94" t="s">
        <v>132</v>
      </c>
      <c r="B94" t="s">
        <v>85</v>
      </c>
    </row>
    <row r="95" spans="1:2" x14ac:dyDescent="0.2">
      <c r="A95" t="s">
        <v>133</v>
      </c>
      <c r="B95">
        <v>0</v>
      </c>
    </row>
    <row r="96" spans="1:2" x14ac:dyDescent="0.2">
      <c r="A96" t="s">
        <v>136</v>
      </c>
      <c r="B96" s="2">
        <v>159.75</v>
      </c>
    </row>
    <row r="97" spans="1:8" x14ac:dyDescent="0.2">
      <c r="A97" t="s">
        <v>137</v>
      </c>
      <c r="B97">
        <v>13.5</v>
      </c>
    </row>
    <row r="98" spans="1:8" x14ac:dyDescent="0.2">
      <c r="A98" t="s">
        <v>134</v>
      </c>
      <c r="B98" s="2">
        <v>297.30758592605895</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851</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406</v>
      </c>
      <c r="B107">
        <v>1</v>
      </c>
      <c r="C107" t="s">
        <v>37</v>
      </c>
      <c r="D107" t="s">
        <v>76</v>
      </c>
      <c r="F107" t="s">
        <v>84</v>
      </c>
      <c r="G107" t="s">
        <v>85</v>
      </c>
      <c r="H107" t="s">
        <v>406</v>
      </c>
    </row>
    <row r="108" spans="1:8" x14ac:dyDescent="0.2">
      <c r="A108" t="s">
        <v>112</v>
      </c>
      <c r="B108" s="6">
        <v>1.2333333333333334</v>
      </c>
      <c r="C108" t="s">
        <v>92</v>
      </c>
      <c r="D108" t="s">
        <v>76</v>
      </c>
      <c r="F108" t="s">
        <v>89</v>
      </c>
      <c r="G108" t="s">
        <v>15</v>
      </c>
      <c r="H108" t="s">
        <v>113</v>
      </c>
    </row>
    <row r="109" spans="1:8" x14ac:dyDescent="0.2">
      <c r="A109" t="s">
        <v>112</v>
      </c>
      <c r="B109" s="6">
        <v>1.4444444444444444</v>
      </c>
      <c r="C109" t="s">
        <v>92</v>
      </c>
      <c r="D109" t="s">
        <v>76</v>
      </c>
      <c r="F109" t="s">
        <v>89</v>
      </c>
      <c r="G109" t="s">
        <v>16</v>
      </c>
      <c r="H109" t="s">
        <v>113</v>
      </c>
    </row>
    <row r="110" spans="1:8" x14ac:dyDescent="0.2">
      <c r="A110" t="s">
        <v>114</v>
      </c>
      <c r="B110" s="6">
        <v>2.0249999999999999</v>
      </c>
      <c r="C110" t="s">
        <v>92</v>
      </c>
      <c r="D110" t="s">
        <v>77</v>
      </c>
      <c r="F110" t="s">
        <v>89</v>
      </c>
      <c r="G110" t="s">
        <v>24</v>
      </c>
      <c r="H110" t="s">
        <v>115</v>
      </c>
    </row>
    <row r="111" spans="1:8" x14ac:dyDescent="0.2">
      <c r="A111" t="s">
        <v>199</v>
      </c>
      <c r="B111" s="6">
        <v>2.0372233400402413</v>
      </c>
      <c r="C111" t="s">
        <v>92</v>
      </c>
      <c r="D111" t="s">
        <v>77</v>
      </c>
      <c r="F111" t="s">
        <v>89</v>
      </c>
      <c r="G111" t="s">
        <v>422</v>
      </c>
      <c r="H111" t="s">
        <v>199</v>
      </c>
    </row>
    <row r="112" spans="1:8" x14ac:dyDescent="0.2">
      <c r="A112" s="13" t="s">
        <v>549</v>
      </c>
      <c r="B112" s="2">
        <v>256.52499999999998</v>
      </c>
      <c r="C112" t="s">
        <v>92</v>
      </c>
      <c r="D112" t="s">
        <v>193</v>
      </c>
      <c r="F112" t="s">
        <v>89</v>
      </c>
      <c r="H112" s="13" t="s">
        <v>550</v>
      </c>
    </row>
    <row r="113" spans="1:8" x14ac:dyDescent="0.2">
      <c r="A113" s="13" t="s">
        <v>216</v>
      </c>
      <c r="B113" s="2">
        <v>4078.7474999999999</v>
      </c>
      <c r="C113" t="s">
        <v>95</v>
      </c>
      <c r="D113" t="s">
        <v>193</v>
      </c>
      <c r="F113" t="s">
        <v>89</v>
      </c>
      <c r="H113" s="13" t="s">
        <v>216</v>
      </c>
    </row>
    <row r="115" spans="1:8" ht="16" x14ac:dyDescent="0.2">
      <c r="A115" s="10" t="s">
        <v>71</v>
      </c>
      <c r="B115" s="8" t="s">
        <v>852</v>
      </c>
    </row>
    <row r="116" spans="1:8" x14ac:dyDescent="0.2">
      <c r="A116" t="s">
        <v>72</v>
      </c>
      <c r="B116" t="s">
        <v>37</v>
      </c>
    </row>
    <row r="117" spans="1:8" x14ac:dyDescent="0.2">
      <c r="A117" t="s">
        <v>86</v>
      </c>
      <c r="B117" t="s">
        <v>404</v>
      </c>
    </row>
    <row r="118" spans="1:8" x14ac:dyDescent="0.2">
      <c r="A118" t="s">
        <v>87</v>
      </c>
    </row>
    <row r="119" spans="1:8" x14ac:dyDescent="0.2">
      <c r="A119" t="s">
        <v>88</v>
      </c>
      <c r="B119">
        <v>2006</v>
      </c>
    </row>
    <row r="120" spans="1:8" x14ac:dyDescent="0.2">
      <c r="A120" t="s">
        <v>124</v>
      </c>
      <c r="B120" t="s">
        <v>407</v>
      </c>
    </row>
    <row r="121" spans="1:8" x14ac:dyDescent="0.2">
      <c r="A121" t="s">
        <v>73</v>
      </c>
      <c r="B121" t="s">
        <v>852</v>
      </c>
    </row>
    <row r="122" spans="1:8" x14ac:dyDescent="0.2">
      <c r="A122" t="s">
        <v>74</v>
      </c>
      <c r="B122" t="s">
        <v>75</v>
      </c>
    </row>
    <row r="123" spans="1:8" x14ac:dyDescent="0.2">
      <c r="A123" t="s">
        <v>76</v>
      </c>
      <c r="B123" t="s">
        <v>164</v>
      </c>
    </row>
    <row r="124" spans="1:8" x14ac:dyDescent="0.2">
      <c r="A124" t="s">
        <v>78</v>
      </c>
      <c r="B124" t="s">
        <v>774</v>
      </c>
    </row>
    <row r="125" spans="1:8" x14ac:dyDescent="0.2">
      <c r="A125" t="s">
        <v>125</v>
      </c>
      <c r="B125">
        <v>40500</v>
      </c>
    </row>
    <row r="126" spans="1:8" x14ac:dyDescent="0.2">
      <c r="A126" t="s">
        <v>126</v>
      </c>
      <c r="B126">
        <v>1.1000000000000001</v>
      </c>
    </row>
    <row r="127" spans="1:8" x14ac:dyDescent="0.2">
      <c r="A127" t="s">
        <v>127</v>
      </c>
      <c r="B127">
        <v>1.62</v>
      </c>
    </row>
    <row r="128" spans="1:8" x14ac:dyDescent="0.2">
      <c r="A128" t="s">
        <v>128</v>
      </c>
      <c r="B128">
        <v>0</v>
      </c>
    </row>
    <row r="129" spans="1:8" x14ac:dyDescent="0.2">
      <c r="A129" t="s">
        <v>129</v>
      </c>
      <c r="B129">
        <v>2896</v>
      </c>
    </row>
    <row r="130" spans="1:8" x14ac:dyDescent="0.2">
      <c r="A130" t="s">
        <v>130</v>
      </c>
      <c r="B130" s="2">
        <v>262.07499999999999</v>
      </c>
    </row>
    <row r="131" spans="1:8" x14ac:dyDescent="0.2">
      <c r="A131" t="s">
        <v>131</v>
      </c>
      <c r="B131">
        <v>91</v>
      </c>
    </row>
    <row r="132" spans="1:8" x14ac:dyDescent="0.2">
      <c r="A132" t="s">
        <v>132</v>
      </c>
      <c r="B132" t="s">
        <v>85</v>
      </c>
    </row>
    <row r="133" spans="1:8" x14ac:dyDescent="0.2">
      <c r="A133" t="s">
        <v>133</v>
      </c>
      <c r="B133">
        <v>0</v>
      </c>
    </row>
    <row r="134" spans="1:8" x14ac:dyDescent="0.2">
      <c r="A134" t="s">
        <v>136</v>
      </c>
      <c r="B134" s="2">
        <v>159.75</v>
      </c>
    </row>
    <row r="135" spans="1:8" x14ac:dyDescent="0.2">
      <c r="A135" t="s">
        <v>137</v>
      </c>
      <c r="B135">
        <v>13.5</v>
      </c>
    </row>
    <row r="136" spans="1:8" x14ac:dyDescent="0.2">
      <c r="A136" t="s">
        <v>134</v>
      </c>
      <c r="B136" s="2">
        <v>291.42030699682999</v>
      </c>
    </row>
    <row r="137" spans="1:8" x14ac:dyDescent="0.2">
      <c r="A137" t="s">
        <v>135</v>
      </c>
      <c r="B137" t="s">
        <v>139</v>
      </c>
    </row>
    <row r="138" spans="1:8" x14ac:dyDescent="0.2">
      <c r="A138" t="s">
        <v>796</v>
      </c>
      <c r="B138" s="6">
        <v>-0.05</v>
      </c>
    </row>
    <row r="139" spans="1:8" x14ac:dyDescent="0.2">
      <c r="A139" t="s">
        <v>83</v>
      </c>
      <c r="B139" t="s">
        <v>853</v>
      </c>
    </row>
    <row r="140" spans="1:8" ht="16" x14ac:dyDescent="0.2">
      <c r="A140" s="10" t="s">
        <v>79</v>
      </c>
    </row>
    <row r="141" spans="1:8" x14ac:dyDescent="0.2">
      <c r="A141" t="s">
        <v>80</v>
      </c>
      <c r="B141" t="s">
        <v>81</v>
      </c>
      <c r="C141" t="s">
        <v>72</v>
      </c>
      <c r="D141" t="s">
        <v>76</v>
      </c>
      <c r="E141" t="s">
        <v>82</v>
      </c>
      <c r="F141" t="s">
        <v>74</v>
      </c>
      <c r="G141" t="s">
        <v>83</v>
      </c>
      <c r="H141" t="s">
        <v>73</v>
      </c>
    </row>
    <row r="142" spans="1:8" x14ac:dyDescent="0.2">
      <c r="A142" t="s">
        <v>852</v>
      </c>
      <c r="B142">
        <v>1</v>
      </c>
      <c r="C142" t="s">
        <v>37</v>
      </c>
      <c r="D142" t="s">
        <v>164</v>
      </c>
      <c r="F142" t="s">
        <v>84</v>
      </c>
      <c r="G142" t="s">
        <v>85</v>
      </c>
      <c r="H142" t="s">
        <v>852</v>
      </c>
    </row>
    <row r="143" spans="1:8" x14ac:dyDescent="0.2">
      <c r="A143" t="s">
        <v>404</v>
      </c>
      <c r="B143" s="7">
        <v>2.4691358024691357E-5</v>
      </c>
      <c r="C143" t="s">
        <v>37</v>
      </c>
      <c r="D143" t="s">
        <v>76</v>
      </c>
      <c r="F143" t="s">
        <v>89</v>
      </c>
      <c r="H143" t="s">
        <v>404</v>
      </c>
    </row>
    <row r="144" spans="1:8" x14ac:dyDescent="0.2">
      <c r="A144" t="s">
        <v>107</v>
      </c>
      <c r="B144" s="7">
        <v>1.8825877500000001E-4</v>
      </c>
      <c r="C144" t="s">
        <v>37</v>
      </c>
      <c r="D144" t="s">
        <v>105</v>
      </c>
      <c r="F144" t="s">
        <v>89</v>
      </c>
      <c r="G144" t="s">
        <v>103</v>
      </c>
      <c r="H144" t="s">
        <v>108</v>
      </c>
    </row>
    <row r="145" spans="1:8" x14ac:dyDescent="0.2">
      <c r="A145" t="s">
        <v>111</v>
      </c>
      <c r="B145" s="7">
        <v>1.2899999999999999E-3</v>
      </c>
      <c r="C145" t="s">
        <v>37</v>
      </c>
      <c r="D145" t="s">
        <v>105</v>
      </c>
      <c r="F145" t="s">
        <v>89</v>
      </c>
      <c r="G145" t="s">
        <v>110</v>
      </c>
      <c r="H145" t="s">
        <v>111</v>
      </c>
    </row>
    <row r="146" spans="1:8" x14ac:dyDescent="0.2">
      <c r="A146" t="s">
        <v>119</v>
      </c>
      <c r="B146" s="7">
        <v>4.0000000000000003E-5</v>
      </c>
      <c r="C146" t="s">
        <v>37</v>
      </c>
      <c r="D146" t="s">
        <v>76</v>
      </c>
      <c r="F146" t="s">
        <v>89</v>
      </c>
      <c r="G146" t="s">
        <v>116</v>
      </c>
      <c r="H146" t="s">
        <v>119</v>
      </c>
    </row>
    <row r="147" spans="1:8" x14ac:dyDescent="0.2">
      <c r="A147" t="s">
        <v>557</v>
      </c>
      <c r="B147" s="7">
        <v>4.6324843107611056E-2</v>
      </c>
      <c r="C147" t="s">
        <v>37</v>
      </c>
      <c r="D147" t="s">
        <v>77</v>
      </c>
      <c r="F147" t="s">
        <v>89</v>
      </c>
      <c r="G147" t="s">
        <v>27</v>
      </c>
      <c r="H147" t="s">
        <v>558</v>
      </c>
    </row>
    <row r="148" spans="1:8" x14ac:dyDescent="0.2">
      <c r="A148" t="s">
        <v>152</v>
      </c>
      <c r="B148" s="11">
        <v>0.14371448726960392</v>
      </c>
      <c r="D148" t="s">
        <v>77</v>
      </c>
      <c r="E148" t="s">
        <v>548</v>
      </c>
      <c r="F148" t="s">
        <v>165</v>
      </c>
      <c r="G148" t="s">
        <v>66</v>
      </c>
    </row>
    <row r="149" spans="1:8" x14ac:dyDescent="0.2">
      <c r="A149" t="s">
        <v>554</v>
      </c>
      <c r="B149" s="11">
        <v>1.7455200882947846E-3</v>
      </c>
      <c r="D149" t="s">
        <v>77</v>
      </c>
      <c r="E149" t="s">
        <v>548</v>
      </c>
      <c r="F149" t="s">
        <v>165</v>
      </c>
      <c r="G149" t="s">
        <v>552</v>
      </c>
    </row>
    <row r="150" spans="1:8" x14ac:dyDescent="0.2">
      <c r="A150" t="s">
        <v>212</v>
      </c>
      <c r="B150" s="7">
        <v>7.4119748972177688E-7</v>
      </c>
      <c r="D150" t="s">
        <v>77</v>
      </c>
      <c r="E150" t="s">
        <v>548</v>
      </c>
      <c r="F150" t="s">
        <v>165</v>
      </c>
      <c r="G150" t="s">
        <v>67</v>
      </c>
    </row>
    <row r="151" spans="1:8" x14ac:dyDescent="0.2">
      <c r="A151" t="s">
        <v>55</v>
      </c>
      <c r="B151" s="7">
        <v>7.237951507199054E-6</v>
      </c>
      <c r="D151" t="s">
        <v>77</v>
      </c>
      <c r="E151" t="s">
        <v>548</v>
      </c>
      <c r="F151" t="s">
        <v>165</v>
      </c>
      <c r="G151" t="s">
        <v>55</v>
      </c>
    </row>
    <row r="152" spans="1:8" x14ac:dyDescent="0.2">
      <c r="A152" t="s">
        <v>153</v>
      </c>
      <c r="B152" s="7">
        <v>1.6720380300830153E-5</v>
      </c>
      <c r="D152" t="s">
        <v>77</v>
      </c>
      <c r="E152" t="s">
        <v>548</v>
      </c>
      <c r="F152" t="s">
        <v>165</v>
      </c>
      <c r="G152" t="s">
        <v>56</v>
      </c>
    </row>
    <row r="153" spans="1:8" x14ac:dyDescent="0.2">
      <c r="A153" t="s">
        <v>154</v>
      </c>
      <c r="B153" s="7">
        <v>2.9373204293002417E-4</v>
      </c>
      <c r="D153" t="s">
        <v>77</v>
      </c>
      <c r="E153" t="s">
        <v>548</v>
      </c>
      <c r="F153" t="s">
        <v>165</v>
      </c>
      <c r="G153" t="s">
        <v>57</v>
      </c>
    </row>
    <row r="154" spans="1:8" x14ac:dyDescent="0.2">
      <c r="A154" t="s">
        <v>213</v>
      </c>
      <c r="B154" s="7">
        <v>8.8002001583316587E-7</v>
      </c>
      <c r="D154" t="s">
        <v>77</v>
      </c>
      <c r="E154" t="s">
        <v>548</v>
      </c>
      <c r="F154" t="s">
        <v>165</v>
      </c>
      <c r="G154" t="s">
        <v>58</v>
      </c>
    </row>
    <row r="155" spans="1:8" x14ac:dyDescent="0.2">
      <c r="A155" t="s">
        <v>155</v>
      </c>
      <c r="B155" s="7">
        <v>8.8002001583316587E-7</v>
      </c>
      <c r="D155" t="s">
        <v>77</v>
      </c>
      <c r="E155" t="s">
        <v>548</v>
      </c>
      <c r="F155" t="s">
        <v>165</v>
      </c>
      <c r="G155" t="s">
        <v>59</v>
      </c>
    </row>
    <row r="156" spans="1:8" x14ac:dyDescent="0.2">
      <c r="A156" t="s">
        <v>156</v>
      </c>
      <c r="B156" s="7">
        <v>3.1128530669022286E-5</v>
      </c>
      <c r="D156" t="s">
        <v>77</v>
      </c>
      <c r="E156" t="s">
        <v>548</v>
      </c>
      <c r="F156" t="s">
        <v>165</v>
      </c>
      <c r="G156" t="s">
        <v>60</v>
      </c>
    </row>
    <row r="157" spans="1:8" x14ac:dyDescent="0.2">
      <c r="A157" t="s">
        <v>214</v>
      </c>
      <c r="B157" s="7">
        <v>2.2000500395829146E-6</v>
      </c>
      <c r="D157" t="s">
        <v>77</v>
      </c>
      <c r="E157" t="s">
        <v>548</v>
      </c>
      <c r="F157" t="s">
        <v>165</v>
      </c>
      <c r="G157" t="s">
        <v>62</v>
      </c>
    </row>
    <row r="158" spans="1:8" x14ac:dyDescent="0.2">
      <c r="A158" t="s">
        <v>209</v>
      </c>
      <c r="B158" s="7">
        <v>5.8368079533990228E-5</v>
      </c>
      <c r="D158" t="s">
        <v>77</v>
      </c>
      <c r="E158" t="s">
        <v>548</v>
      </c>
      <c r="F158" t="s">
        <v>165</v>
      </c>
      <c r="G158" t="s">
        <v>368</v>
      </c>
    </row>
    <row r="159" spans="1:8" x14ac:dyDescent="0.2">
      <c r="A159" t="s">
        <v>316</v>
      </c>
      <c r="B159" s="7">
        <v>4.1156979158582854E-6</v>
      </c>
      <c r="D159" t="s">
        <v>77</v>
      </c>
      <c r="E159" t="s">
        <v>548</v>
      </c>
      <c r="F159" t="s">
        <v>165</v>
      </c>
      <c r="G159" t="s">
        <v>316</v>
      </c>
    </row>
    <row r="160" spans="1:8" x14ac:dyDescent="0.2">
      <c r="A160" t="s">
        <v>317</v>
      </c>
      <c r="B160" s="7">
        <v>8.3862183238491708E-7</v>
      </c>
      <c r="D160" t="s">
        <v>77</v>
      </c>
      <c r="E160" t="s">
        <v>548</v>
      </c>
      <c r="F160" t="s">
        <v>165</v>
      </c>
      <c r="G160" t="s">
        <v>317</v>
      </c>
    </row>
    <row r="161" spans="1:7" x14ac:dyDescent="0.2">
      <c r="A161" t="s">
        <v>318</v>
      </c>
      <c r="B161" s="7">
        <v>6.7605821564568703E-6</v>
      </c>
      <c r="D161" t="s">
        <v>77</v>
      </c>
      <c r="E161" t="s">
        <v>548</v>
      </c>
      <c r="F161" t="s">
        <v>165</v>
      </c>
      <c r="G161" t="s">
        <v>318</v>
      </c>
    </row>
    <row r="162" spans="1:7" x14ac:dyDescent="0.2">
      <c r="A162" t="s">
        <v>319</v>
      </c>
      <c r="B162" s="7">
        <v>2.7739029840424182E-6</v>
      </c>
      <c r="D162" t="s">
        <v>77</v>
      </c>
      <c r="E162" t="s">
        <v>548</v>
      </c>
      <c r="F162" t="s">
        <v>165</v>
      </c>
      <c r="G162" t="s">
        <v>319</v>
      </c>
    </row>
    <row r="163" spans="1:7" x14ac:dyDescent="0.2">
      <c r="A163" t="s">
        <v>320</v>
      </c>
      <c r="B163" s="7">
        <v>2.0772017694457178E-6</v>
      </c>
      <c r="D163" t="s">
        <v>77</v>
      </c>
      <c r="E163" t="s">
        <v>548</v>
      </c>
      <c r="F163" t="s">
        <v>165</v>
      </c>
      <c r="G163" t="s">
        <v>320</v>
      </c>
    </row>
    <row r="164" spans="1:7" x14ac:dyDescent="0.2">
      <c r="A164" t="s">
        <v>321</v>
      </c>
      <c r="B164" s="7">
        <v>1.4708136752597006E-6</v>
      </c>
      <c r="D164" t="s">
        <v>77</v>
      </c>
      <c r="E164" t="s">
        <v>548</v>
      </c>
      <c r="F164" t="s">
        <v>165</v>
      </c>
      <c r="G164" t="s">
        <v>321</v>
      </c>
    </row>
    <row r="165" spans="1:7" x14ac:dyDescent="0.2">
      <c r="A165" t="s">
        <v>322</v>
      </c>
      <c r="B165" s="7">
        <v>9.5473870148436736E-7</v>
      </c>
      <c r="D165" t="s">
        <v>77</v>
      </c>
      <c r="E165" t="s">
        <v>548</v>
      </c>
      <c r="F165" t="s">
        <v>165</v>
      </c>
      <c r="G165" t="s">
        <v>322</v>
      </c>
    </row>
    <row r="166" spans="1:7" x14ac:dyDescent="0.2">
      <c r="A166" t="s">
        <v>323</v>
      </c>
      <c r="B166" s="7">
        <v>9.4183682713998361E-6</v>
      </c>
      <c r="D166" t="s">
        <v>77</v>
      </c>
      <c r="E166" t="s">
        <v>548</v>
      </c>
      <c r="F166" t="s">
        <v>165</v>
      </c>
      <c r="G166" t="s">
        <v>323</v>
      </c>
    </row>
    <row r="167" spans="1:7" x14ac:dyDescent="0.2">
      <c r="A167" t="s">
        <v>324</v>
      </c>
      <c r="B167" s="7">
        <v>4.928515999554436E-6</v>
      </c>
      <c r="D167" t="s">
        <v>77</v>
      </c>
      <c r="E167" t="s">
        <v>548</v>
      </c>
      <c r="F167" t="s">
        <v>165</v>
      </c>
      <c r="G167" t="s">
        <v>324</v>
      </c>
    </row>
    <row r="168" spans="1:7" x14ac:dyDescent="0.2">
      <c r="A168" t="s">
        <v>325</v>
      </c>
      <c r="B168" s="7">
        <v>1.4192061778821673E-7</v>
      </c>
      <c r="D168" t="s">
        <v>77</v>
      </c>
      <c r="E168" t="s">
        <v>548</v>
      </c>
      <c r="F168" t="s">
        <v>165</v>
      </c>
      <c r="G168" t="s">
        <v>325</v>
      </c>
    </row>
    <row r="169" spans="1:7" x14ac:dyDescent="0.2">
      <c r="A169" t="s">
        <v>326</v>
      </c>
      <c r="B169" s="7">
        <v>1.4166258030132906E-5</v>
      </c>
      <c r="D169" t="s">
        <v>77</v>
      </c>
      <c r="E169" t="s">
        <v>548</v>
      </c>
      <c r="F169" t="s">
        <v>165</v>
      </c>
      <c r="G169" t="s">
        <v>326</v>
      </c>
    </row>
    <row r="170" spans="1:7" x14ac:dyDescent="0.2">
      <c r="A170" t="s">
        <v>327</v>
      </c>
      <c r="B170" s="7">
        <v>7.0057177690001534E-6</v>
      </c>
      <c r="D170" t="s">
        <v>77</v>
      </c>
      <c r="E170" t="s">
        <v>548</v>
      </c>
      <c r="F170" t="s">
        <v>165</v>
      </c>
      <c r="G170" t="s">
        <v>327</v>
      </c>
    </row>
    <row r="171" spans="1:7" x14ac:dyDescent="0.2">
      <c r="A171" t="s">
        <v>328</v>
      </c>
      <c r="B171" s="7">
        <v>2.9158236018306349E-6</v>
      </c>
      <c r="D171" t="s">
        <v>77</v>
      </c>
      <c r="E171" t="s">
        <v>548</v>
      </c>
      <c r="F171" t="s">
        <v>165</v>
      </c>
      <c r="G171" t="s">
        <v>328</v>
      </c>
    </row>
    <row r="172" spans="1:7" x14ac:dyDescent="0.2">
      <c r="A172" t="s">
        <v>329</v>
      </c>
      <c r="B172" s="7">
        <v>2.1933186385451676E-6</v>
      </c>
      <c r="D172" t="s">
        <v>77</v>
      </c>
      <c r="E172" t="s">
        <v>548</v>
      </c>
      <c r="F172" t="s">
        <v>165</v>
      </c>
      <c r="G172" t="s">
        <v>329</v>
      </c>
    </row>
    <row r="173" spans="1:7" x14ac:dyDescent="0.2">
      <c r="A173" t="s">
        <v>330</v>
      </c>
      <c r="B173" s="7">
        <v>9.6764057582875035E-7</v>
      </c>
      <c r="D173" t="s">
        <v>77</v>
      </c>
      <c r="E173" t="s">
        <v>548</v>
      </c>
      <c r="F173" t="s">
        <v>165</v>
      </c>
      <c r="G173" t="s">
        <v>330</v>
      </c>
    </row>
    <row r="174" spans="1:7" x14ac:dyDescent="0.2">
      <c r="A174" t="s">
        <v>331</v>
      </c>
      <c r="B174" s="7">
        <v>2.8384123557643346E-7</v>
      </c>
      <c r="D174" t="s">
        <v>77</v>
      </c>
      <c r="E174" t="s">
        <v>548</v>
      </c>
      <c r="F174" t="s">
        <v>165</v>
      </c>
      <c r="G174" t="s">
        <v>331</v>
      </c>
    </row>
    <row r="175" spans="1:7" x14ac:dyDescent="0.2">
      <c r="A175" t="s">
        <v>332</v>
      </c>
      <c r="B175" s="7">
        <v>7.8701433500738386E-7</v>
      </c>
      <c r="D175" t="s">
        <v>77</v>
      </c>
      <c r="E175" t="s">
        <v>548</v>
      </c>
      <c r="F175" t="s">
        <v>165</v>
      </c>
      <c r="G175" t="s">
        <v>332</v>
      </c>
    </row>
    <row r="176" spans="1:7" x14ac:dyDescent="0.2">
      <c r="A176" t="s">
        <v>335</v>
      </c>
      <c r="B176" s="7">
        <v>6.4509371721916699E-8</v>
      </c>
      <c r="D176" t="s">
        <v>77</v>
      </c>
      <c r="E176" t="s">
        <v>548</v>
      </c>
      <c r="F176" t="s">
        <v>165</v>
      </c>
      <c r="G176" t="s">
        <v>335</v>
      </c>
    </row>
    <row r="177" spans="1:8" x14ac:dyDescent="0.2">
      <c r="A177" t="s">
        <v>333</v>
      </c>
      <c r="B177" s="7">
        <v>2.4513561254328344E-7</v>
      </c>
      <c r="D177" t="s">
        <v>77</v>
      </c>
      <c r="E177" t="s">
        <v>548</v>
      </c>
      <c r="F177" t="s">
        <v>165</v>
      </c>
      <c r="G177" t="s">
        <v>333</v>
      </c>
    </row>
    <row r="178" spans="1:8" x14ac:dyDescent="0.2">
      <c r="A178" t="s">
        <v>334</v>
      </c>
      <c r="B178" s="7">
        <v>1.3030893087827173E-6</v>
      </c>
      <c r="D178" t="s">
        <v>77</v>
      </c>
      <c r="E178" t="s">
        <v>548</v>
      </c>
      <c r="F178" t="s">
        <v>165</v>
      </c>
      <c r="G178" t="s">
        <v>334</v>
      </c>
    </row>
    <row r="179" spans="1:8" x14ac:dyDescent="0.2">
      <c r="A179" t="s">
        <v>343</v>
      </c>
      <c r="B179" s="7">
        <v>1.6158977272981469E-9</v>
      </c>
      <c r="D179" t="s">
        <v>77</v>
      </c>
      <c r="E179" t="s">
        <v>548</v>
      </c>
      <c r="F179" t="s">
        <v>165</v>
      </c>
      <c r="G179" t="s">
        <v>336</v>
      </c>
    </row>
    <row r="180" spans="1:8" x14ac:dyDescent="0.2">
      <c r="A180" t="s">
        <v>337</v>
      </c>
      <c r="B180" s="7">
        <v>1.3930152821535749E-11</v>
      </c>
      <c r="D180" t="s">
        <v>77</v>
      </c>
      <c r="E180" t="s">
        <v>548</v>
      </c>
      <c r="F180" t="s">
        <v>165</v>
      </c>
      <c r="G180" t="s">
        <v>337</v>
      </c>
    </row>
    <row r="181" spans="1:8" x14ac:dyDescent="0.2">
      <c r="A181" t="s">
        <v>338</v>
      </c>
      <c r="B181" s="7">
        <v>9.2867685476904988E-12</v>
      </c>
      <c r="D181" t="s">
        <v>77</v>
      </c>
      <c r="E181" t="s">
        <v>548</v>
      </c>
      <c r="F181" t="s">
        <v>165</v>
      </c>
      <c r="G181" t="s">
        <v>338</v>
      </c>
    </row>
    <row r="182" spans="1:8" x14ac:dyDescent="0.2">
      <c r="A182" t="s">
        <v>339</v>
      </c>
      <c r="B182" s="7">
        <v>1.0029710031505739E-7</v>
      </c>
      <c r="D182" t="s">
        <v>77</v>
      </c>
      <c r="E182" t="s">
        <v>548</v>
      </c>
      <c r="F182" t="s">
        <v>165</v>
      </c>
      <c r="G182" t="s">
        <v>339</v>
      </c>
    </row>
    <row r="183" spans="1:8" x14ac:dyDescent="0.2">
      <c r="A183" t="s">
        <v>297</v>
      </c>
      <c r="B183" s="7">
        <v>1.9502213950150047E-9</v>
      </c>
      <c r="D183" t="s">
        <v>77</v>
      </c>
      <c r="E183" t="s">
        <v>548</v>
      </c>
      <c r="F183" t="s">
        <v>165</v>
      </c>
      <c r="G183" t="s">
        <v>297</v>
      </c>
    </row>
    <row r="184" spans="1:8" x14ac:dyDescent="0.2">
      <c r="A184" t="s">
        <v>299</v>
      </c>
      <c r="B184" s="7">
        <v>6.0363995559988245E-10</v>
      </c>
      <c r="D184" t="s">
        <v>77</v>
      </c>
      <c r="E184" t="s">
        <v>548</v>
      </c>
      <c r="F184" t="s">
        <v>165</v>
      </c>
      <c r="G184" t="s">
        <v>299</v>
      </c>
    </row>
    <row r="185" spans="1:8" x14ac:dyDescent="0.2">
      <c r="A185" t="s">
        <v>298</v>
      </c>
      <c r="B185" s="7">
        <v>7.4294148381523998E-10</v>
      </c>
      <c r="D185" t="s">
        <v>77</v>
      </c>
      <c r="E185" t="s">
        <v>548</v>
      </c>
      <c r="F185" t="s">
        <v>165</v>
      </c>
      <c r="G185" t="s">
        <v>298</v>
      </c>
    </row>
    <row r="186" spans="1:8" x14ac:dyDescent="0.2">
      <c r="A186" t="s">
        <v>342</v>
      </c>
      <c r="B186" s="7">
        <v>1.4858829676304797E-12</v>
      </c>
      <c r="D186" t="s">
        <v>77</v>
      </c>
      <c r="E186" t="s">
        <v>548</v>
      </c>
      <c r="F186" t="s">
        <v>165</v>
      </c>
      <c r="G186" t="s">
        <v>342</v>
      </c>
    </row>
    <row r="187" spans="1:8" x14ac:dyDescent="0.2">
      <c r="A187" t="s">
        <v>340</v>
      </c>
      <c r="B187" s="7">
        <v>4.0397443182453672E-10</v>
      </c>
      <c r="D187" t="s">
        <v>77</v>
      </c>
      <c r="E187" t="s">
        <v>548</v>
      </c>
      <c r="F187" t="s">
        <v>165</v>
      </c>
      <c r="G187" t="s">
        <v>340</v>
      </c>
    </row>
    <row r="188" spans="1:8" x14ac:dyDescent="0.2">
      <c r="A188" t="s">
        <v>341</v>
      </c>
      <c r="B188" s="7">
        <v>5.0148550157528711E-10</v>
      </c>
      <c r="D188" t="s">
        <v>77</v>
      </c>
      <c r="E188" t="s">
        <v>548</v>
      </c>
      <c r="F188" t="s">
        <v>165</v>
      </c>
      <c r="G188" t="s">
        <v>341</v>
      </c>
    </row>
    <row r="189" spans="1:8" x14ac:dyDescent="0.2">
      <c r="A189" t="s">
        <v>157</v>
      </c>
      <c r="B189" s="7">
        <v>-1.1395557468987971E-5</v>
      </c>
      <c r="C189" t="s">
        <v>92</v>
      </c>
      <c r="D189" t="s">
        <v>77</v>
      </c>
      <c r="F189" t="s">
        <v>89</v>
      </c>
      <c r="G189" t="s">
        <v>29</v>
      </c>
      <c r="H189" t="s">
        <v>159</v>
      </c>
    </row>
    <row r="190" spans="1:8" x14ac:dyDescent="0.2">
      <c r="A190" t="s">
        <v>158</v>
      </c>
      <c r="B190" s="7">
        <v>-6.8046284672740703E-6</v>
      </c>
      <c r="C190" t="s">
        <v>92</v>
      </c>
      <c r="D190" t="s">
        <v>77</v>
      </c>
      <c r="F190" t="s">
        <v>89</v>
      </c>
      <c r="G190" t="s">
        <v>30</v>
      </c>
      <c r="H190" t="s">
        <v>160</v>
      </c>
    </row>
    <row r="191" spans="1:8" x14ac:dyDescent="0.2">
      <c r="A191" t="s">
        <v>166</v>
      </c>
      <c r="B191" s="7">
        <v>-3.9518473198543693E-6</v>
      </c>
      <c r="C191" t="s">
        <v>92</v>
      </c>
      <c r="D191" t="s">
        <v>77</v>
      </c>
      <c r="F191" t="s">
        <v>89</v>
      </c>
      <c r="G191" t="s">
        <v>31</v>
      </c>
      <c r="H191" t="s">
        <v>161</v>
      </c>
    </row>
    <row r="193" spans="1:2" ht="16" x14ac:dyDescent="0.2">
      <c r="A193" s="10" t="s">
        <v>71</v>
      </c>
      <c r="B193" s="8" t="s">
        <v>854</v>
      </c>
    </row>
    <row r="194" spans="1:2" x14ac:dyDescent="0.2">
      <c r="A194" t="s">
        <v>72</v>
      </c>
      <c r="B194" t="s">
        <v>37</v>
      </c>
    </row>
    <row r="195" spans="1:2" x14ac:dyDescent="0.2">
      <c r="A195" t="s">
        <v>86</v>
      </c>
      <c r="B195" t="s">
        <v>405</v>
      </c>
    </row>
    <row r="196" spans="1:2" x14ac:dyDescent="0.2">
      <c r="A196" t="s">
        <v>87</v>
      </c>
    </row>
    <row r="197" spans="1:2" x14ac:dyDescent="0.2">
      <c r="A197" t="s">
        <v>88</v>
      </c>
      <c r="B197">
        <v>2016</v>
      </c>
    </row>
    <row r="198" spans="1:2" x14ac:dyDescent="0.2">
      <c r="A198" t="s">
        <v>124</v>
      </c>
      <c r="B198" t="s">
        <v>408</v>
      </c>
    </row>
    <row r="199" spans="1:2" x14ac:dyDescent="0.2">
      <c r="A199" t="s">
        <v>73</v>
      </c>
      <c r="B199" t="s">
        <v>854</v>
      </c>
    </row>
    <row r="200" spans="1:2" x14ac:dyDescent="0.2">
      <c r="A200" t="s">
        <v>74</v>
      </c>
      <c r="B200" t="s">
        <v>75</v>
      </c>
    </row>
    <row r="201" spans="1:2" x14ac:dyDescent="0.2">
      <c r="A201" t="s">
        <v>76</v>
      </c>
      <c r="B201" t="s">
        <v>164</v>
      </c>
    </row>
    <row r="202" spans="1:2" x14ac:dyDescent="0.2">
      <c r="A202" t="s">
        <v>78</v>
      </c>
      <c r="B202" t="s">
        <v>774</v>
      </c>
    </row>
    <row r="203" spans="1:2" x14ac:dyDescent="0.2">
      <c r="A203" t="s">
        <v>125</v>
      </c>
      <c r="B203">
        <v>40500</v>
      </c>
    </row>
    <row r="204" spans="1:2" x14ac:dyDescent="0.2">
      <c r="A204" t="s">
        <v>126</v>
      </c>
      <c r="B204">
        <v>1.1000000000000001</v>
      </c>
    </row>
    <row r="205" spans="1:2" x14ac:dyDescent="0.2">
      <c r="A205" t="s">
        <v>127</v>
      </c>
      <c r="B205">
        <v>1.62</v>
      </c>
    </row>
    <row r="206" spans="1:2" x14ac:dyDescent="0.2">
      <c r="A206" t="s">
        <v>128</v>
      </c>
      <c r="B206">
        <v>0</v>
      </c>
    </row>
    <row r="207" spans="1:2" x14ac:dyDescent="0.2">
      <c r="A207" t="s">
        <v>129</v>
      </c>
      <c r="B207">
        <v>2896</v>
      </c>
    </row>
    <row r="208" spans="1:2" x14ac:dyDescent="0.2">
      <c r="A208" t="s">
        <v>130</v>
      </c>
      <c r="B208" s="2">
        <v>258.745</v>
      </c>
    </row>
    <row r="209" spans="1:8" x14ac:dyDescent="0.2">
      <c r="A209" t="s">
        <v>131</v>
      </c>
      <c r="B209">
        <v>91</v>
      </c>
    </row>
    <row r="210" spans="1:8" x14ac:dyDescent="0.2">
      <c r="A210" t="s">
        <v>132</v>
      </c>
      <c r="B210" t="s">
        <v>85</v>
      </c>
    </row>
    <row r="211" spans="1:8" x14ac:dyDescent="0.2">
      <c r="A211" t="s">
        <v>133</v>
      </c>
      <c r="B211">
        <v>0</v>
      </c>
    </row>
    <row r="212" spans="1:8" x14ac:dyDescent="0.2">
      <c r="A212" t="s">
        <v>136</v>
      </c>
      <c r="B212" s="2">
        <v>159.75</v>
      </c>
    </row>
    <row r="213" spans="1:8" x14ac:dyDescent="0.2">
      <c r="A213" t="s">
        <v>137</v>
      </c>
      <c r="B213">
        <v>13.5</v>
      </c>
    </row>
    <row r="214" spans="1:8" x14ac:dyDescent="0.2">
      <c r="A214" t="s">
        <v>134</v>
      </c>
      <c r="B214" s="2">
        <v>294.33451006679832</v>
      </c>
    </row>
    <row r="215" spans="1:8" x14ac:dyDescent="0.2">
      <c r="A215" t="s">
        <v>135</v>
      </c>
      <c r="B215" t="s">
        <v>140</v>
      </c>
    </row>
    <row r="216" spans="1:8" x14ac:dyDescent="0.2">
      <c r="A216" t="s">
        <v>796</v>
      </c>
      <c r="B216" s="6">
        <v>-0.02</v>
      </c>
    </row>
    <row r="217" spans="1:8" x14ac:dyDescent="0.2">
      <c r="A217" t="s">
        <v>83</v>
      </c>
      <c r="B217" t="s">
        <v>855</v>
      </c>
    </row>
    <row r="218" spans="1:8" ht="16" x14ac:dyDescent="0.2">
      <c r="A218" s="10" t="s">
        <v>79</v>
      </c>
    </row>
    <row r="219" spans="1:8" x14ac:dyDescent="0.2">
      <c r="A219" t="s">
        <v>80</v>
      </c>
      <c r="B219" t="s">
        <v>81</v>
      </c>
      <c r="C219" t="s">
        <v>72</v>
      </c>
      <c r="D219" t="s">
        <v>76</v>
      </c>
      <c r="E219" t="s">
        <v>82</v>
      </c>
      <c r="F219" t="s">
        <v>74</v>
      </c>
      <c r="G219" t="s">
        <v>83</v>
      </c>
      <c r="H219" t="s">
        <v>73</v>
      </c>
    </row>
    <row r="220" spans="1:8" x14ac:dyDescent="0.2">
      <c r="A220" t="s">
        <v>854</v>
      </c>
      <c r="B220">
        <v>1</v>
      </c>
      <c r="C220" t="s">
        <v>37</v>
      </c>
      <c r="D220" t="s">
        <v>164</v>
      </c>
      <c r="F220" t="s">
        <v>84</v>
      </c>
      <c r="G220" t="s">
        <v>85</v>
      </c>
      <c r="H220" t="s">
        <v>854</v>
      </c>
    </row>
    <row r="221" spans="1:8" x14ac:dyDescent="0.2">
      <c r="A221" t="s">
        <v>405</v>
      </c>
      <c r="B221" s="7">
        <v>2.4691358024691357E-5</v>
      </c>
      <c r="C221" t="s">
        <v>37</v>
      </c>
      <c r="D221" t="s">
        <v>76</v>
      </c>
      <c r="F221" t="s">
        <v>89</v>
      </c>
      <c r="H221" t="s">
        <v>405</v>
      </c>
    </row>
    <row r="222" spans="1:8" x14ac:dyDescent="0.2">
      <c r="A222" t="s">
        <v>107</v>
      </c>
      <c r="B222" s="7">
        <v>1.8647056500000001E-4</v>
      </c>
      <c r="C222" t="s">
        <v>37</v>
      </c>
      <c r="D222" t="s">
        <v>105</v>
      </c>
      <c r="F222" t="s">
        <v>89</v>
      </c>
      <c r="G222" t="s">
        <v>103</v>
      </c>
      <c r="H222" t="s">
        <v>108</v>
      </c>
    </row>
    <row r="223" spans="1:8" x14ac:dyDescent="0.2">
      <c r="A223" t="s">
        <v>111</v>
      </c>
      <c r="B223" s="7">
        <v>1.2899999999999999E-3</v>
      </c>
      <c r="C223" t="s">
        <v>37</v>
      </c>
      <c r="D223" t="s">
        <v>105</v>
      </c>
      <c r="F223" t="s">
        <v>89</v>
      </c>
      <c r="G223" t="s">
        <v>110</v>
      </c>
      <c r="H223" t="s">
        <v>111</v>
      </c>
    </row>
    <row r="224" spans="1:8" x14ac:dyDescent="0.2">
      <c r="A224" t="s">
        <v>119</v>
      </c>
      <c r="B224" s="7">
        <v>4.0000000000000003E-5</v>
      </c>
      <c r="C224" t="s">
        <v>37</v>
      </c>
      <c r="D224" t="s">
        <v>76</v>
      </c>
      <c r="F224" t="s">
        <v>89</v>
      </c>
      <c r="G224" t="s">
        <v>116</v>
      </c>
      <c r="H224" t="s">
        <v>119</v>
      </c>
    </row>
    <row r="225" spans="1:8" x14ac:dyDescent="0.2">
      <c r="A225" t="s">
        <v>557</v>
      </c>
      <c r="B225" s="7">
        <v>4.586618129466441E-2</v>
      </c>
      <c r="C225" t="s">
        <v>37</v>
      </c>
      <c r="D225" t="s">
        <v>77</v>
      </c>
      <c r="F225" t="s">
        <v>89</v>
      </c>
      <c r="G225" t="s">
        <v>27</v>
      </c>
      <c r="H225" t="s">
        <v>558</v>
      </c>
    </row>
    <row r="226" spans="1:8" x14ac:dyDescent="0.2">
      <c r="A226" t="s">
        <v>152</v>
      </c>
      <c r="B226" s="11">
        <v>0.14229157155406327</v>
      </c>
      <c r="D226" t="s">
        <v>77</v>
      </c>
      <c r="E226" t="s">
        <v>548</v>
      </c>
      <c r="F226" t="s">
        <v>165</v>
      </c>
      <c r="G226" t="s">
        <v>66</v>
      </c>
    </row>
    <row r="227" spans="1:8" x14ac:dyDescent="0.2">
      <c r="A227" t="s">
        <v>554</v>
      </c>
      <c r="B227" s="11">
        <v>1.7282377111829548E-3</v>
      </c>
      <c r="D227" t="s">
        <v>77</v>
      </c>
      <c r="E227" t="s">
        <v>548</v>
      </c>
      <c r="F227" t="s">
        <v>165</v>
      </c>
      <c r="G227" t="s">
        <v>552</v>
      </c>
    </row>
    <row r="228" spans="1:8" x14ac:dyDescent="0.2">
      <c r="A228" t="s">
        <v>212</v>
      </c>
      <c r="B228" s="7">
        <v>7.3385890071463054E-7</v>
      </c>
      <c r="D228" t="s">
        <v>77</v>
      </c>
      <c r="E228" t="s">
        <v>548</v>
      </c>
      <c r="F228" t="s">
        <v>165</v>
      </c>
      <c r="G228" t="s">
        <v>67</v>
      </c>
    </row>
    <row r="229" spans="1:8" x14ac:dyDescent="0.2">
      <c r="A229" t="s">
        <v>55</v>
      </c>
      <c r="B229" s="7">
        <v>2.5284474658107934E-6</v>
      </c>
      <c r="D229" t="s">
        <v>77</v>
      </c>
      <c r="E229" t="s">
        <v>548</v>
      </c>
      <c r="F229" t="s">
        <v>165</v>
      </c>
      <c r="G229" t="s">
        <v>55</v>
      </c>
    </row>
    <row r="230" spans="1:8" x14ac:dyDescent="0.2">
      <c r="A230" t="s">
        <v>153</v>
      </c>
      <c r="B230" s="7">
        <v>2.0986931709545604E-5</v>
      </c>
      <c r="D230" t="s">
        <v>77</v>
      </c>
      <c r="E230" t="s">
        <v>548</v>
      </c>
      <c r="F230" t="s">
        <v>165</v>
      </c>
      <c r="G230" t="s">
        <v>56</v>
      </c>
    </row>
    <row r="231" spans="1:8" x14ac:dyDescent="0.2">
      <c r="A231" t="s">
        <v>154</v>
      </c>
      <c r="B231" s="7">
        <v>1.8591280332931159E-4</v>
      </c>
      <c r="D231" t="s">
        <v>77</v>
      </c>
      <c r="E231" t="s">
        <v>548</v>
      </c>
      <c r="F231" t="s">
        <v>165</v>
      </c>
      <c r="G231" t="s">
        <v>57</v>
      </c>
    </row>
    <row r="232" spans="1:8" x14ac:dyDescent="0.2">
      <c r="A232" t="s">
        <v>213</v>
      </c>
      <c r="B232" s="7">
        <v>1.1045753531339791E-6</v>
      </c>
      <c r="D232" t="s">
        <v>77</v>
      </c>
      <c r="E232" t="s">
        <v>548</v>
      </c>
      <c r="F232" t="s">
        <v>165</v>
      </c>
      <c r="G232" t="s">
        <v>58</v>
      </c>
    </row>
    <row r="233" spans="1:8" x14ac:dyDescent="0.2">
      <c r="A233" t="s">
        <v>155</v>
      </c>
      <c r="B233" s="7">
        <v>1.1045753531339791E-6</v>
      </c>
      <c r="D233" t="s">
        <v>77</v>
      </c>
      <c r="E233" t="s">
        <v>548</v>
      </c>
      <c r="F233" t="s">
        <v>165</v>
      </c>
      <c r="G233" t="s">
        <v>59</v>
      </c>
    </row>
    <row r="234" spans="1:8" x14ac:dyDescent="0.2">
      <c r="A234" t="s">
        <v>156</v>
      </c>
      <c r="B234" s="7">
        <v>1.3774566377073175E-5</v>
      </c>
      <c r="D234" t="s">
        <v>77</v>
      </c>
      <c r="E234" t="s">
        <v>548</v>
      </c>
      <c r="F234" t="s">
        <v>165</v>
      </c>
      <c r="G234" t="s">
        <v>60</v>
      </c>
    </row>
    <row r="235" spans="1:8" x14ac:dyDescent="0.2">
      <c r="A235" t="s">
        <v>214</v>
      </c>
      <c r="B235" s="7">
        <v>2.7614383828349475E-6</v>
      </c>
      <c r="D235" t="s">
        <v>77</v>
      </c>
      <c r="E235" t="s">
        <v>548</v>
      </c>
      <c r="F235" t="s">
        <v>165</v>
      </c>
      <c r="G235" t="s">
        <v>62</v>
      </c>
    </row>
    <row r="236" spans="1:8" x14ac:dyDescent="0.2">
      <c r="A236" t="s">
        <v>209</v>
      </c>
      <c r="B236" s="7">
        <v>2.0389833039800411E-5</v>
      </c>
      <c r="D236" t="s">
        <v>77</v>
      </c>
      <c r="E236" t="s">
        <v>548</v>
      </c>
      <c r="F236" t="s">
        <v>165</v>
      </c>
      <c r="G236" t="s">
        <v>368</v>
      </c>
    </row>
    <row r="237" spans="1:8" x14ac:dyDescent="0.2">
      <c r="A237" t="s">
        <v>316</v>
      </c>
      <c r="B237" s="7">
        <v>1.4377446374218237E-6</v>
      </c>
      <c r="D237" t="s">
        <v>77</v>
      </c>
      <c r="E237" t="s">
        <v>548</v>
      </c>
      <c r="F237" t="s">
        <v>165</v>
      </c>
      <c r="G237" t="s">
        <v>316</v>
      </c>
    </row>
    <row r="238" spans="1:8" x14ac:dyDescent="0.2">
      <c r="A238" t="s">
        <v>317</v>
      </c>
      <c r="B238" s="7">
        <v>2.9295737126150013E-7</v>
      </c>
      <c r="D238" t="s">
        <v>77</v>
      </c>
      <c r="E238" t="s">
        <v>548</v>
      </c>
      <c r="F238" t="s">
        <v>165</v>
      </c>
      <c r="G238" t="s">
        <v>317</v>
      </c>
    </row>
    <row r="239" spans="1:8" x14ac:dyDescent="0.2">
      <c r="A239" t="s">
        <v>318</v>
      </c>
      <c r="B239" s="7">
        <v>2.3616871160157862E-6</v>
      </c>
      <c r="D239" t="s">
        <v>77</v>
      </c>
      <c r="E239" t="s">
        <v>548</v>
      </c>
      <c r="F239" t="s">
        <v>165</v>
      </c>
      <c r="G239" t="s">
        <v>318</v>
      </c>
    </row>
    <row r="240" spans="1:8" x14ac:dyDescent="0.2">
      <c r="A240" t="s">
        <v>319</v>
      </c>
      <c r="B240" s="7">
        <v>9.6901284340342343E-7</v>
      </c>
      <c r="D240" t="s">
        <v>77</v>
      </c>
      <c r="E240" t="s">
        <v>548</v>
      </c>
      <c r="F240" t="s">
        <v>165</v>
      </c>
      <c r="G240" t="s">
        <v>319</v>
      </c>
    </row>
    <row r="241" spans="1:7" x14ac:dyDescent="0.2">
      <c r="A241" t="s">
        <v>320</v>
      </c>
      <c r="B241" s="7">
        <v>7.2563287343233113E-7</v>
      </c>
      <c r="D241" t="s">
        <v>77</v>
      </c>
      <c r="E241" t="s">
        <v>548</v>
      </c>
      <c r="F241" t="s">
        <v>165</v>
      </c>
      <c r="G241" t="s">
        <v>320</v>
      </c>
    </row>
    <row r="242" spans="1:7" x14ac:dyDescent="0.2">
      <c r="A242" t="s">
        <v>321</v>
      </c>
      <c r="B242" s="7">
        <v>5.1380215882786179E-7</v>
      </c>
      <c r="D242" t="s">
        <v>77</v>
      </c>
      <c r="E242" t="s">
        <v>548</v>
      </c>
      <c r="F242" t="s">
        <v>165</v>
      </c>
      <c r="G242" t="s">
        <v>321</v>
      </c>
    </row>
    <row r="243" spans="1:7" x14ac:dyDescent="0.2">
      <c r="A243" t="s">
        <v>322</v>
      </c>
      <c r="B243" s="7">
        <v>3.335206995900156E-7</v>
      </c>
      <c r="D243" t="s">
        <v>77</v>
      </c>
      <c r="E243" t="s">
        <v>548</v>
      </c>
      <c r="F243" t="s">
        <v>165</v>
      </c>
      <c r="G243" t="s">
        <v>322</v>
      </c>
    </row>
    <row r="244" spans="1:7" x14ac:dyDescent="0.2">
      <c r="A244" t="s">
        <v>323</v>
      </c>
      <c r="B244" s="7">
        <v>3.2901366310906936E-6</v>
      </c>
      <c r="D244" t="s">
        <v>77</v>
      </c>
      <c r="E244" t="s">
        <v>548</v>
      </c>
      <c r="F244" t="s">
        <v>165</v>
      </c>
      <c r="G244" t="s">
        <v>323</v>
      </c>
    </row>
    <row r="245" spans="1:7" x14ac:dyDescent="0.2">
      <c r="A245" t="s">
        <v>324</v>
      </c>
      <c r="B245" s="7">
        <v>1.7216879357214317E-6</v>
      </c>
      <c r="D245" t="s">
        <v>77</v>
      </c>
      <c r="E245" t="s">
        <v>548</v>
      </c>
      <c r="F245" t="s">
        <v>165</v>
      </c>
      <c r="G245" t="s">
        <v>324</v>
      </c>
    </row>
    <row r="246" spans="1:7" x14ac:dyDescent="0.2">
      <c r="A246" t="s">
        <v>325</v>
      </c>
      <c r="B246" s="7">
        <v>4.9577401290407721E-8</v>
      </c>
      <c r="D246" t="s">
        <v>77</v>
      </c>
      <c r="E246" t="s">
        <v>548</v>
      </c>
      <c r="F246" t="s">
        <v>165</v>
      </c>
      <c r="G246" t="s">
        <v>325</v>
      </c>
    </row>
    <row r="247" spans="1:7" x14ac:dyDescent="0.2">
      <c r="A247" t="s">
        <v>326</v>
      </c>
      <c r="B247" s="7">
        <v>4.9487260560788793E-6</v>
      </c>
      <c r="D247" t="s">
        <v>77</v>
      </c>
      <c r="E247" t="s">
        <v>548</v>
      </c>
      <c r="F247" t="s">
        <v>165</v>
      </c>
      <c r="G247" t="s">
        <v>326</v>
      </c>
    </row>
    <row r="248" spans="1:7" x14ac:dyDescent="0.2">
      <c r="A248" t="s">
        <v>327</v>
      </c>
      <c r="B248" s="7">
        <v>2.4473208091537626E-6</v>
      </c>
      <c r="D248" t="s">
        <v>77</v>
      </c>
      <c r="E248" t="s">
        <v>548</v>
      </c>
      <c r="F248" t="s">
        <v>165</v>
      </c>
      <c r="G248" t="s">
        <v>327</v>
      </c>
    </row>
    <row r="249" spans="1:7" x14ac:dyDescent="0.2">
      <c r="A249" t="s">
        <v>328</v>
      </c>
      <c r="B249" s="7">
        <v>1.0185902446938312E-6</v>
      </c>
      <c r="D249" t="s">
        <v>77</v>
      </c>
      <c r="E249" t="s">
        <v>548</v>
      </c>
      <c r="F249" t="s">
        <v>165</v>
      </c>
      <c r="G249" t="s">
        <v>328</v>
      </c>
    </row>
    <row r="250" spans="1:7" x14ac:dyDescent="0.2">
      <c r="A250" t="s">
        <v>329</v>
      </c>
      <c r="B250" s="7">
        <v>7.6619620176084655E-7</v>
      </c>
      <c r="D250" t="s">
        <v>77</v>
      </c>
      <c r="E250" t="s">
        <v>548</v>
      </c>
      <c r="F250" t="s">
        <v>165</v>
      </c>
      <c r="G250" t="s">
        <v>329</v>
      </c>
    </row>
    <row r="251" spans="1:7" x14ac:dyDescent="0.2">
      <c r="A251" t="s">
        <v>330</v>
      </c>
      <c r="B251" s="7">
        <v>3.3802773607096173E-7</v>
      </c>
      <c r="D251" t="s">
        <v>77</v>
      </c>
      <c r="E251" t="s">
        <v>548</v>
      </c>
      <c r="F251" t="s">
        <v>165</v>
      </c>
      <c r="G251" t="s">
        <v>330</v>
      </c>
    </row>
    <row r="252" spans="1:7" x14ac:dyDescent="0.2">
      <c r="A252" t="s">
        <v>331</v>
      </c>
      <c r="B252" s="7">
        <v>9.9154802580815442E-8</v>
      </c>
      <c r="D252" t="s">
        <v>77</v>
      </c>
      <c r="E252" t="s">
        <v>548</v>
      </c>
      <c r="F252" t="s">
        <v>165</v>
      </c>
      <c r="G252" t="s">
        <v>331</v>
      </c>
    </row>
    <row r="253" spans="1:7" x14ac:dyDescent="0.2">
      <c r="A253" t="s">
        <v>332</v>
      </c>
      <c r="B253" s="7">
        <v>2.7492922533771551E-7</v>
      </c>
      <c r="D253" t="s">
        <v>77</v>
      </c>
      <c r="E253" t="s">
        <v>548</v>
      </c>
      <c r="F253" t="s">
        <v>165</v>
      </c>
      <c r="G253" t="s">
        <v>332</v>
      </c>
    </row>
    <row r="254" spans="1:7" x14ac:dyDescent="0.2">
      <c r="A254" t="s">
        <v>335</v>
      </c>
      <c r="B254" s="7">
        <v>0</v>
      </c>
      <c r="D254" t="s">
        <v>77</v>
      </c>
      <c r="E254" t="s">
        <v>548</v>
      </c>
      <c r="F254" t="s">
        <v>165</v>
      </c>
      <c r="G254" t="s">
        <v>335</v>
      </c>
    </row>
    <row r="255" spans="1:7" x14ac:dyDescent="0.2">
      <c r="A255" t="s">
        <v>333</v>
      </c>
      <c r="B255" s="7">
        <v>8.5633693137976965E-8</v>
      </c>
      <c r="D255" t="s">
        <v>77</v>
      </c>
      <c r="E255" t="s">
        <v>548</v>
      </c>
      <c r="F255" t="s">
        <v>165</v>
      </c>
      <c r="G255" t="s">
        <v>333</v>
      </c>
    </row>
    <row r="256" spans="1:7" x14ac:dyDescent="0.2">
      <c r="A256" t="s">
        <v>334</v>
      </c>
      <c r="B256" s="7">
        <v>4.5521068457556175E-7</v>
      </c>
      <c r="D256" t="s">
        <v>77</v>
      </c>
      <c r="E256" t="s">
        <v>548</v>
      </c>
      <c r="F256" t="s">
        <v>165</v>
      </c>
      <c r="G256" t="s">
        <v>334</v>
      </c>
    </row>
    <row r="257" spans="1:8" x14ac:dyDescent="0.2">
      <c r="A257" t="s">
        <v>343</v>
      </c>
      <c r="B257" s="7">
        <v>1.5998987398991553E-9</v>
      </c>
      <c r="D257" t="s">
        <v>77</v>
      </c>
      <c r="E257" t="s">
        <v>548</v>
      </c>
      <c r="F257" t="s">
        <v>165</v>
      </c>
      <c r="G257" t="s">
        <v>336</v>
      </c>
    </row>
    <row r="258" spans="1:8" x14ac:dyDescent="0.2">
      <c r="A258" t="s">
        <v>337</v>
      </c>
      <c r="B258" s="7">
        <v>1.3792230516372029E-11</v>
      </c>
      <c r="D258" t="s">
        <v>77</v>
      </c>
      <c r="E258" t="s">
        <v>548</v>
      </c>
      <c r="F258" t="s">
        <v>165</v>
      </c>
      <c r="G258" t="s">
        <v>337</v>
      </c>
    </row>
    <row r="259" spans="1:8" x14ac:dyDescent="0.2">
      <c r="A259" t="s">
        <v>338</v>
      </c>
      <c r="B259" s="7">
        <v>9.1948203442480187E-12</v>
      </c>
      <c r="D259" t="s">
        <v>77</v>
      </c>
      <c r="E259" t="s">
        <v>548</v>
      </c>
      <c r="F259" t="s">
        <v>165</v>
      </c>
      <c r="G259" t="s">
        <v>338</v>
      </c>
    </row>
    <row r="260" spans="1:8" x14ac:dyDescent="0.2">
      <c r="A260" t="s">
        <v>339</v>
      </c>
      <c r="B260" s="7">
        <v>9.930405971787861E-8</v>
      </c>
      <c r="D260" t="s">
        <v>77</v>
      </c>
      <c r="E260" t="s">
        <v>548</v>
      </c>
      <c r="F260" t="s">
        <v>165</v>
      </c>
      <c r="G260" t="s">
        <v>339</v>
      </c>
    </row>
    <row r="261" spans="1:8" x14ac:dyDescent="0.2">
      <c r="A261" t="s">
        <v>297</v>
      </c>
      <c r="B261" s="7">
        <v>1.9309122722920839E-9</v>
      </c>
      <c r="D261" t="s">
        <v>77</v>
      </c>
      <c r="E261" t="s">
        <v>548</v>
      </c>
      <c r="F261" t="s">
        <v>165</v>
      </c>
      <c r="G261" t="s">
        <v>297</v>
      </c>
    </row>
    <row r="262" spans="1:8" x14ac:dyDescent="0.2">
      <c r="A262" t="s">
        <v>299</v>
      </c>
      <c r="B262" s="7">
        <v>5.9766332237612127E-10</v>
      </c>
      <c r="D262" t="s">
        <v>77</v>
      </c>
      <c r="E262" t="s">
        <v>548</v>
      </c>
      <c r="F262" t="s">
        <v>165</v>
      </c>
      <c r="G262" t="s">
        <v>299</v>
      </c>
    </row>
    <row r="263" spans="1:8" x14ac:dyDescent="0.2">
      <c r="A263" t="s">
        <v>298</v>
      </c>
      <c r="B263" s="7">
        <v>7.3558562753984162E-10</v>
      </c>
      <c r="D263" t="s">
        <v>77</v>
      </c>
      <c r="E263" t="s">
        <v>548</v>
      </c>
      <c r="F263" t="s">
        <v>165</v>
      </c>
      <c r="G263" t="s">
        <v>298</v>
      </c>
    </row>
    <row r="264" spans="1:8" x14ac:dyDescent="0.2">
      <c r="A264" t="s">
        <v>342</v>
      </c>
      <c r="B264" s="7">
        <v>1.4711712550796828E-12</v>
      </c>
      <c r="D264" t="s">
        <v>77</v>
      </c>
      <c r="E264" t="s">
        <v>548</v>
      </c>
      <c r="F264" t="s">
        <v>165</v>
      </c>
      <c r="G264" t="s">
        <v>342</v>
      </c>
    </row>
    <row r="265" spans="1:8" x14ac:dyDescent="0.2">
      <c r="A265" t="s">
        <v>340</v>
      </c>
      <c r="B265" s="7">
        <v>3.9997468497478883E-10</v>
      </c>
      <c r="D265" t="s">
        <v>77</v>
      </c>
      <c r="E265" t="s">
        <v>548</v>
      </c>
      <c r="F265" t="s">
        <v>165</v>
      </c>
      <c r="G265" t="s">
        <v>340</v>
      </c>
    </row>
    <row r="266" spans="1:8" x14ac:dyDescent="0.2">
      <c r="A266" t="s">
        <v>341</v>
      </c>
      <c r="B266" s="7">
        <v>4.9652029858939313E-10</v>
      </c>
      <c r="D266" t="s">
        <v>77</v>
      </c>
      <c r="E266" t="s">
        <v>548</v>
      </c>
      <c r="F266" t="s">
        <v>165</v>
      </c>
      <c r="G266" t="s">
        <v>341</v>
      </c>
    </row>
    <row r="267" spans="1:8" x14ac:dyDescent="0.2">
      <c r="A267" t="s">
        <v>157</v>
      </c>
      <c r="B267" s="7">
        <v>-1.1308758017520681E-5</v>
      </c>
      <c r="C267" t="s">
        <v>92</v>
      </c>
      <c r="D267" t="s">
        <v>77</v>
      </c>
      <c r="F267" t="s">
        <v>89</v>
      </c>
      <c r="G267" t="s">
        <v>29</v>
      </c>
      <c r="H267" t="s">
        <v>159</v>
      </c>
    </row>
    <row r="268" spans="1:8" x14ac:dyDescent="0.2">
      <c r="A268" t="s">
        <v>158</v>
      </c>
      <c r="B268" s="7">
        <v>-6.7728023675925525E-6</v>
      </c>
      <c r="C268" t="s">
        <v>92</v>
      </c>
      <c r="D268" t="s">
        <v>77</v>
      </c>
      <c r="F268" t="s">
        <v>89</v>
      </c>
      <c r="G268" t="s">
        <v>30</v>
      </c>
      <c r="H268" t="s">
        <v>160</v>
      </c>
    </row>
    <row r="269" spans="1:8" x14ac:dyDescent="0.2">
      <c r="A269" t="s">
        <v>166</v>
      </c>
      <c r="B269" s="7">
        <v>-3.9284895088005455E-6</v>
      </c>
      <c r="C269" t="s">
        <v>92</v>
      </c>
      <c r="D269" t="s">
        <v>77</v>
      </c>
      <c r="F269" t="s">
        <v>89</v>
      </c>
      <c r="G269" t="s">
        <v>31</v>
      </c>
      <c r="H269" t="s">
        <v>161</v>
      </c>
    </row>
    <row r="271" spans="1:8" ht="16" x14ac:dyDescent="0.2">
      <c r="A271" s="10" t="s">
        <v>71</v>
      </c>
      <c r="B271" s="8" t="s">
        <v>856</v>
      </c>
    </row>
    <row r="272" spans="1:8" x14ac:dyDescent="0.2">
      <c r="A272" t="s">
        <v>72</v>
      </c>
      <c r="B272" t="s">
        <v>37</v>
      </c>
    </row>
    <row r="273" spans="1:2" x14ac:dyDescent="0.2">
      <c r="A273" t="s">
        <v>86</v>
      </c>
      <c r="B273" t="s">
        <v>406</v>
      </c>
    </row>
    <row r="274" spans="1:2" x14ac:dyDescent="0.2">
      <c r="A274" t="s">
        <v>87</v>
      </c>
    </row>
    <row r="275" spans="1:2" x14ac:dyDescent="0.2">
      <c r="A275" t="s">
        <v>88</v>
      </c>
      <c r="B275">
        <v>2020</v>
      </c>
    </row>
    <row r="276" spans="1:2" x14ac:dyDescent="0.2">
      <c r="A276" t="s">
        <v>124</v>
      </c>
      <c r="B276" t="s">
        <v>409</v>
      </c>
    </row>
    <row r="277" spans="1:2" x14ac:dyDescent="0.2">
      <c r="A277" t="s">
        <v>73</v>
      </c>
      <c r="B277" t="s">
        <v>856</v>
      </c>
    </row>
    <row r="278" spans="1:2" x14ac:dyDescent="0.2">
      <c r="A278" t="s">
        <v>74</v>
      </c>
      <c r="B278" t="s">
        <v>75</v>
      </c>
    </row>
    <row r="279" spans="1:2" x14ac:dyDescent="0.2">
      <c r="A279" t="s">
        <v>76</v>
      </c>
      <c r="B279" t="s">
        <v>164</v>
      </c>
    </row>
    <row r="280" spans="1:2" x14ac:dyDescent="0.2">
      <c r="A280" t="s">
        <v>78</v>
      </c>
      <c r="B280" t="s">
        <v>774</v>
      </c>
    </row>
    <row r="281" spans="1:2" x14ac:dyDescent="0.2">
      <c r="A281" t="s">
        <v>125</v>
      </c>
      <c r="B281">
        <v>40500</v>
      </c>
    </row>
    <row r="282" spans="1:2" x14ac:dyDescent="0.2">
      <c r="A282" t="s">
        <v>126</v>
      </c>
      <c r="B282">
        <v>1.1000000000000001</v>
      </c>
    </row>
    <row r="283" spans="1:2" x14ac:dyDescent="0.2">
      <c r="A283" t="s">
        <v>127</v>
      </c>
      <c r="B283">
        <v>1.62</v>
      </c>
    </row>
    <row r="284" spans="1:2" x14ac:dyDescent="0.2">
      <c r="A284" t="s">
        <v>128</v>
      </c>
      <c r="B284">
        <v>0</v>
      </c>
    </row>
    <row r="285" spans="1:2" x14ac:dyDescent="0.2">
      <c r="A285" t="s">
        <v>129</v>
      </c>
      <c r="B285">
        <v>2896</v>
      </c>
    </row>
    <row r="286" spans="1:2" x14ac:dyDescent="0.2">
      <c r="A286" t="s">
        <v>130</v>
      </c>
      <c r="B286" s="2">
        <v>256.52499999999998</v>
      </c>
    </row>
    <row r="287" spans="1:2" x14ac:dyDescent="0.2">
      <c r="A287" t="s">
        <v>131</v>
      </c>
      <c r="B287">
        <v>91</v>
      </c>
    </row>
    <row r="288" spans="1:2" x14ac:dyDescent="0.2">
      <c r="A288" t="s">
        <v>132</v>
      </c>
      <c r="B288" t="s">
        <v>85</v>
      </c>
    </row>
    <row r="289" spans="1:8" x14ac:dyDescent="0.2">
      <c r="A289" t="s">
        <v>133</v>
      </c>
      <c r="B289">
        <v>0</v>
      </c>
    </row>
    <row r="290" spans="1:8" x14ac:dyDescent="0.2">
      <c r="A290" t="s">
        <v>136</v>
      </c>
      <c r="B290" s="2">
        <v>159.75</v>
      </c>
    </row>
    <row r="291" spans="1:8" x14ac:dyDescent="0.2">
      <c r="A291" t="s">
        <v>137</v>
      </c>
      <c r="B291">
        <v>13.5</v>
      </c>
    </row>
    <row r="292" spans="1:8" x14ac:dyDescent="0.2">
      <c r="A292" t="s">
        <v>134</v>
      </c>
      <c r="B292" s="2">
        <v>297.30758592605895</v>
      </c>
    </row>
    <row r="293" spans="1:8" x14ac:dyDescent="0.2">
      <c r="A293" t="s">
        <v>135</v>
      </c>
      <c r="B293" t="s">
        <v>141</v>
      </c>
    </row>
    <row r="294" spans="1:8" x14ac:dyDescent="0.2">
      <c r="A294" t="s">
        <v>796</v>
      </c>
      <c r="B294" s="6">
        <v>0</v>
      </c>
    </row>
    <row r="295" spans="1:8" x14ac:dyDescent="0.2">
      <c r="A295" t="s">
        <v>83</v>
      </c>
      <c r="B295" t="s">
        <v>857</v>
      </c>
    </row>
    <row r="296" spans="1:8" ht="16" x14ac:dyDescent="0.2">
      <c r="A296" s="10" t="s">
        <v>79</v>
      </c>
    </row>
    <row r="297" spans="1:8" x14ac:dyDescent="0.2">
      <c r="A297" t="s">
        <v>80</v>
      </c>
      <c r="B297" t="s">
        <v>81</v>
      </c>
      <c r="C297" t="s">
        <v>72</v>
      </c>
      <c r="D297" t="s">
        <v>76</v>
      </c>
      <c r="E297" t="s">
        <v>82</v>
      </c>
      <c r="F297" t="s">
        <v>74</v>
      </c>
      <c r="G297" t="s">
        <v>83</v>
      </c>
      <c r="H297" t="s">
        <v>73</v>
      </c>
    </row>
    <row r="298" spans="1:8" x14ac:dyDescent="0.2">
      <c r="A298" t="s">
        <v>856</v>
      </c>
      <c r="B298">
        <v>1</v>
      </c>
      <c r="C298" t="s">
        <v>37</v>
      </c>
      <c r="D298" t="s">
        <v>164</v>
      </c>
      <c r="F298" t="s">
        <v>84</v>
      </c>
      <c r="G298" t="s">
        <v>85</v>
      </c>
      <c r="H298" t="s">
        <v>856</v>
      </c>
    </row>
    <row r="299" spans="1:8" x14ac:dyDescent="0.2">
      <c r="A299" t="s">
        <v>406</v>
      </c>
      <c r="B299" s="7">
        <v>2.4691358024691357E-5</v>
      </c>
      <c r="C299" t="s">
        <v>37</v>
      </c>
      <c r="D299" t="s">
        <v>76</v>
      </c>
      <c r="F299" t="s">
        <v>89</v>
      </c>
      <c r="H299" t="s">
        <v>406</v>
      </c>
    </row>
    <row r="300" spans="1:8" x14ac:dyDescent="0.2">
      <c r="A300" t="s">
        <v>107</v>
      </c>
      <c r="B300" s="7">
        <v>1.8527842499999999E-4</v>
      </c>
      <c r="C300" t="s">
        <v>37</v>
      </c>
      <c r="D300" t="s">
        <v>105</v>
      </c>
      <c r="F300" t="s">
        <v>89</v>
      </c>
      <c r="G300" t="s">
        <v>103</v>
      </c>
      <c r="H300" t="s">
        <v>108</v>
      </c>
    </row>
    <row r="301" spans="1:8" x14ac:dyDescent="0.2">
      <c r="A301" t="s">
        <v>111</v>
      </c>
      <c r="B301" s="7">
        <v>1.2899999999999999E-3</v>
      </c>
      <c r="C301" t="s">
        <v>37</v>
      </c>
      <c r="D301" t="s">
        <v>105</v>
      </c>
      <c r="F301" t="s">
        <v>89</v>
      </c>
      <c r="G301" t="s">
        <v>110</v>
      </c>
      <c r="H301" t="s">
        <v>111</v>
      </c>
    </row>
    <row r="302" spans="1:8" x14ac:dyDescent="0.2">
      <c r="A302" t="s">
        <v>119</v>
      </c>
      <c r="B302" s="7">
        <v>4.0000000000000003E-5</v>
      </c>
      <c r="C302" t="s">
        <v>37</v>
      </c>
      <c r="D302" t="s">
        <v>76</v>
      </c>
      <c r="F302" t="s">
        <v>89</v>
      </c>
      <c r="G302" t="s">
        <v>116</v>
      </c>
      <c r="H302" t="s">
        <v>119</v>
      </c>
    </row>
    <row r="303" spans="1:8" x14ac:dyDescent="0.2">
      <c r="A303" t="s">
        <v>557</v>
      </c>
      <c r="B303" s="7">
        <v>4.5407519481717763E-2</v>
      </c>
      <c r="C303" t="s">
        <v>37</v>
      </c>
      <c r="D303" t="s">
        <v>77</v>
      </c>
      <c r="F303" t="s">
        <v>89</v>
      </c>
      <c r="G303" t="s">
        <v>27</v>
      </c>
      <c r="H303" t="s">
        <v>558</v>
      </c>
    </row>
    <row r="304" spans="1:8" x14ac:dyDescent="0.2">
      <c r="A304" t="s">
        <v>152</v>
      </c>
      <c r="B304" s="7">
        <v>0.14086865583852268</v>
      </c>
      <c r="D304" t="s">
        <v>77</v>
      </c>
      <c r="E304" t="s">
        <v>548</v>
      </c>
      <c r="F304" t="s">
        <v>165</v>
      </c>
      <c r="G304" t="s">
        <v>66</v>
      </c>
    </row>
    <row r="305" spans="1:7" x14ac:dyDescent="0.2">
      <c r="A305" t="s">
        <v>554</v>
      </c>
      <c r="B305" s="11">
        <v>1.7109553340711255E-3</v>
      </c>
      <c r="D305" t="s">
        <v>77</v>
      </c>
      <c r="E305" t="s">
        <v>548</v>
      </c>
      <c r="F305" t="s">
        <v>165</v>
      </c>
      <c r="G305" t="s">
        <v>552</v>
      </c>
    </row>
    <row r="306" spans="1:7" x14ac:dyDescent="0.2">
      <c r="A306" t="s">
        <v>212</v>
      </c>
      <c r="B306" s="7">
        <v>7.265203117074842E-7</v>
      </c>
      <c r="D306" t="s">
        <v>77</v>
      </c>
      <c r="E306" t="s">
        <v>548</v>
      </c>
      <c r="F306" t="s">
        <v>165</v>
      </c>
      <c r="G306" t="s">
        <v>67</v>
      </c>
    </row>
    <row r="307" spans="1:7" x14ac:dyDescent="0.2">
      <c r="A307" t="s">
        <v>55</v>
      </c>
      <c r="B307" s="7">
        <v>1.4740138315818797E-6</v>
      </c>
      <c r="D307" t="s">
        <v>77</v>
      </c>
      <c r="E307" t="s">
        <v>548</v>
      </c>
      <c r="F307" t="s">
        <v>165</v>
      </c>
      <c r="G307" t="s">
        <v>55</v>
      </c>
    </row>
    <row r="308" spans="1:7" x14ac:dyDescent="0.2">
      <c r="A308" t="s">
        <v>153</v>
      </c>
      <c r="B308" s="7">
        <v>2.0777062392450149E-5</v>
      </c>
      <c r="D308" t="s">
        <v>77</v>
      </c>
      <c r="E308" t="s">
        <v>548</v>
      </c>
      <c r="F308" t="s">
        <v>165</v>
      </c>
      <c r="G308" t="s">
        <v>56</v>
      </c>
    </row>
    <row r="309" spans="1:7" x14ac:dyDescent="0.2">
      <c r="A309" t="s">
        <v>154</v>
      </c>
      <c r="B309" s="7">
        <v>1.6143029994865083E-4</v>
      </c>
      <c r="D309" t="s">
        <v>77</v>
      </c>
      <c r="E309" t="s">
        <v>548</v>
      </c>
      <c r="F309" t="s">
        <v>165</v>
      </c>
      <c r="G309" t="s">
        <v>57</v>
      </c>
    </row>
    <row r="310" spans="1:7" x14ac:dyDescent="0.2">
      <c r="A310" t="s">
        <v>213</v>
      </c>
      <c r="B310" s="7">
        <v>1.0935295996026393E-6</v>
      </c>
      <c r="D310" t="s">
        <v>77</v>
      </c>
      <c r="E310" t="s">
        <v>548</v>
      </c>
      <c r="F310" t="s">
        <v>165</v>
      </c>
      <c r="G310" t="s">
        <v>58</v>
      </c>
    </row>
    <row r="311" spans="1:7" x14ac:dyDescent="0.2">
      <c r="A311" t="s">
        <v>155</v>
      </c>
      <c r="B311" s="7">
        <v>1.0935295996026393E-6</v>
      </c>
      <c r="D311" t="s">
        <v>77</v>
      </c>
      <c r="E311" t="s">
        <v>548</v>
      </c>
      <c r="F311" t="s">
        <v>165</v>
      </c>
      <c r="G311" t="s">
        <v>59</v>
      </c>
    </row>
    <row r="312" spans="1:7" x14ac:dyDescent="0.2">
      <c r="A312" t="s">
        <v>156</v>
      </c>
      <c r="B312" s="7">
        <v>9.2040080028458703E-6</v>
      </c>
      <c r="D312" t="s">
        <v>77</v>
      </c>
      <c r="E312" t="s">
        <v>548</v>
      </c>
      <c r="F312" t="s">
        <v>165</v>
      </c>
      <c r="G312" t="s">
        <v>60</v>
      </c>
    </row>
    <row r="313" spans="1:7" x14ac:dyDescent="0.2">
      <c r="A313" t="s">
        <v>214</v>
      </c>
      <c r="B313" s="7">
        <v>2.7338239990065983E-6</v>
      </c>
      <c r="D313" t="s">
        <v>77</v>
      </c>
      <c r="E313" t="s">
        <v>548</v>
      </c>
      <c r="F313" t="s">
        <v>165</v>
      </c>
      <c r="G313" t="s">
        <v>62</v>
      </c>
    </row>
    <row r="314" spans="1:7" x14ac:dyDescent="0.2">
      <c r="A314" t="s">
        <v>209</v>
      </c>
      <c r="B314" s="7">
        <v>1.18866997755373E-5</v>
      </c>
      <c r="D314" t="s">
        <v>77</v>
      </c>
      <c r="E314" t="s">
        <v>548</v>
      </c>
      <c r="F314" t="s">
        <v>165</v>
      </c>
      <c r="G314" t="s">
        <v>368</v>
      </c>
    </row>
    <row r="315" spans="1:7" x14ac:dyDescent="0.2">
      <c r="A315" t="s">
        <v>316</v>
      </c>
      <c r="B315" s="7">
        <v>8.381647277622453E-7</v>
      </c>
      <c r="D315" t="s">
        <v>77</v>
      </c>
      <c r="E315" t="s">
        <v>548</v>
      </c>
      <c r="F315" t="s">
        <v>165</v>
      </c>
      <c r="G315" t="s">
        <v>316</v>
      </c>
    </row>
    <row r="316" spans="1:7" x14ac:dyDescent="0.2">
      <c r="A316" t="s">
        <v>317</v>
      </c>
      <c r="B316" s="7">
        <v>1.7078591631519106E-7</v>
      </c>
      <c r="D316" t="s">
        <v>77</v>
      </c>
      <c r="E316" t="s">
        <v>548</v>
      </c>
      <c r="F316" t="s">
        <v>165</v>
      </c>
      <c r="G316" t="s">
        <v>317</v>
      </c>
    </row>
    <row r="317" spans="1:7" x14ac:dyDescent="0.2">
      <c r="A317" t="s">
        <v>318</v>
      </c>
      <c r="B317" s="7">
        <v>1.3767972330640017E-6</v>
      </c>
      <c r="D317" t="s">
        <v>77</v>
      </c>
      <c r="E317" t="s">
        <v>548</v>
      </c>
      <c r="F317" t="s">
        <v>165</v>
      </c>
      <c r="G317" t="s">
        <v>318</v>
      </c>
    </row>
    <row r="318" spans="1:7" x14ac:dyDescent="0.2">
      <c r="A318" t="s">
        <v>319</v>
      </c>
      <c r="B318" s="7">
        <v>5.6490726165793968E-7</v>
      </c>
      <c r="D318" t="s">
        <v>77</v>
      </c>
      <c r="E318" t="s">
        <v>548</v>
      </c>
      <c r="F318" t="s">
        <v>165</v>
      </c>
      <c r="G318" t="s">
        <v>319</v>
      </c>
    </row>
    <row r="319" spans="1:7" x14ac:dyDescent="0.2">
      <c r="A319" t="s">
        <v>320</v>
      </c>
      <c r="B319" s="7">
        <v>4.2302357733455016E-7</v>
      </c>
      <c r="D319" t="s">
        <v>77</v>
      </c>
      <c r="E319" t="s">
        <v>548</v>
      </c>
      <c r="F319" t="s">
        <v>165</v>
      </c>
      <c r="G319" t="s">
        <v>320</v>
      </c>
    </row>
    <row r="320" spans="1:7" x14ac:dyDescent="0.2">
      <c r="A320" t="s">
        <v>321</v>
      </c>
      <c r="B320" s="7">
        <v>2.9953222246048898E-7</v>
      </c>
      <c r="D320" t="s">
        <v>77</v>
      </c>
      <c r="E320" t="s">
        <v>548</v>
      </c>
      <c r="F320" t="s">
        <v>165</v>
      </c>
      <c r="G320" t="s">
        <v>321</v>
      </c>
    </row>
    <row r="321" spans="1:7" x14ac:dyDescent="0.2">
      <c r="A321" t="s">
        <v>322</v>
      </c>
      <c r="B321" s="7">
        <v>1.9443319703575599E-7</v>
      </c>
      <c r="D321" t="s">
        <v>77</v>
      </c>
      <c r="E321" t="s">
        <v>548</v>
      </c>
      <c r="F321" t="s">
        <v>165</v>
      </c>
      <c r="G321" t="s">
        <v>322</v>
      </c>
    </row>
    <row r="322" spans="1:7" x14ac:dyDescent="0.2">
      <c r="A322" t="s">
        <v>323</v>
      </c>
      <c r="B322" s="7">
        <v>1.9180572140013763E-6</v>
      </c>
      <c r="D322" t="s">
        <v>77</v>
      </c>
      <c r="E322" t="s">
        <v>548</v>
      </c>
      <c r="F322" t="s">
        <v>165</v>
      </c>
      <c r="G322" t="s">
        <v>323</v>
      </c>
    </row>
    <row r="323" spans="1:7" x14ac:dyDescent="0.2">
      <c r="A323" t="s">
        <v>324</v>
      </c>
      <c r="B323" s="7">
        <v>1.0036956928061999E-6</v>
      </c>
      <c r="D323" t="s">
        <v>77</v>
      </c>
      <c r="E323" t="s">
        <v>548</v>
      </c>
      <c r="F323" t="s">
        <v>165</v>
      </c>
      <c r="G323" t="s">
        <v>324</v>
      </c>
    </row>
    <row r="324" spans="1:7" x14ac:dyDescent="0.2">
      <c r="A324" t="s">
        <v>325</v>
      </c>
      <c r="B324" s="7">
        <v>2.8902231991801569E-8</v>
      </c>
      <c r="D324" t="s">
        <v>77</v>
      </c>
      <c r="E324" t="s">
        <v>548</v>
      </c>
      <c r="F324" t="s">
        <v>165</v>
      </c>
      <c r="G324" t="s">
        <v>325</v>
      </c>
    </row>
    <row r="325" spans="1:7" x14ac:dyDescent="0.2">
      <c r="A325" t="s">
        <v>326</v>
      </c>
      <c r="B325" s="7">
        <v>2.8849682479089193E-6</v>
      </c>
      <c r="D325" t="s">
        <v>77</v>
      </c>
      <c r="E325" t="s">
        <v>548</v>
      </c>
      <c r="F325" t="s">
        <v>165</v>
      </c>
      <c r="G325" t="s">
        <v>326</v>
      </c>
    </row>
    <row r="326" spans="1:7" x14ac:dyDescent="0.2">
      <c r="A326" t="s">
        <v>327</v>
      </c>
      <c r="B326" s="7">
        <v>1.42671927014075E-6</v>
      </c>
      <c r="D326" t="s">
        <v>77</v>
      </c>
      <c r="E326" t="s">
        <v>548</v>
      </c>
      <c r="F326" t="s">
        <v>165</v>
      </c>
      <c r="G326" t="s">
        <v>327</v>
      </c>
    </row>
    <row r="327" spans="1:7" x14ac:dyDescent="0.2">
      <c r="A327" t="s">
        <v>328</v>
      </c>
      <c r="B327" s="7">
        <v>5.9380949364974125E-7</v>
      </c>
      <c r="D327" t="s">
        <v>77</v>
      </c>
      <c r="E327" t="s">
        <v>548</v>
      </c>
      <c r="F327" t="s">
        <v>165</v>
      </c>
      <c r="G327" t="s">
        <v>328</v>
      </c>
    </row>
    <row r="328" spans="1:7" x14ac:dyDescent="0.2">
      <c r="A328" t="s">
        <v>329</v>
      </c>
      <c r="B328" s="7">
        <v>4.4667085805511511E-7</v>
      </c>
      <c r="D328" t="s">
        <v>77</v>
      </c>
      <c r="E328" t="s">
        <v>548</v>
      </c>
      <c r="F328" t="s">
        <v>165</v>
      </c>
      <c r="G328" t="s">
        <v>329</v>
      </c>
    </row>
    <row r="329" spans="1:7" x14ac:dyDescent="0.2">
      <c r="A329" t="s">
        <v>330</v>
      </c>
      <c r="B329" s="7">
        <v>1.970606726713743E-7</v>
      </c>
      <c r="D329" t="s">
        <v>77</v>
      </c>
      <c r="E329" t="s">
        <v>548</v>
      </c>
      <c r="F329" t="s">
        <v>165</v>
      </c>
      <c r="G329" t="s">
        <v>330</v>
      </c>
    </row>
    <row r="330" spans="1:7" x14ac:dyDescent="0.2">
      <c r="A330" t="s">
        <v>331</v>
      </c>
      <c r="B330" s="7">
        <v>5.7804463983603138E-8</v>
      </c>
      <c r="D330" t="s">
        <v>77</v>
      </c>
      <c r="E330" t="s">
        <v>548</v>
      </c>
      <c r="F330" t="s">
        <v>165</v>
      </c>
      <c r="G330" t="s">
        <v>331</v>
      </c>
    </row>
    <row r="331" spans="1:7" x14ac:dyDescent="0.2">
      <c r="A331" t="s">
        <v>332</v>
      </c>
      <c r="B331" s="7">
        <v>1.6027601377271776E-7</v>
      </c>
      <c r="D331" t="s">
        <v>77</v>
      </c>
      <c r="E331" t="s">
        <v>548</v>
      </c>
      <c r="F331" t="s">
        <v>165</v>
      </c>
      <c r="G331" t="s">
        <v>332</v>
      </c>
    </row>
    <row r="332" spans="1:7" x14ac:dyDescent="0.2">
      <c r="A332" t="s">
        <v>335</v>
      </c>
      <c r="B332" s="7">
        <v>0</v>
      </c>
      <c r="D332" t="s">
        <v>77</v>
      </c>
      <c r="E332" t="s">
        <v>548</v>
      </c>
      <c r="F332" t="s">
        <v>165</v>
      </c>
      <c r="G332" t="s">
        <v>335</v>
      </c>
    </row>
    <row r="333" spans="1:7" x14ac:dyDescent="0.2">
      <c r="A333" t="s">
        <v>333</v>
      </c>
      <c r="B333" s="7">
        <v>4.992203707674815E-8</v>
      </c>
      <c r="D333" t="s">
        <v>77</v>
      </c>
      <c r="E333" t="s">
        <v>548</v>
      </c>
      <c r="F333" t="s">
        <v>165</v>
      </c>
      <c r="G333" t="s">
        <v>333</v>
      </c>
    </row>
    <row r="334" spans="1:7" x14ac:dyDescent="0.2">
      <c r="A334" t="s">
        <v>334</v>
      </c>
      <c r="B334" s="7">
        <v>2.6537503919745075E-7</v>
      </c>
      <c r="D334" t="s">
        <v>77</v>
      </c>
      <c r="E334" t="s">
        <v>548</v>
      </c>
      <c r="F334" t="s">
        <v>165</v>
      </c>
      <c r="G334" t="s">
        <v>334</v>
      </c>
    </row>
    <row r="335" spans="1:7" x14ac:dyDescent="0.2">
      <c r="A335" t="s">
        <v>343</v>
      </c>
      <c r="B335" s="7">
        <v>1.5838997525001637E-9</v>
      </c>
      <c r="D335" t="s">
        <v>77</v>
      </c>
      <c r="E335" t="s">
        <v>548</v>
      </c>
      <c r="F335" t="s">
        <v>165</v>
      </c>
      <c r="G335" t="s">
        <v>336</v>
      </c>
    </row>
    <row r="336" spans="1:7" x14ac:dyDescent="0.2">
      <c r="A336" t="s">
        <v>337</v>
      </c>
      <c r="B336" s="7">
        <v>1.3654308211208309E-11</v>
      </c>
      <c r="D336" t="s">
        <v>77</v>
      </c>
      <c r="E336" t="s">
        <v>548</v>
      </c>
      <c r="F336" t="s">
        <v>165</v>
      </c>
      <c r="G336" t="s">
        <v>337</v>
      </c>
    </row>
    <row r="337" spans="1:8" x14ac:dyDescent="0.2">
      <c r="A337" t="s">
        <v>338</v>
      </c>
      <c r="B337" s="7">
        <v>9.1028721408055385E-12</v>
      </c>
      <c r="D337" t="s">
        <v>77</v>
      </c>
      <c r="E337" t="s">
        <v>548</v>
      </c>
      <c r="F337" t="s">
        <v>165</v>
      </c>
      <c r="G337" t="s">
        <v>338</v>
      </c>
    </row>
    <row r="338" spans="1:8" x14ac:dyDescent="0.2">
      <c r="A338" t="s">
        <v>339</v>
      </c>
      <c r="B338" s="7">
        <v>9.8311019120699828E-8</v>
      </c>
      <c r="D338" t="s">
        <v>77</v>
      </c>
      <c r="E338" t="s">
        <v>548</v>
      </c>
      <c r="F338" t="s">
        <v>165</v>
      </c>
      <c r="G338" t="s">
        <v>339</v>
      </c>
    </row>
    <row r="339" spans="1:8" x14ac:dyDescent="0.2">
      <c r="A339" t="s">
        <v>297</v>
      </c>
      <c r="B339" s="7">
        <v>1.911603149569163E-9</v>
      </c>
      <c r="D339" t="s">
        <v>77</v>
      </c>
      <c r="E339" t="s">
        <v>548</v>
      </c>
      <c r="F339" t="s">
        <v>165</v>
      </c>
      <c r="G339" t="s">
        <v>297</v>
      </c>
    </row>
    <row r="340" spans="1:8" x14ac:dyDescent="0.2">
      <c r="A340" t="s">
        <v>299</v>
      </c>
      <c r="B340" s="7">
        <v>5.9168668915236E-10</v>
      </c>
      <c r="D340" t="s">
        <v>77</v>
      </c>
      <c r="E340" t="s">
        <v>548</v>
      </c>
      <c r="F340" t="s">
        <v>165</v>
      </c>
      <c r="G340" t="s">
        <v>299</v>
      </c>
    </row>
    <row r="341" spans="1:8" x14ac:dyDescent="0.2">
      <c r="A341" t="s">
        <v>298</v>
      </c>
      <c r="B341" s="7">
        <v>7.2822977126444316E-10</v>
      </c>
      <c r="D341" t="s">
        <v>77</v>
      </c>
      <c r="E341" t="s">
        <v>548</v>
      </c>
      <c r="F341" t="s">
        <v>165</v>
      </c>
      <c r="G341" t="s">
        <v>298</v>
      </c>
    </row>
    <row r="342" spans="1:8" x14ac:dyDescent="0.2">
      <c r="A342" t="s">
        <v>342</v>
      </c>
      <c r="B342" s="7">
        <v>1.4564595425288861E-12</v>
      </c>
      <c r="D342" t="s">
        <v>77</v>
      </c>
      <c r="E342" t="s">
        <v>548</v>
      </c>
      <c r="F342" t="s">
        <v>165</v>
      </c>
      <c r="G342" t="s">
        <v>342</v>
      </c>
    </row>
    <row r="343" spans="1:8" x14ac:dyDescent="0.2">
      <c r="A343" t="s">
        <v>340</v>
      </c>
      <c r="B343" s="7">
        <v>3.9597493812504094E-10</v>
      </c>
      <c r="D343" t="s">
        <v>77</v>
      </c>
      <c r="E343" t="s">
        <v>548</v>
      </c>
      <c r="F343" t="s">
        <v>165</v>
      </c>
      <c r="G343" t="s">
        <v>340</v>
      </c>
    </row>
    <row r="344" spans="1:8" x14ac:dyDescent="0.2">
      <c r="A344" t="s">
        <v>341</v>
      </c>
      <c r="B344" s="7">
        <v>4.9155509560349916E-10</v>
      </c>
      <c r="D344" t="s">
        <v>77</v>
      </c>
      <c r="E344" t="s">
        <v>548</v>
      </c>
      <c r="F344" t="s">
        <v>165</v>
      </c>
      <c r="G344" t="s">
        <v>341</v>
      </c>
    </row>
    <row r="345" spans="1:8" x14ac:dyDescent="0.2">
      <c r="A345" t="s">
        <v>157</v>
      </c>
      <c r="B345" s="7">
        <v>-1.1250808142206311E-5</v>
      </c>
      <c r="C345" t="s">
        <v>92</v>
      </c>
      <c r="D345" t="s">
        <v>77</v>
      </c>
      <c r="F345" t="s">
        <v>89</v>
      </c>
      <c r="G345" t="s">
        <v>29</v>
      </c>
      <c r="H345" t="s">
        <v>159</v>
      </c>
    </row>
    <row r="346" spans="1:8" x14ac:dyDescent="0.2">
      <c r="A346" t="s">
        <v>158</v>
      </c>
      <c r="B346" s="7">
        <v>-6.7514741481301901E-6</v>
      </c>
      <c r="C346" t="s">
        <v>92</v>
      </c>
      <c r="D346" t="s">
        <v>77</v>
      </c>
      <c r="F346" t="s">
        <v>89</v>
      </c>
      <c r="G346" t="s">
        <v>30</v>
      </c>
      <c r="H346" t="s">
        <v>160</v>
      </c>
    </row>
    <row r="347" spans="1:8" x14ac:dyDescent="0.2">
      <c r="A347" t="s">
        <v>166</v>
      </c>
      <c r="B347" s="7">
        <v>-3.9128602753765776E-6</v>
      </c>
      <c r="C347" t="s">
        <v>92</v>
      </c>
      <c r="D347" t="s">
        <v>77</v>
      </c>
      <c r="F347" t="s">
        <v>89</v>
      </c>
      <c r="G347" t="s">
        <v>31</v>
      </c>
      <c r="H347" t="s">
        <v>161</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420"/>
  <sheetViews>
    <sheetView topLeftCell="A273" workbookViewId="0">
      <selection activeCell="G298" sqref="G298"/>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384</v>
      </c>
    </row>
    <row r="2" spans="1:2" x14ac:dyDescent="0.2">
      <c r="A2" t="s">
        <v>72</v>
      </c>
      <c r="B2" t="s">
        <v>37</v>
      </c>
    </row>
    <row r="3" spans="1:2" x14ac:dyDescent="0.2">
      <c r="A3" t="s">
        <v>86</v>
      </c>
      <c r="B3" t="s">
        <v>384</v>
      </c>
    </row>
    <row r="4" spans="1:2" x14ac:dyDescent="0.2">
      <c r="A4" t="s">
        <v>87</v>
      </c>
    </row>
    <row r="5" spans="1:2" x14ac:dyDescent="0.2">
      <c r="A5" t="s">
        <v>88</v>
      </c>
      <c r="B5">
        <v>2006</v>
      </c>
    </row>
    <row r="6" spans="1:2" x14ac:dyDescent="0.2">
      <c r="A6" t="s">
        <v>124</v>
      </c>
      <c r="B6" t="s">
        <v>387</v>
      </c>
    </row>
    <row r="7" spans="1:2" x14ac:dyDescent="0.2">
      <c r="A7" t="s">
        <v>73</v>
      </c>
      <c r="B7" t="s">
        <v>384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0</v>
      </c>
    </row>
    <row r="15" spans="1:2" x14ac:dyDescent="0.2">
      <c r="A15" t="s">
        <v>129</v>
      </c>
      <c r="B15">
        <v>1570</v>
      </c>
    </row>
    <row r="16" spans="1:2" x14ac:dyDescent="0.2">
      <c r="A16" t="s">
        <v>130</v>
      </c>
      <c r="B16" s="2">
        <v>93.6875</v>
      </c>
    </row>
    <row r="17" spans="1:8" x14ac:dyDescent="0.2">
      <c r="A17" t="s">
        <v>131</v>
      </c>
      <c r="B17">
        <v>2.8</v>
      </c>
    </row>
    <row r="18" spans="1:8" x14ac:dyDescent="0.2">
      <c r="A18" t="s">
        <v>132</v>
      </c>
      <c r="B18" t="s">
        <v>85</v>
      </c>
    </row>
    <row r="19" spans="1:8" x14ac:dyDescent="0.2">
      <c r="A19" t="s">
        <v>133</v>
      </c>
      <c r="B19">
        <v>0</v>
      </c>
    </row>
    <row r="20" spans="1:8" x14ac:dyDescent="0.2">
      <c r="A20" t="s">
        <v>136</v>
      </c>
      <c r="B20" s="2">
        <v>62.125</v>
      </c>
    </row>
    <row r="21" spans="1:8" x14ac:dyDescent="0.2">
      <c r="A21" t="s">
        <v>137</v>
      </c>
      <c r="B21">
        <v>5.25</v>
      </c>
    </row>
    <row r="22" spans="1:8" x14ac:dyDescent="0.2">
      <c r="A22" t="s">
        <v>134</v>
      </c>
      <c r="B22" s="2">
        <v>162.107934058469</v>
      </c>
    </row>
    <row r="23" spans="1:8" x14ac:dyDescent="0.2">
      <c r="A23" t="s">
        <v>135</v>
      </c>
      <c r="B23" t="s">
        <v>141</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840</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384</v>
      </c>
      <c r="B31">
        <v>1</v>
      </c>
      <c r="C31" t="s">
        <v>37</v>
      </c>
      <c r="D31" t="s">
        <v>76</v>
      </c>
      <c r="F31" t="s">
        <v>84</v>
      </c>
      <c r="G31" t="s">
        <v>85</v>
      </c>
      <c r="H31" t="s">
        <v>384</v>
      </c>
    </row>
    <row r="32" spans="1:8" x14ac:dyDescent="0.2">
      <c r="A32" t="s">
        <v>112</v>
      </c>
      <c r="B32" s="11">
        <v>0.58888888888888891</v>
      </c>
      <c r="C32" t="s">
        <v>92</v>
      </c>
      <c r="D32" t="s">
        <v>76</v>
      </c>
      <c r="F32" t="s">
        <v>89</v>
      </c>
      <c r="G32" t="s">
        <v>15</v>
      </c>
      <c r="H32" t="s">
        <v>113</v>
      </c>
    </row>
    <row r="33" spans="1:8" x14ac:dyDescent="0.2">
      <c r="A33" t="s">
        <v>112</v>
      </c>
      <c r="B33" s="11">
        <v>0.35555555555555557</v>
      </c>
      <c r="C33" t="s">
        <v>92</v>
      </c>
      <c r="D33" t="s">
        <v>76</v>
      </c>
      <c r="F33" t="s">
        <v>89</v>
      </c>
      <c r="G33" t="s">
        <v>16</v>
      </c>
      <c r="H33" t="s">
        <v>113</v>
      </c>
    </row>
    <row r="34" spans="1:8" x14ac:dyDescent="0.2">
      <c r="A34" t="s">
        <v>114</v>
      </c>
      <c r="B34" s="11">
        <v>0.78749999999999998</v>
      </c>
      <c r="C34" t="s">
        <v>92</v>
      </c>
      <c r="D34" t="s">
        <v>77</v>
      </c>
      <c r="F34" t="s">
        <v>89</v>
      </c>
      <c r="G34" t="s">
        <v>24</v>
      </c>
      <c r="H34" t="s">
        <v>115</v>
      </c>
    </row>
    <row r="35" spans="1:8" x14ac:dyDescent="0.2">
      <c r="A35" t="s">
        <v>199</v>
      </c>
      <c r="B35" s="11">
        <v>0.79225352112676051</v>
      </c>
      <c r="C35" t="s">
        <v>92</v>
      </c>
      <c r="D35" t="s">
        <v>77</v>
      </c>
      <c r="F35" t="s">
        <v>89</v>
      </c>
      <c r="G35" t="s">
        <v>422</v>
      </c>
      <c r="H35" t="s">
        <v>199</v>
      </c>
    </row>
    <row r="36" spans="1:8" x14ac:dyDescent="0.2">
      <c r="A36" s="13" t="s">
        <v>549</v>
      </c>
      <c r="B36">
        <v>93.6875</v>
      </c>
      <c r="C36" t="s">
        <v>92</v>
      </c>
      <c r="D36" t="s">
        <v>193</v>
      </c>
      <c r="F36" t="s">
        <v>89</v>
      </c>
      <c r="H36" s="13" t="s">
        <v>550</v>
      </c>
    </row>
    <row r="37" spans="1:8" x14ac:dyDescent="0.2">
      <c r="A37" s="13" t="s">
        <v>216</v>
      </c>
      <c r="B37" s="2">
        <v>1489.6312500000001</v>
      </c>
      <c r="C37" t="s">
        <v>95</v>
      </c>
      <c r="D37" t="s">
        <v>193</v>
      </c>
      <c r="F37" t="s">
        <v>89</v>
      </c>
      <c r="H37" s="13" t="s">
        <v>216</v>
      </c>
    </row>
    <row r="38" spans="1:8" x14ac:dyDescent="0.2">
      <c r="B38" s="11"/>
    </row>
    <row r="39" spans="1:8" ht="16" x14ac:dyDescent="0.2">
      <c r="A39" s="10" t="s">
        <v>71</v>
      </c>
      <c r="B39" s="8" t="s">
        <v>385</v>
      </c>
    </row>
    <row r="40" spans="1:8" x14ac:dyDescent="0.2">
      <c r="A40" t="s">
        <v>72</v>
      </c>
      <c r="B40" t="s">
        <v>37</v>
      </c>
    </row>
    <row r="41" spans="1:8" x14ac:dyDescent="0.2">
      <c r="A41" t="s">
        <v>86</v>
      </c>
      <c r="B41" t="s">
        <v>385</v>
      </c>
    </row>
    <row r="42" spans="1:8" x14ac:dyDescent="0.2">
      <c r="A42" t="s">
        <v>87</v>
      </c>
    </row>
    <row r="43" spans="1:8" x14ac:dyDescent="0.2">
      <c r="A43" t="s">
        <v>88</v>
      </c>
      <c r="B43">
        <v>2016</v>
      </c>
    </row>
    <row r="44" spans="1:8" x14ac:dyDescent="0.2">
      <c r="A44" t="s">
        <v>124</v>
      </c>
      <c r="B44" t="s">
        <v>388</v>
      </c>
    </row>
    <row r="45" spans="1:8" x14ac:dyDescent="0.2">
      <c r="A45" t="s">
        <v>73</v>
      </c>
      <c r="B45" t="s">
        <v>385</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25000</v>
      </c>
    </row>
    <row r="50" spans="1:2" x14ac:dyDescent="0.2">
      <c r="A50" t="s">
        <v>126</v>
      </c>
      <c r="B50">
        <v>1</v>
      </c>
    </row>
    <row r="51" spans="1:2" x14ac:dyDescent="0.2">
      <c r="A51" t="s">
        <v>127</v>
      </c>
      <c r="B51">
        <v>1</v>
      </c>
    </row>
    <row r="52" spans="1:2" x14ac:dyDescent="0.2">
      <c r="A52" t="s">
        <v>128</v>
      </c>
      <c r="B52">
        <v>0</v>
      </c>
    </row>
    <row r="53" spans="1:2" x14ac:dyDescent="0.2">
      <c r="A53" t="s">
        <v>129</v>
      </c>
      <c r="B53">
        <v>1570</v>
      </c>
    </row>
    <row r="54" spans="1:2" x14ac:dyDescent="0.2">
      <c r="A54" t="s">
        <v>130</v>
      </c>
      <c r="B54" s="2">
        <v>92.097499999999997</v>
      </c>
    </row>
    <row r="55" spans="1:2" x14ac:dyDescent="0.2">
      <c r="A55" t="s">
        <v>131</v>
      </c>
      <c r="B55">
        <v>2.8</v>
      </c>
    </row>
    <row r="56" spans="1:2" x14ac:dyDescent="0.2">
      <c r="A56" t="s">
        <v>132</v>
      </c>
      <c r="B56" t="s">
        <v>85</v>
      </c>
    </row>
    <row r="57" spans="1:2" x14ac:dyDescent="0.2">
      <c r="A57" t="s">
        <v>133</v>
      </c>
      <c r="B57">
        <v>0</v>
      </c>
    </row>
    <row r="58" spans="1:2" x14ac:dyDescent="0.2">
      <c r="A58" t="s">
        <v>136</v>
      </c>
      <c r="B58" s="2">
        <v>62.125</v>
      </c>
    </row>
    <row r="59" spans="1:2" x14ac:dyDescent="0.2">
      <c r="A59" t="s">
        <v>137</v>
      </c>
      <c r="B59">
        <v>5.25</v>
      </c>
    </row>
    <row r="60" spans="1:2" x14ac:dyDescent="0.2">
      <c r="A60" t="s">
        <v>134</v>
      </c>
      <c r="B60" s="2">
        <v>171.83441010197717</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841</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385</v>
      </c>
      <c r="B69">
        <v>1</v>
      </c>
      <c r="C69" t="s">
        <v>37</v>
      </c>
      <c r="D69" t="s">
        <v>76</v>
      </c>
      <c r="F69" t="s">
        <v>84</v>
      </c>
      <c r="G69" t="s">
        <v>85</v>
      </c>
      <c r="H69" t="s">
        <v>385</v>
      </c>
    </row>
    <row r="70" spans="1:8" x14ac:dyDescent="0.2">
      <c r="A70" t="s">
        <v>112</v>
      </c>
      <c r="B70" s="11">
        <v>0.58888888888888891</v>
      </c>
      <c r="C70" t="s">
        <v>92</v>
      </c>
      <c r="D70" t="s">
        <v>76</v>
      </c>
      <c r="F70" t="s">
        <v>89</v>
      </c>
      <c r="G70" t="s">
        <v>15</v>
      </c>
      <c r="H70" t="s">
        <v>113</v>
      </c>
    </row>
    <row r="71" spans="1:8" x14ac:dyDescent="0.2">
      <c r="A71" t="s">
        <v>112</v>
      </c>
      <c r="B71" s="11">
        <v>0.35555555555555557</v>
      </c>
      <c r="C71" t="s">
        <v>92</v>
      </c>
      <c r="D71" t="s">
        <v>76</v>
      </c>
      <c r="F71" t="s">
        <v>89</v>
      </c>
      <c r="G71" t="s">
        <v>16</v>
      </c>
      <c r="H71" t="s">
        <v>113</v>
      </c>
    </row>
    <row r="72" spans="1:8" x14ac:dyDescent="0.2">
      <c r="A72" t="s">
        <v>114</v>
      </c>
      <c r="B72" s="11">
        <v>0.78749999999999998</v>
      </c>
      <c r="C72" t="s">
        <v>92</v>
      </c>
      <c r="D72" t="s">
        <v>77</v>
      </c>
      <c r="F72" t="s">
        <v>89</v>
      </c>
      <c r="G72" t="s">
        <v>24</v>
      </c>
      <c r="H72" t="s">
        <v>115</v>
      </c>
    </row>
    <row r="73" spans="1:8" x14ac:dyDescent="0.2">
      <c r="A73" t="s">
        <v>199</v>
      </c>
      <c r="B73" s="11">
        <v>0.79225352112676051</v>
      </c>
      <c r="C73" t="s">
        <v>92</v>
      </c>
      <c r="D73" t="s">
        <v>77</v>
      </c>
      <c r="F73" t="s">
        <v>89</v>
      </c>
      <c r="G73" t="s">
        <v>422</v>
      </c>
      <c r="H73" t="s">
        <v>199</v>
      </c>
    </row>
    <row r="74" spans="1:8" x14ac:dyDescent="0.2">
      <c r="A74" s="13" t="s">
        <v>549</v>
      </c>
      <c r="B74">
        <v>92.097499999999997</v>
      </c>
      <c r="C74" t="s">
        <v>92</v>
      </c>
      <c r="D74" t="s">
        <v>193</v>
      </c>
      <c r="F74" t="s">
        <v>89</v>
      </c>
      <c r="H74" s="13" t="s">
        <v>550</v>
      </c>
    </row>
    <row r="75" spans="1:8" x14ac:dyDescent="0.2">
      <c r="A75" s="13" t="s">
        <v>216</v>
      </c>
      <c r="B75" s="2">
        <v>1464.35025</v>
      </c>
      <c r="C75" t="s">
        <v>95</v>
      </c>
      <c r="D75" t="s">
        <v>193</v>
      </c>
      <c r="F75" t="s">
        <v>89</v>
      </c>
      <c r="H75" s="13" t="s">
        <v>216</v>
      </c>
    </row>
    <row r="77" spans="1:8" ht="16" x14ac:dyDescent="0.2">
      <c r="A77" s="10" t="s">
        <v>71</v>
      </c>
      <c r="B77" s="8" t="s">
        <v>386</v>
      </c>
    </row>
    <row r="78" spans="1:8" x14ac:dyDescent="0.2">
      <c r="A78" t="s">
        <v>72</v>
      </c>
      <c r="B78" t="s">
        <v>37</v>
      </c>
    </row>
    <row r="79" spans="1:8" x14ac:dyDescent="0.2">
      <c r="A79" t="s">
        <v>86</v>
      </c>
      <c r="B79" t="s">
        <v>386</v>
      </c>
    </row>
    <row r="80" spans="1:8" x14ac:dyDescent="0.2">
      <c r="A80" t="s">
        <v>87</v>
      </c>
    </row>
    <row r="81" spans="1:2" x14ac:dyDescent="0.2">
      <c r="A81" t="s">
        <v>88</v>
      </c>
      <c r="B81">
        <v>2020</v>
      </c>
    </row>
    <row r="82" spans="1:2" x14ac:dyDescent="0.2">
      <c r="A82" t="s">
        <v>124</v>
      </c>
      <c r="B82" t="s">
        <v>389</v>
      </c>
    </row>
    <row r="83" spans="1:2" x14ac:dyDescent="0.2">
      <c r="A83" t="s">
        <v>73</v>
      </c>
      <c r="B83" t="s">
        <v>386</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25000</v>
      </c>
    </row>
    <row r="88" spans="1:2" x14ac:dyDescent="0.2">
      <c r="A88" t="s">
        <v>126</v>
      </c>
      <c r="B88">
        <v>1</v>
      </c>
    </row>
    <row r="89" spans="1:2" x14ac:dyDescent="0.2">
      <c r="A89" t="s">
        <v>127</v>
      </c>
      <c r="B89">
        <v>1</v>
      </c>
    </row>
    <row r="90" spans="1:2" x14ac:dyDescent="0.2">
      <c r="A90" t="s">
        <v>128</v>
      </c>
      <c r="B90">
        <v>0</v>
      </c>
    </row>
    <row r="91" spans="1:2" x14ac:dyDescent="0.2">
      <c r="A91" t="s">
        <v>129</v>
      </c>
      <c r="B91">
        <v>1570</v>
      </c>
    </row>
    <row r="92" spans="1:2" x14ac:dyDescent="0.2">
      <c r="A92" t="s">
        <v>130</v>
      </c>
      <c r="B92" s="2">
        <v>91.037499999999994</v>
      </c>
    </row>
    <row r="93" spans="1:2" x14ac:dyDescent="0.2">
      <c r="A93" t="s">
        <v>131</v>
      </c>
      <c r="B93">
        <v>2.8</v>
      </c>
    </row>
    <row r="94" spans="1:2" x14ac:dyDescent="0.2">
      <c r="A94" t="s">
        <v>132</v>
      </c>
      <c r="B94" t="s">
        <v>85</v>
      </c>
    </row>
    <row r="95" spans="1:2" x14ac:dyDescent="0.2">
      <c r="A95" t="s">
        <v>133</v>
      </c>
      <c r="B95">
        <v>0</v>
      </c>
    </row>
    <row r="96" spans="1:2" x14ac:dyDescent="0.2">
      <c r="A96" t="s">
        <v>136</v>
      </c>
      <c r="B96" s="2">
        <v>62.125</v>
      </c>
    </row>
    <row r="97" spans="1:8" x14ac:dyDescent="0.2">
      <c r="A97" t="s">
        <v>137</v>
      </c>
      <c r="B97">
        <v>5.25</v>
      </c>
    </row>
    <row r="98" spans="1:8" x14ac:dyDescent="0.2">
      <c r="A98" t="s">
        <v>134</v>
      </c>
      <c r="B98" s="2">
        <v>173.57011121411836</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842</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386</v>
      </c>
      <c r="B107">
        <v>1</v>
      </c>
      <c r="C107" t="s">
        <v>37</v>
      </c>
      <c r="D107" t="s">
        <v>76</v>
      </c>
      <c r="F107" t="s">
        <v>84</v>
      </c>
      <c r="G107" t="s">
        <v>85</v>
      </c>
      <c r="H107" t="s">
        <v>386</v>
      </c>
    </row>
    <row r="108" spans="1:8" x14ac:dyDescent="0.2">
      <c r="A108" t="s">
        <v>112</v>
      </c>
      <c r="B108" s="11">
        <v>0.58888888888888891</v>
      </c>
      <c r="C108" t="s">
        <v>92</v>
      </c>
      <c r="D108" t="s">
        <v>76</v>
      </c>
      <c r="F108" t="s">
        <v>89</v>
      </c>
      <c r="G108" t="s">
        <v>15</v>
      </c>
      <c r="H108" t="s">
        <v>113</v>
      </c>
    </row>
    <row r="109" spans="1:8" x14ac:dyDescent="0.2">
      <c r="A109" t="s">
        <v>112</v>
      </c>
      <c r="B109" s="11">
        <v>0.35555555555555557</v>
      </c>
      <c r="C109" t="s">
        <v>92</v>
      </c>
      <c r="D109" t="s">
        <v>76</v>
      </c>
      <c r="F109" t="s">
        <v>89</v>
      </c>
      <c r="G109" t="s">
        <v>16</v>
      </c>
      <c r="H109" t="s">
        <v>113</v>
      </c>
    </row>
    <row r="110" spans="1:8" x14ac:dyDescent="0.2">
      <c r="A110" t="s">
        <v>114</v>
      </c>
      <c r="B110" s="11">
        <v>0.78749999999999998</v>
      </c>
      <c r="C110" t="s">
        <v>92</v>
      </c>
      <c r="D110" t="s">
        <v>77</v>
      </c>
      <c r="F110" t="s">
        <v>89</v>
      </c>
      <c r="G110" t="s">
        <v>24</v>
      </c>
      <c r="H110" t="s">
        <v>115</v>
      </c>
    </row>
    <row r="111" spans="1:8" x14ac:dyDescent="0.2">
      <c r="A111" t="s">
        <v>199</v>
      </c>
      <c r="B111" s="11">
        <v>0.79225352112676051</v>
      </c>
      <c r="C111" t="s">
        <v>92</v>
      </c>
      <c r="D111" t="s">
        <v>77</v>
      </c>
      <c r="F111" t="s">
        <v>89</v>
      </c>
      <c r="G111" t="s">
        <v>422</v>
      </c>
      <c r="H111" t="s">
        <v>199</v>
      </c>
    </row>
    <row r="112" spans="1:8" x14ac:dyDescent="0.2">
      <c r="A112" s="13" t="s">
        <v>549</v>
      </c>
      <c r="B112">
        <v>91.037499999999994</v>
      </c>
      <c r="C112" t="s">
        <v>92</v>
      </c>
      <c r="D112" t="s">
        <v>193</v>
      </c>
      <c r="F112" t="s">
        <v>89</v>
      </c>
      <c r="H112" s="13" t="s">
        <v>550</v>
      </c>
    </row>
    <row r="113" spans="1:8" x14ac:dyDescent="0.2">
      <c r="A113" s="13" t="s">
        <v>216</v>
      </c>
      <c r="B113" s="2">
        <v>1447.4962499999999</v>
      </c>
      <c r="C113" t="s">
        <v>95</v>
      </c>
      <c r="D113" t="s">
        <v>193</v>
      </c>
      <c r="F113" t="s">
        <v>89</v>
      </c>
      <c r="H113" s="13" t="s">
        <v>216</v>
      </c>
    </row>
    <row r="116" spans="1:8" ht="16" x14ac:dyDescent="0.2">
      <c r="A116" s="10" t="s">
        <v>71</v>
      </c>
      <c r="B116" s="8" t="s">
        <v>843</v>
      </c>
    </row>
    <row r="117" spans="1:8" x14ac:dyDescent="0.2">
      <c r="A117" t="s">
        <v>72</v>
      </c>
      <c r="B117" t="s">
        <v>37</v>
      </c>
    </row>
    <row r="118" spans="1:8" x14ac:dyDescent="0.2">
      <c r="A118" t="s">
        <v>86</v>
      </c>
      <c r="B118" t="s">
        <v>384</v>
      </c>
    </row>
    <row r="119" spans="1:8" x14ac:dyDescent="0.2">
      <c r="A119" t="s">
        <v>87</v>
      </c>
    </row>
    <row r="120" spans="1:8" x14ac:dyDescent="0.2">
      <c r="A120" t="s">
        <v>88</v>
      </c>
      <c r="B120">
        <v>2006</v>
      </c>
    </row>
    <row r="121" spans="1:8" x14ac:dyDescent="0.2">
      <c r="A121" t="s">
        <v>124</v>
      </c>
      <c r="B121" t="s">
        <v>387</v>
      </c>
    </row>
    <row r="122" spans="1:8" x14ac:dyDescent="0.2">
      <c r="A122" t="s">
        <v>73</v>
      </c>
      <c r="B122" t="s">
        <v>843</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25000</v>
      </c>
    </row>
    <row r="127" spans="1:8" x14ac:dyDescent="0.2">
      <c r="A127" t="s">
        <v>126</v>
      </c>
      <c r="B127">
        <v>1</v>
      </c>
    </row>
    <row r="128" spans="1:8" x14ac:dyDescent="0.2">
      <c r="A128" t="s">
        <v>127</v>
      </c>
      <c r="B128">
        <v>1</v>
      </c>
    </row>
    <row r="129" spans="1:8" x14ac:dyDescent="0.2">
      <c r="A129" t="s">
        <v>128</v>
      </c>
      <c r="B129">
        <v>0</v>
      </c>
    </row>
    <row r="130" spans="1:8" x14ac:dyDescent="0.2">
      <c r="A130" t="s">
        <v>129</v>
      </c>
      <c r="B130">
        <v>1570</v>
      </c>
    </row>
    <row r="131" spans="1:8" x14ac:dyDescent="0.2">
      <c r="A131" t="s">
        <v>130</v>
      </c>
      <c r="B131" s="2">
        <v>93.6875</v>
      </c>
    </row>
    <row r="132" spans="1:8" x14ac:dyDescent="0.2">
      <c r="A132" t="s">
        <v>131</v>
      </c>
      <c r="B132">
        <v>2.8</v>
      </c>
    </row>
    <row r="133" spans="1:8" x14ac:dyDescent="0.2">
      <c r="A133" t="s">
        <v>132</v>
      </c>
      <c r="B133" t="s">
        <v>85</v>
      </c>
    </row>
    <row r="134" spans="1:8" x14ac:dyDescent="0.2">
      <c r="A134" t="s">
        <v>133</v>
      </c>
      <c r="B134">
        <v>0</v>
      </c>
    </row>
    <row r="135" spans="1:8" x14ac:dyDescent="0.2">
      <c r="A135" t="s">
        <v>136</v>
      </c>
      <c r="B135" s="2">
        <v>62.125</v>
      </c>
    </row>
    <row r="136" spans="1:8" x14ac:dyDescent="0.2">
      <c r="A136" t="s">
        <v>137</v>
      </c>
      <c r="B136">
        <v>5.25</v>
      </c>
    </row>
    <row r="137" spans="1:8" x14ac:dyDescent="0.2">
      <c r="A137" t="s">
        <v>134</v>
      </c>
      <c r="B137" s="2">
        <v>162.107934058469</v>
      </c>
    </row>
    <row r="138" spans="1:8" x14ac:dyDescent="0.2">
      <c r="A138" t="s">
        <v>135</v>
      </c>
      <c r="B138" t="s">
        <v>141</v>
      </c>
    </row>
    <row r="139" spans="1:8" x14ac:dyDescent="0.2">
      <c r="A139" t="s">
        <v>796</v>
      </c>
      <c r="B139" s="6">
        <v>-0.05</v>
      </c>
    </row>
    <row r="140" spans="1:8" x14ac:dyDescent="0.2">
      <c r="A140" t="s">
        <v>83</v>
      </c>
      <c r="B140" t="s">
        <v>844</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843</v>
      </c>
      <c r="B143">
        <v>1</v>
      </c>
      <c r="C143" t="s">
        <v>37</v>
      </c>
      <c r="D143" t="s">
        <v>164</v>
      </c>
      <c r="F143" t="s">
        <v>84</v>
      </c>
      <c r="G143" t="s">
        <v>85</v>
      </c>
      <c r="H143" t="s">
        <v>843</v>
      </c>
    </row>
    <row r="144" spans="1:8" x14ac:dyDescent="0.2">
      <c r="A144" t="s">
        <v>384</v>
      </c>
      <c r="B144" s="7">
        <v>4.0000000000000003E-5</v>
      </c>
      <c r="C144" t="s">
        <v>37</v>
      </c>
      <c r="D144" t="s">
        <v>76</v>
      </c>
      <c r="F144" t="s">
        <v>89</v>
      </c>
      <c r="H144" t="s">
        <v>384</v>
      </c>
    </row>
    <row r="145" spans="1:8" x14ac:dyDescent="0.2">
      <c r="A145" t="s">
        <v>107</v>
      </c>
      <c r="B145" s="7">
        <v>9.2733187500000004E-5</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364</v>
      </c>
      <c r="B148" s="7">
        <v>3.2385830036588042E-2</v>
      </c>
      <c r="C148" t="s">
        <v>37</v>
      </c>
      <c r="D148" t="s">
        <v>77</v>
      </c>
      <c r="F148" t="s">
        <v>89</v>
      </c>
      <c r="G148" t="s">
        <v>27</v>
      </c>
      <c r="H148" t="s">
        <v>365</v>
      </c>
    </row>
    <row r="149" spans="1:8" x14ac:dyDescent="0.2">
      <c r="A149" t="s">
        <v>152</v>
      </c>
      <c r="B149" s="11">
        <v>0.10169150631488645</v>
      </c>
      <c r="D149" t="s">
        <v>77</v>
      </c>
      <c r="E149" t="s">
        <v>548</v>
      </c>
      <c r="F149" t="s">
        <v>165</v>
      </c>
      <c r="G149" t="s">
        <v>66</v>
      </c>
    </row>
    <row r="150" spans="1:8" x14ac:dyDescent="0.2">
      <c r="A150" t="s">
        <v>554</v>
      </c>
      <c r="B150" s="11">
        <v>0</v>
      </c>
      <c r="D150" t="s">
        <v>77</v>
      </c>
      <c r="E150" t="s">
        <v>548</v>
      </c>
      <c r="F150" t="s">
        <v>165</v>
      </c>
      <c r="G150" t="s">
        <v>552</v>
      </c>
    </row>
    <row r="151" spans="1:8" x14ac:dyDescent="0.2">
      <c r="A151" t="s">
        <v>212</v>
      </c>
      <c r="B151" s="7">
        <v>5.1817328058540864E-7</v>
      </c>
      <c r="D151" t="s">
        <v>77</v>
      </c>
      <c r="E151" t="s">
        <v>548</v>
      </c>
      <c r="F151" t="s">
        <v>165</v>
      </c>
      <c r="G151" t="s">
        <v>67</v>
      </c>
    </row>
    <row r="152" spans="1:8" x14ac:dyDescent="0.2">
      <c r="A152" t="s">
        <v>55</v>
      </c>
      <c r="B152" s="7">
        <v>8.3884891813930333E-5</v>
      </c>
      <c r="D152" t="s">
        <v>77</v>
      </c>
      <c r="E152" t="s">
        <v>548</v>
      </c>
      <c r="F152" t="s">
        <v>165</v>
      </c>
      <c r="G152" t="s">
        <v>55</v>
      </c>
    </row>
    <row r="153" spans="1:8" x14ac:dyDescent="0.2">
      <c r="A153" t="s">
        <v>153</v>
      </c>
      <c r="B153" s="7">
        <v>3.8035897892412742E-5</v>
      </c>
      <c r="D153" t="s">
        <v>77</v>
      </c>
      <c r="E153" t="s">
        <v>548</v>
      </c>
      <c r="F153" t="s">
        <v>165</v>
      </c>
      <c r="G153" t="s">
        <v>56</v>
      </c>
    </row>
    <row r="154" spans="1:8" x14ac:dyDescent="0.2">
      <c r="A154" t="s">
        <v>154</v>
      </c>
      <c r="B154" s="7">
        <v>4.0219096360171094E-3</v>
      </c>
      <c r="D154" t="s">
        <v>77</v>
      </c>
      <c r="E154" t="s">
        <v>548</v>
      </c>
      <c r="F154" t="s">
        <v>165</v>
      </c>
      <c r="G154" t="s">
        <v>57</v>
      </c>
    </row>
    <row r="155" spans="1:8" x14ac:dyDescent="0.2">
      <c r="A155" t="s">
        <v>213</v>
      </c>
      <c r="B155" s="7">
        <v>1.9297766561345895E-6</v>
      </c>
      <c r="D155" t="s">
        <v>77</v>
      </c>
      <c r="E155" t="s">
        <v>548</v>
      </c>
      <c r="F155" t="s">
        <v>165</v>
      </c>
      <c r="G155" t="s">
        <v>58</v>
      </c>
    </row>
    <row r="156" spans="1:8" x14ac:dyDescent="0.2">
      <c r="A156" t="s">
        <v>155</v>
      </c>
      <c r="B156" s="7">
        <v>1.9297766561345895E-6</v>
      </c>
      <c r="D156" t="s">
        <v>77</v>
      </c>
      <c r="E156" t="s">
        <v>548</v>
      </c>
      <c r="F156" t="s">
        <v>165</v>
      </c>
      <c r="G156" t="s">
        <v>59</v>
      </c>
    </row>
    <row r="157" spans="1:8" x14ac:dyDescent="0.2">
      <c r="A157" t="s">
        <v>156</v>
      </c>
      <c r="B157" s="7">
        <v>1.4471531938501332E-4</v>
      </c>
      <c r="D157" t="s">
        <v>77</v>
      </c>
      <c r="E157" t="s">
        <v>548</v>
      </c>
      <c r="F157" t="s">
        <v>165</v>
      </c>
      <c r="G157" t="s">
        <v>60</v>
      </c>
    </row>
    <row r="158" spans="1:8" x14ac:dyDescent="0.2">
      <c r="A158" t="s">
        <v>214</v>
      </c>
      <c r="B158" s="7">
        <v>1.1082707336180945E-5</v>
      </c>
      <c r="D158" t="s">
        <v>77</v>
      </c>
      <c r="E158" t="s">
        <v>548</v>
      </c>
      <c r="F158" t="s">
        <v>165</v>
      </c>
      <c r="G158" t="s">
        <v>62</v>
      </c>
    </row>
    <row r="159" spans="1:8" x14ac:dyDescent="0.2">
      <c r="A159" t="s">
        <v>209</v>
      </c>
      <c r="B159" s="7">
        <v>6.764621222214276E-4</v>
      </c>
      <c r="D159" t="s">
        <v>77</v>
      </c>
      <c r="E159" t="s">
        <v>548</v>
      </c>
      <c r="F159" t="s">
        <v>165</v>
      </c>
      <c r="G159" t="s">
        <v>368</v>
      </c>
    </row>
    <row r="160" spans="1:8" x14ac:dyDescent="0.2">
      <c r="A160" t="s">
        <v>316</v>
      </c>
      <c r="B160" s="7">
        <v>4.7699252207921172E-5</v>
      </c>
      <c r="D160" t="s">
        <v>77</v>
      </c>
      <c r="E160" t="s">
        <v>548</v>
      </c>
      <c r="F160" t="s">
        <v>165</v>
      </c>
      <c r="G160" t="s">
        <v>316</v>
      </c>
    </row>
    <row r="161" spans="1:7" x14ac:dyDescent="0.2">
      <c r="A161" t="s">
        <v>317</v>
      </c>
      <c r="B161" s="7">
        <v>9.7192833652503956E-6</v>
      </c>
      <c r="D161" t="s">
        <v>77</v>
      </c>
      <c r="E161" t="s">
        <v>548</v>
      </c>
      <c r="F161" t="s">
        <v>165</v>
      </c>
      <c r="G161" t="s">
        <v>317</v>
      </c>
    </row>
    <row r="162" spans="1:7" x14ac:dyDescent="0.2">
      <c r="A162" t="s">
        <v>318</v>
      </c>
      <c r="B162" s="7">
        <v>7.8352376667557047E-5</v>
      </c>
      <c r="D162" t="s">
        <v>77</v>
      </c>
      <c r="E162" t="s">
        <v>548</v>
      </c>
      <c r="F162" t="s">
        <v>165</v>
      </c>
      <c r="G162" t="s">
        <v>318</v>
      </c>
    </row>
    <row r="163" spans="1:7" x14ac:dyDescent="0.2">
      <c r="A163" t="s">
        <v>319</v>
      </c>
      <c r="B163" s="7">
        <v>3.2148398823520539E-5</v>
      </c>
      <c r="D163" t="s">
        <v>77</v>
      </c>
      <c r="E163" t="s">
        <v>548</v>
      </c>
      <c r="F163" t="s">
        <v>165</v>
      </c>
      <c r="G163" t="s">
        <v>319</v>
      </c>
    </row>
    <row r="164" spans="1:7" x14ac:dyDescent="0.2">
      <c r="A164" t="s">
        <v>320</v>
      </c>
      <c r="B164" s="7">
        <v>2.4073917258543288E-5</v>
      </c>
      <c r="D164" t="s">
        <v>77</v>
      </c>
      <c r="E164" t="s">
        <v>548</v>
      </c>
      <c r="F164" t="s">
        <v>165</v>
      </c>
      <c r="G164" t="s">
        <v>320</v>
      </c>
    </row>
    <row r="165" spans="1:7" x14ac:dyDescent="0.2">
      <c r="A165" t="s">
        <v>321</v>
      </c>
      <c r="B165" s="7">
        <v>1.7046127748285311E-5</v>
      </c>
      <c r="D165" t="s">
        <v>77</v>
      </c>
      <c r="E165" t="s">
        <v>548</v>
      </c>
      <c r="F165" t="s">
        <v>165</v>
      </c>
      <c r="G165" t="s">
        <v>321</v>
      </c>
    </row>
    <row r="166" spans="1:7" x14ac:dyDescent="0.2">
      <c r="A166" t="s">
        <v>322</v>
      </c>
      <c r="B166" s="7">
        <v>1.1065030292746605E-5</v>
      </c>
      <c r="D166" t="s">
        <v>77</v>
      </c>
      <c r="E166" t="s">
        <v>548</v>
      </c>
      <c r="F166" t="s">
        <v>165</v>
      </c>
      <c r="G166" t="s">
        <v>322</v>
      </c>
    </row>
    <row r="167" spans="1:7" x14ac:dyDescent="0.2">
      <c r="A167" t="s">
        <v>323</v>
      </c>
      <c r="B167" s="7">
        <v>1.0915502856358137E-4</v>
      </c>
      <c r="D167" t="s">
        <v>77</v>
      </c>
      <c r="E167" t="s">
        <v>548</v>
      </c>
      <c r="F167" t="s">
        <v>165</v>
      </c>
      <c r="G167" t="s">
        <v>323</v>
      </c>
    </row>
    <row r="168" spans="1:7" x14ac:dyDescent="0.2">
      <c r="A168" t="s">
        <v>324</v>
      </c>
      <c r="B168" s="7">
        <v>5.711948070039463E-5</v>
      </c>
      <c r="D168" t="s">
        <v>77</v>
      </c>
      <c r="E168" t="s">
        <v>548</v>
      </c>
      <c r="F168" t="s">
        <v>165</v>
      </c>
      <c r="G168" t="s">
        <v>324</v>
      </c>
    </row>
    <row r="169" spans="1:7" x14ac:dyDescent="0.2">
      <c r="A169" t="s">
        <v>325</v>
      </c>
      <c r="B169" s="7">
        <v>1.6448018002731441E-6</v>
      </c>
      <c r="D169" t="s">
        <v>77</v>
      </c>
      <c r="E169" t="s">
        <v>548</v>
      </c>
      <c r="F169" t="s">
        <v>165</v>
      </c>
      <c r="G169" t="s">
        <v>325</v>
      </c>
    </row>
    <row r="170" spans="1:7" x14ac:dyDescent="0.2">
      <c r="A170" t="s">
        <v>326</v>
      </c>
      <c r="B170" s="7">
        <v>1.6418112515453746E-4</v>
      </c>
      <c r="D170" t="s">
        <v>77</v>
      </c>
      <c r="E170" t="s">
        <v>548</v>
      </c>
      <c r="F170" t="s">
        <v>165</v>
      </c>
      <c r="G170" t="s">
        <v>326</v>
      </c>
    </row>
    <row r="171" spans="1:7" x14ac:dyDescent="0.2">
      <c r="A171" t="s">
        <v>327</v>
      </c>
      <c r="B171" s="7">
        <v>8.1193397958937932E-5</v>
      </c>
      <c r="D171" t="s">
        <v>77</v>
      </c>
      <c r="E171" t="s">
        <v>548</v>
      </c>
      <c r="F171" t="s">
        <v>165</v>
      </c>
      <c r="G171" t="s">
        <v>327</v>
      </c>
    </row>
    <row r="172" spans="1:7" x14ac:dyDescent="0.2">
      <c r="A172" t="s">
        <v>328</v>
      </c>
      <c r="B172" s="7">
        <v>3.3793200623793681E-5</v>
      </c>
      <c r="D172" t="s">
        <v>77</v>
      </c>
      <c r="E172" t="s">
        <v>548</v>
      </c>
      <c r="F172" t="s">
        <v>165</v>
      </c>
      <c r="G172" t="s">
        <v>328</v>
      </c>
    </row>
    <row r="173" spans="1:7" x14ac:dyDescent="0.2">
      <c r="A173" t="s">
        <v>329</v>
      </c>
      <c r="B173" s="7">
        <v>2.5419664186039499E-5</v>
      </c>
      <c r="D173" t="s">
        <v>77</v>
      </c>
      <c r="E173" t="s">
        <v>548</v>
      </c>
      <c r="F173" t="s">
        <v>165</v>
      </c>
      <c r="G173" t="s">
        <v>329</v>
      </c>
    </row>
    <row r="174" spans="1:7" x14ac:dyDescent="0.2">
      <c r="A174" t="s">
        <v>330</v>
      </c>
      <c r="B174" s="7">
        <v>1.1214557729135072E-5</v>
      </c>
      <c r="D174" t="s">
        <v>77</v>
      </c>
      <c r="E174" t="s">
        <v>548</v>
      </c>
      <c r="F174" t="s">
        <v>165</v>
      </c>
      <c r="G174" t="s">
        <v>330</v>
      </c>
    </row>
    <row r="175" spans="1:7" x14ac:dyDescent="0.2">
      <c r="A175" t="s">
        <v>331</v>
      </c>
      <c r="B175" s="7">
        <v>3.2896036005462881E-6</v>
      </c>
      <c r="D175" t="s">
        <v>77</v>
      </c>
      <c r="E175" t="s">
        <v>548</v>
      </c>
      <c r="F175" t="s">
        <v>165</v>
      </c>
      <c r="G175" t="s">
        <v>331</v>
      </c>
    </row>
    <row r="176" spans="1:7" x14ac:dyDescent="0.2">
      <c r="A176" t="s">
        <v>332</v>
      </c>
      <c r="B176" s="7">
        <v>9.1211736196965272E-6</v>
      </c>
      <c r="D176" t="s">
        <v>77</v>
      </c>
      <c r="E176" t="s">
        <v>548</v>
      </c>
      <c r="F176" t="s">
        <v>165</v>
      </c>
      <c r="G176" t="s">
        <v>332</v>
      </c>
    </row>
    <row r="177" spans="1:8" x14ac:dyDescent="0.2">
      <c r="A177" t="s">
        <v>335</v>
      </c>
      <c r="B177" s="7">
        <v>0</v>
      </c>
      <c r="D177" t="s">
        <v>77</v>
      </c>
      <c r="E177" t="s">
        <v>548</v>
      </c>
      <c r="F177" t="s">
        <v>165</v>
      </c>
      <c r="G177" t="s">
        <v>335</v>
      </c>
    </row>
    <row r="178" spans="1:8" x14ac:dyDescent="0.2">
      <c r="A178" t="s">
        <v>333</v>
      </c>
      <c r="B178" s="7">
        <v>2.8410212913808851E-6</v>
      </c>
      <c r="D178" t="s">
        <v>77</v>
      </c>
      <c r="E178" t="s">
        <v>548</v>
      </c>
      <c r="F178" t="s">
        <v>165</v>
      </c>
      <c r="G178" t="s">
        <v>333</v>
      </c>
    </row>
    <row r="179" spans="1:8" x14ac:dyDescent="0.2">
      <c r="A179" t="s">
        <v>334</v>
      </c>
      <c r="B179" s="7">
        <v>1.5102271075235228E-5</v>
      </c>
      <c r="D179" t="s">
        <v>77</v>
      </c>
      <c r="E179" t="s">
        <v>548</v>
      </c>
      <c r="F179" t="s">
        <v>165</v>
      </c>
      <c r="G179" t="s">
        <v>334</v>
      </c>
    </row>
    <row r="180" spans="1:8" x14ac:dyDescent="0.2">
      <c r="A180" t="s">
        <v>343</v>
      </c>
      <c r="B180" s="7">
        <v>1.1296787132386129E-9</v>
      </c>
      <c r="D180" t="s">
        <v>77</v>
      </c>
      <c r="E180" t="s">
        <v>548</v>
      </c>
      <c r="F180" t="s">
        <v>165</v>
      </c>
      <c r="G180" t="s">
        <v>336</v>
      </c>
    </row>
    <row r="181" spans="1:8" x14ac:dyDescent="0.2">
      <c r="A181" t="s">
        <v>337</v>
      </c>
      <c r="B181" s="7">
        <v>9.7386095968845943E-12</v>
      </c>
      <c r="D181" t="s">
        <v>77</v>
      </c>
      <c r="E181" t="s">
        <v>548</v>
      </c>
      <c r="F181" t="s">
        <v>165</v>
      </c>
      <c r="G181" t="s">
        <v>337</v>
      </c>
    </row>
    <row r="182" spans="1:8" x14ac:dyDescent="0.2">
      <c r="A182" t="s">
        <v>338</v>
      </c>
      <c r="B182" s="7">
        <v>6.4924063979230623E-12</v>
      </c>
      <c r="D182" t="s">
        <v>77</v>
      </c>
      <c r="E182" t="s">
        <v>548</v>
      </c>
      <c r="F182" t="s">
        <v>165</v>
      </c>
      <c r="G182" t="s">
        <v>338</v>
      </c>
    </row>
    <row r="183" spans="1:8" x14ac:dyDescent="0.2">
      <c r="A183" t="s">
        <v>339</v>
      </c>
      <c r="B183" s="7">
        <v>7.0117989097569083E-8</v>
      </c>
      <c r="D183" t="s">
        <v>77</v>
      </c>
      <c r="E183" t="s">
        <v>548</v>
      </c>
      <c r="F183" t="s">
        <v>165</v>
      </c>
      <c r="G183" t="s">
        <v>339</v>
      </c>
    </row>
    <row r="184" spans="1:8" x14ac:dyDescent="0.2">
      <c r="A184" t="s">
        <v>297</v>
      </c>
      <c r="B184" s="7">
        <v>1.363405343563843E-9</v>
      </c>
      <c r="D184" t="s">
        <v>77</v>
      </c>
      <c r="E184" t="s">
        <v>548</v>
      </c>
      <c r="F184" t="s">
        <v>165</v>
      </c>
      <c r="G184" t="s">
        <v>297</v>
      </c>
    </row>
    <row r="185" spans="1:8" x14ac:dyDescent="0.2">
      <c r="A185" t="s">
        <v>299</v>
      </c>
      <c r="B185" s="7">
        <v>4.2200641586499908E-10</v>
      </c>
      <c r="D185" t="s">
        <v>77</v>
      </c>
      <c r="E185" t="s">
        <v>548</v>
      </c>
      <c r="F185" t="s">
        <v>165</v>
      </c>
      <c r="G185" t="s">
        <v>299</v>
      </c>
    </row>
    <row r="186" spans="1:8" x14ac:dyDescent="0.2">
      <c r="A186" t="s">
        <v>298</v>
      </c>
      <c r="B186" s="7">
        <v>5.1939251183384506E-10</v>
      </c>
      <c r="D186" t="s">
        <v>77</v>
      </c>
      <c r="E186" t="s">
        <v>548</v>
      </c>
      <c r="F186" t="s">
        <v>165</v>
      </c>
      <c r="G186" t="s">
        <v>298</v>
      </c>
    </row>
    <row r="187" spans="1:8" x14ac:dyDescent="0.2">
      <c r="A187" t="s">
        <v>342</v>
      </c>
      <c r="B187" s="7">
        <v>1.0387850236676899E-12</v>
      </c>
      <c r="D187" t="s">
        <v>77</v>
      </c>
      <c r="E187" t="s">
        <v>548</v>
      </c>
      <c r="F187" t="s">
        <v>165</v>
      </c>
      <c r="G187" t="s">
        <v>342</v>
      </c>
    </row>
    <row r="188" spans="1:8" x14ac:dyDescent="0.2">
      <c r="A188" t="s">
        <v>340</v>
      </c>
      <c r="B188" s="7">
        <v>2.8241967830965323E-10</v>
      </c>
      <c r="D188" t="s">
        <v>77</v>
      </c>
      <c r="E188" t="s">
        <v>548</v>
      </c>
      <c r="F188" t="s">
        <v>165</v>
      </c>
      <c r="G188" t="s">
        <v>340</v>
      </c>
    </row>
    <row r="189" spans="1:8" x14ac:dyDescent="0.2">
      <c r="A189" t="s">
        <v>341</v>
      </c>
      <c r="B189" s="7">
        <v>3.5058994548784547E-10</v>
      </c>
      <c r="D189" t="s">
        <v>77</v>
      </c>
      <c r="E189" t="s">
        <v>548</v>
      </c>
      <c r="F189" t="s">
        <v>165</v>
      </c>
      <c r="G189" t="s">
        <v>341</v>
      </c>
    </row>
    <row r="190" spans="1:8" x14ac:dyDescent="0.2">
      <c r="A190" t="s">
        <v>157</v>
      </c>
      <c r="B190" s="7">
        <v>-6.4854046101046892E-6</v>
      </c>
      <c r="C190" t="s">
        <v>92</v>
      </c>
      <c r="D190" t="s">
        <v>77</v>
      </c>
      <c r="F190" t="s">
        <v>89</v>
      </c>
      <c r="G190" t="s">
        <v>29</v>
      </c>
      <c r="H190" t="s">
        <v>159</v>
      </c>
    </row>
    <row r="191" spans="1:8" x14ac:dyDescent="0.2">
      <c r="A191" t="s">
        <v>158</v>
      </c>
      <c r="B191" s="7">
        <v>-5.2412620052459845E-6</v>
      </c>
      <c r="C191" t="s">
        <v>92</v>
      </c>
      <c r="D191" t="s">
        <v>77</v>
      </c>
      <c r="F191" t="s">
        <v>89</v>
      </c>
      <c r="G191" t="s">
        <v>30</v>
      </c>
      <c r="H191" t="s">
        <v>160</v>
      </c>
    </row>
    <row r="192" spans="1:8" x14ac:dyDescent="0.2">
      <c r="A192" t="s">
        <v>166</v>
      </c>
      <c r="B192" s="7">
        <v>-3.6696652794461515E-6</v>
      </c>
      <c r="C192" t="s">
        <v>92</v>
      </c>
      <c r="D192" t="s">
        <v>77</v>
      </c>
      <c r="F192" t="s">
        <v>89</v>
      </c>
      <c r="G192" t="s">
        <v>31</v>
      </c>
      <c r="H192" t="s">
        <v>161</v>
      </c>
    </row>
    <row r="194" spans="1:2" ht="16" x14ac:dyDescent="0.2">
      <c r="A194" s="10" t="s">
        <v>71</v>
      </c>
      <c r="B194" s="8" t="s">
        <v>845</v>
      </c>
    </row>
    <row r="195" spans="1:2" x14ac:dyDescent="0.2">
      <c r="A195" t="s">
        <v>72</v>
      </c>
      <c r="B195" t="s">
        <v>37</v>
      </c>
    </row>
    <row r="196" spans="1:2" x14ac:dyDescent="0.2">
      <c r="A196" t="s">
        <v>86</v>
      </c>
      <c r="B196" t="s">
        <v>385</v>
      </c>
    </row>
    <row r="197" spans="1:2" x14ac:dyDescent="0.2">
      <c r="A197" t="s">
        <v>87</v>
      </c>
    </row>
    <row r="198" spans="1:2" x14ac:dyDescent="0.2">
      <c r="A198" t="s">
        <v>88</v>
      </c>
      <c r="B198">
        <v>2016</v>
      </c>
    </row>
    <row r="199" spans="1:2" x14ac:dyDescent="0.2">
      <c r="A199" t="s">
        <v>124</v>
      </c>
      <c r="B199" t="s">
        <v>388</v>
      </c>
    </row>
    <row r="200" spans="1:2" x14ac:dyDescent="0.2">
      <c r="A200" t="s">
        <v>73</v>
      </c>
      <c r="B200" t="s">
        <v>845</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25000</v>
      </c>
    </row>
    <row r="205" spans="1:2" x14ac:dyDescent="0.2">
      <c r="A205" t="s">
        <v>126</v>
      </c>
      <c r="B205">
        <v>1</v>
      </c>
    </row>
    <row r="206" spans="1:2" x14ac:dyDescent="0.2">
      <c r="A206" t="s">
        <v>127</v>
      </c>
      <c r="B206">
        <v>1</v>
      </c>
    </row>
    <row r="207" spans="1:2" x14ac:dyDescent="0.2">
      <c r="A207" t="s">
        <v>128</v>
      </c>
      <c r="B207">
        <v>0</v>
      </c>
    </row>
    <row r="208" spans="1:2" x14ac:dyDescent="0.2">
      <c r="A208" t="s">
        <v>129</v>
      </c>
      <c r="B208">
        <v>1570</v>
      </c>
    </row>
    <row r="209" spans="1:8" x14ac:dyDescent="0.2">
      <c r="A209" t="s">
        <v>130</v>
      </c>
      <c r="B209" s="2">
        <v>92.097499999999997</v>
      </c>
    </row>
    <row r="210" spans="1:8" x14ac:dyDescent="0.2">
      <c r="A210" t="s">
        <v>131</v>
      </c>
      <c r="B210">
        <v>2.8</v>
      </c>
    </row>
    <row r="211" spans="1:8" x14ac:dyDescent="0.2">
      <c r="A211" t="s">
        <v>132</v>
      </c>
      <c r="B211" t="s">
        <v>85</v>
      </c>
    </row>
    <row r="212" spans="1:8" x14ac:dyDescent="0.2">
      <c r="A212" t="s">
        <v>133</v>
      </c>
      <c r="B212">
        <v>0</v>
      </c>
    </row>
    <row r="213" spans="1:8" x14ac:dyDescent="0.2">
      <c r="A213" t="s">
        <v>136</v>
      </c>
      <c r="B213" s="2">
        <v>62.125</v>
      </c>
    </row>
    <row r="214" spans="1:8" x14ac:dyDescent="0.2">
      <c r="A214" t="s">
        <v>137</v>
      </c>
      <c r="B214">
        <v>5.25</v>
      </c>
    </row>
    <row r="215" spans="1:8" x14ac:dyDescent="0.2">
      <c r="A215" t="s">
        <v>134</v>
      </c>
      <c r="B215" s="2">
        <v>171.83441010197717</v>
      </c>
    </row>
    <row r="216" spans="1:8" x14ac:dyDescent="0.2">
      <c r="A216" t="s">
        <v>135</v>
      </c>
      <c r="B216" t="s">
        <v>140</v>
      </c>
    </row>
    <row r="217" spans="1:8" x14ac:dyDescent="0.2">
      <c r="A217" t="s">
        <v>796</v>
      </c>
      <c r="B217" s="6">
        <v>-0.02</v>
      </c>
    </row>
    <row r="218" spans="1:8" x14ac:dyDescent="0.2">
      <c r="A218" t="s">
        <v>83</v>
      </c>
      <c r="B218" t="s">
        <v>846</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845</v>
      </c>
      <c r="B221">
        <v>1</v>
      </c>
      <c r="C221" t="s">
        <v>37</v>
      </c>
      <c r="D221" t="s">
        <v>164</v>
      </c>
      <c r="F221" t="s">
        <v>84</v>
      </c>
      <c r="G221" t="s">
        <v>85</v>
      </c>
      <c r="H221" t="s">
        <v>845</v>
      </c>
    </row>
    <row r="222" spans="1:8" x14ac:dyDescent="0.2">
      <c r="A222" t="s">
        <v>385</v>
      </c>
      <c r="B222" s="7">
        <v>4.0000000000000003E-5</v>
      </c>
      <c r="C222" t="s">
        <v>37</v>
      </c>
      <c r="D222" t="s">
        <v>76</v>
      </c>
      <c r="F222" t="s">
        <v>89</v>
      </c>
      <c r="H222" t="s">
        <v>385</v>
      </c>
    </row>
    <row r="223" spans="1:8" x14ac:dyDescent="0.2">
      <c r="A223" t="s">
        <v>107</v>
      </c>
      <c r="B223" s="7">
        <v>9.18793575E-5</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364</v>
      </c>
      <c r="B226" s="7">
        <v>3.0552669845837776E-2</v>
      </c>
      <c r="C226" t="s">
        <v>37</v>
      </c>
      <c r="D226" t="s">
        <v>77</v>
      </c>
      <c r="F226" t="s">
        <v>89</v>
      </c>
      <c r="G226" t="s">
        <v>27</v>
      </c>
      <c r="H226" t="s">
        <v>365</v>
      </c>
    </row>
    <row r="227" spans="1:8" x14ac:dyDescent="0.2">
      <c r="A227" t="s">
        <v>152</v>
      </c>
      <c r="B227" s="11">
        <v>9.5935383315930614E-2</v>
      </c>
      <c r="D227" t="s">
        <v>77</v>
      </c>
      <c r="E227" t="s">
        <v>548</v>
      </c>
      <c r="F227" t="s">
        <v>165</v>
      </c>
      <c r="G227" t="s">
        <v>66</v>
      </c>
    </row>
    <row r="228" spans="1:8" x14ac:dyDescent="0.2">
      <c r="A228" t="s">
        <v>554</v>
      </c>
      <c r="B228" s="11">
        <v>0</v>
      </c>
      <c r="D228" t="s">
        <v>77</v>
      </c>
      <c r="E228" t="s">
        <v>548</v>
      </c>
      <c r="F228" t="s">
        <v>165</v>
      </c>
      <c r="G228" t="s">
        <v>552</v>
      </c>
    </row>
    <row r="229" spans="1:8" x14ac:dyDescent="0.2">
      <c r="A229" t="s">
        <v>212</v>
      </c>
      <c r="B229" s="7">
        <v>4.8884271753340442E-7</v>
      </c>
      <c r="D229" t="s">
        <v>77</v>
      </c>
      <c r="E229" t="s">
        <v>548</v>
      </c>
      <c r="F229" t="s">
        <v>165</v>
      </c>
      <c r="G229" t="s">
        <v>67</v>
      </c>
    </row>
    <row r="230" spans="1:8" x14ac:dyDescent="0.2">
      <c r="A230" t="s">
        <v>55</v>
      </c>
      <c r="B230" s="7">
        <v>7.9136690390500312E-5</v>
      </c>
      <c r="D230" t="s">
        <v>77</v>
      </c>
      <c r="E230" t="s">
        <v>548</v>
      </c>
      <c r="F230" t="s">
        <v>165</v>
      </c>
      <c r="G230" t="s">
        <v>55</v>
      </c>
    </row>
    <row r="231" spans="1:8" x14ac:dyDescent="0.2">
      <c r="A231" t="s">
        <v>153</v>
      </c>
      <c r="B231" s="7">
        <v>3.588292254001202E-5</v>
      </c>
      <c r="D231" t="s">
        <v>77</v>
      </c>
      <c r="E231" t="s">
        <v>548</v>
      </c>
      <c r="F231" t="s">
        <v>165</v>
      </c>
      <c r="G231" t="s">
        <v>56</v>
      </c>
    </row>
    <row r="232" spans="1:8" x14ac:dyDescent="0.2">
      <c r="A232" t="s">
        <v>154</v>
      </c>
      <c r="B232" s="7">
        <v>3.7942543736010467E-3</v>
      </c>
      <c r="D232" t="s">
        <v>77</v>
      </c>
      <c r="E232" t="s">
        <v>548</v>
      </c>
      <c r="F232" t="s">
        <v>165</v>
      </c>
      <c r="G232" t="s">
        <v>57</v>
      </c>
    </row>
    <row r="233" spans="1:8" x14ac:dyDescent="0.2">
      <c r="A233" t="s">
        <v>213</v>
      </c>
      <c r="B233" s="7">
        <v>1.8205440152213105E-6</v>
      </c>
      <c r="D233" t="s">
        <v>77</v>
      </c>
      <c r="E233" t="s">
        <v>548</v>
      </c>
      <c r="F233" t="s">
        <v>165</v>
      </c>
      <c r="G233" t="s">
        <v>58</v>
      </c>
    </row>
    <row r="234" spans="1:8" x14ac:dyDescent="0.2">
      <c r="A234" t="s">
        <v>155</v>
      </c>
      <c r="B234" s="7">
        <v>1.8205440152213105E-6</v>
      </c>
      <c r="D234" t="s">
        <v>77</v>
      </c>
      <c r="E234" t="s">
        <v>548</v>
      </c>
      <c r="F234" t="s">
        <v>165</v>
      </c>
      <c r="G234" t="s">
        <v>59</v>
      </c>
    </row>
    <row r="235" spans="1:8" x14ac:dyDescent="0.2">
      <c r="A235" t="s">
        <v>156</v>
      </c>
      <c r="B235" s="7">
        <v>1.3652388621227673E-4</v>
      </c>
      <c r="D235" t="s">
        <v>77</v>
      </c>
      <c r="E235" t="s">
        <v>548</v>
      </c>
      <c r="F235" t="s">
        <v>165</v>
      </c>
      <c r="G235" t="s">
        <v>60</v>
      </c>
    </row>
    <row r="236" spans="1:8" x14ac:dyDescent="0.2">
      <c r="A236" t="s">
        <v>214</v>
      </c>
      <c r="B236" s="7">
        <v>1.0455384279415984E-5</v>
      </c>
      <c r="D236" t="s">
        <v>77</v>
      </c>
      <c r="E236" t="s">
        <v>548</v>
      </c>
      <c r="F236" t="s">
        <v>165</v>
      </c>
      <c r="G236" t="s">
        <v>62</v>
      </c>
    </row>
    <row r="237" spans="1:8" x14ac:dyDescent="0.2">
      <c r="A237" t="s">
        <v>209</v>
      </c>
      <c r="B237" s="7">
        <v>6.3817181341644107E-4</v>
      </c>
      <c r="D237" t="s">
        <v>77</v>
      </c>
      <c r="E237" t="s">
        <v>548</v>
      </c>
      <c r="F237" t="s">
        <v>165</v>
      </c>
      <c r="G237" t="s">
        <v>368</v>
      </c>
    </row>
    <row r="238" spans="1:8" x14ac:dyDescent="0.2">
      <c r="A238" t="s">
        <v>316</v>
      </c>
      <c r="B238" s="7">
        <v>4.499929453577469E-5</v>
      </c>
      <c r="D238" t="s">
        <v>77</v>
      </c>
      <c r="E238" t="s">
        <v>548</v>
      </c>
      <c r="F238" t="s">
        <v>165</v>
      </c>
      <c r="G238" t="s">
        <v>316</v>
      </c>
    </row>
    <row r="239" spans="1:8" x14ac:dyDescent="0.2">
      <c r="A239" t="s">
        <v>317</v>
      </c>
      <c r="B239" s="7">
        <v>9.169135250236222E-6</v>
      </c>
      <c r="D239" t="s">
        <v>77</v>
      </c>
      <c r="E239" t="s">
        <v>548</v>
      </c>
      <c r="F239" t="s">
        <v>165</v>
      </c>
      <c r="G239" t="s">
        <v>317</v>
      </c>
    </row>
    <row r="240" spans="1:8" x14ac:dyDescent="0.2">
      <c r="A240" t="s">
        <v>318</v>
      </c>
      <c r="B240" s="7">
        <v>7.3917336478827389E-5</v>
      </c>
      <c r="D240" t="s">
        <v>77</v>
      </c>
      <c r="E240" t="s">
        <v>548</v>
      </c>
      <c r="F240" t="s">
        <v>165</v>
      </c>
      <c r="G240" t="s">
        <v>318</v>
      </c>
    </row>
    <row r="241" spans="1:7" x14ac:dyDescent="0.2">
      <c r="A241" t="s">
        <v>319</v>
      </c>
      <c r="B241" s="7">
        <v>3.0328678135396732E-5</v>
      </c>
      <c r="D241" t="s">
        <v>77</v>
      </c>
      <c r="E241" t="s">
        <v>548</v>
      </c>
      <c r="F241" t="s">
        <v>165</v>
      </c>
      <c r="G241" t="s">
        <v>319</v>
      </c>
    </row>
    <row r="242" spans="1:7" x14ac:dyDescent="0.2">
      <c r="A242" t="s">
        <v>320</v>
      </c>
      <c r="B242" s="7">
        <v>2.2711242696738953E-5</v>
      </c>
      <c r="D242" t="s">
        <v>77</v>
      </c>
      <c r="E242" t="s">
        <v>548</v>
      </c>
      <c r="F242" t="s">
        <v>165</v>
      </c>
      <c r="G242" t="s">
        <v>320</v>
      </c>
    </row>
    <row r="243" spans="1:7" x14ac:dyDescent="0.2">
      <c r="A243" t="s">
        <v>321</v>
      </c>
      <c r="B243" s="7">
        <v>1.6081252592721991E-5</v>
      </c>
      <c r="D243" t="s">
        <v>77</v>
      </c>
      <c r="E243" t="s">
        <v>548</v>
      </c>
      <c r="F243" t="s">
        <v>165</v>
      </c>
      <c r="G243" t="s">
        <v>321</v>
      </c>
    </row>
    <row r="244" spans="1:7" x14ac:dyDescent="0.2">
      <c r="A244" t="s">
        <v>322</v>
      </c>
      <c r="B244" s="7">
        <v>1.0438707823345854E-5</v>
      </c>
      <c r="D244" t="s">
        <v>77</v>
      </c>
      <c r="E244" t="s">
        <v>548</v>
      </c>
      <c r="F244" t="s">
        <v>165</v>
      </c>
      <c r="G244" t="s">
        <v>322</v>
      </c>
    </row>
    <row r="245" spans="1:7" x14ac:dyDescent="0.2">
      <c r="A245" t="s">
        <v>323</v>
      </c>
      <c r="B245" s="7">
        <v>1.029764420411145E-4</v>
      </c>
      <c r="D245" t="s">
        <v>77</v>
      </c>
      <c r="E245" t="s">
        <v>548</v>
      </c>
      <c r="F245" t="s">
        <v>165</v>
      </c>
      <c r="G245" t="s">
        <v>323</v>
      </c>
    </row>
    <row r="246" spans="1:7" x14ac:dyDescent="0.2">
      <c r="A246" t="s">
        <v>324</v>
      </c>
      <c r="B246" s="7">
        <v>5.3886302547542099E-5</v>
      </c>
      <c r="D246" t="s">
        <v>77</v>
      </c>
      <c r="E246" t="s">
        <v>548</v>
      </c>
      <c r="F246" t="s">
        <v>165</v>
      </c>
      <c r="G246" t="s">
        <v>324</v>
      </c>
    </row>
    <row r="247" spans="1:7" x14ac:dyDescent="0.2">
      <c r="A247" t="s">
        <v>325</v>
      </c>
      <c r="B247" s="7">
        <v>1.5516998115784377E-6</v>
      </c>
      <c r="D247" t="s">
        <v>77</v>
      </c>
      <c r="E247" t="s">
        <v>548</v>
      </c>
      <c r="F247" t="s">
        <v>165</v>
      </c>
      <c r="G247" t="s">
        <v>325</v>
      </c>
    </row>
    <row r="248" spans="1:7" x14ac:dyDescent="0.2">
      <c r="A248" t="s">
        <v>326</v>
      </c>
      <c r="B248" s="7">
        <v>1.5488785391937494E-4</v>
      </c>
      <c r="D248" t="s">
        <v>77</v>
      </c>
      <c r="E248" t="s">
        <v>548</v>
      </c>
      <c r="F248" t="s">
        <v>165</v>
      </c>
      <c r="G248" t="s">
        <v>326</v>
      </c>
    </row>
    <row r="249" spans="1:7" x14ac:dyDescent="0.2">
      <c r="A249" t="s">
        <v>327</v>
      </c>
      <c r="B249" s="7">
        <v>7.6597545244281066E-5</v>
      </c>
      <c r="D249" t="s">
        <v>77</v>
      </c>
      <c r="E249" t="s">
        <v>548</v>
      </c>
      <c r="F249" t="s">
        <v>165</v>
      </c>
      <c r="G249" t="s">
        <v>327</v>
      </c>
    </row>
    <row r="250" spans="1:7" x14ac:dyDescent="0.2">
      <c r="A250" t="s">
        <v>328</v>
      </c>
      <c r="B250" s="7">
        <v>3.1880377946975169E-5</v>
      </c>
      <c r="D250" t="s">
        <v>77</v>
      </c>
      <c r="E250" t="s">
        <v>548</v>
      </c>
      <c r="F250" t="s">
        <v>165</v>
      </c>
      <c r="G250" t="s">
        <v>328</v>
      </c>
    </row>
    <row r="251" spans="1:7" x14ac:dyDescent="0.2">
      <c r="A251" t="s">
        <v>329</v>
      </c>
      <c r="B251" s="7">
        <v>2.3980815269848583E-5</v>
      </c>
      <c r="D251" t="s">
        <v>77</v>
      </c>
      <c r="E251" t="s">
        <v>548</v>
      </c>
      <c r="F251" t="s">
        <v>165</v>
      </c>
      <c r="G251" t="s">
        <v>329</v>
      </c>
    </row>
    <row r="252" spans="1:7" x14ac:dyDescent="0.2">
      <c r="A252" t="s">
        <v>330</v>
      </c>
      <c r="B252" s="7">
        <v>1.0579771442580255E-5</v>
      </c>
      <c r="D252" t="s">
        <v>77</v>
      </c>
      <c r="E252" t="s">
        <v>548</v>
      </c>
      <c r="F252" t="s">
        <v>165</v>
      </c>
      <c r="G252" t="s">
        <v>330</v>
      </c>
    </row>
    <row r="253" spans="1:7" x14ac:dyDescent="0.2">
      <c r="A253" t="s">
        <v>331</v>
      </c>
      <c r="B253" s="7">
        <v>3.1033996231568754E-6</v>
      </c>
      <c r="D253" t="s">
        <v>77</v>
      </c>
      <c r="E253" t="s">
        <v>548</v>
      </c>
      <c r="F253" t="s">
        <v>165</v>
      </c>
      <c r="G253" t="s">
        <v>331</v>
      </c>
    </row>
    <row r="254" spans="1:7" x14ac:dyDescent="0.2">
      <c r="A254" t="s">
        <v>332</v>
      </c>
      <c r="B254" s="7">
        <v>8.6048807732986105E-6</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2.680208765453665E-6</v>
      </c>
      <c r="D256" t="s">
        <v>77</v>
      </c>
      <c r="E256" t="s">
        <v>548</v>
      </c>
      <c r="F256" t="s">
        <v>165</v>
      </c>
      <c r="G256" t="s">
        <v>333</v>
      </c>
    </row>
    <row r="257" spans="1:8" x14ac:dyDescent="0.2">
      <c r="A257" t="s">
        <v>334</v>
      </c>
      <c r="B257" s="7">
        <v>1.4247425542674743E-5</v>
      </c>
      <c r="D257" t="s">
        <v>77</v>
      </c>
      <c r="E257" t="s">
        <v>548</v>
      </c>
      <c r="F257" t="s">
        <v>165</v>
      </c>
      <c r="G257" t="s">
        <v>334</v>
      </c>
    </row>
    <row r="258" spans="1:8" x14ac:dyDescent="0.2">
      <c r="A258" t="s">
        <v>343</v>
      </c>
      <c r="B258" s="7">
        <v>1.0657346351307668E-9</v>
      </c>
      <c r="D258" t="s">
        <v>77</v>
      </c>
      <c r="E258" t="s">
        <v>548</v>
      </c>
      <c r="F258" t="s">
        <v>165</v>
      </c>
      <c r="G258" t="s">
        <v>336</v>
      </c>
    </row>
    <row r="259" spans="1:8" x14ac:dyDescent="0.2">
      <c r="A259" t="s">
        <v>337</v>
      </c>
      <c r="B259" s="7">
        <v>9.1873675442307481E-12</v>
      </c>
      <c r="D259" t="s">
        <v>77</v>
      </c>
      <c r="E259" t="s">
        <v>548</v>
      </c>
      <c r="F259" t="s">
        <v>165</v>
      </c>
      <c r="G259" t="s">
        <v>337</v>
      </c>
    </row>
    <row r="260" spans="1:8" x14ac:dyDescent="0.2">
      <c r="A260" t="s">
        <v>338</v>
      </c>
      <c r="B260" s="7">
        <v>6.1249116961538321E-12</v>
      </c>
      <c r="D260" t="s">
        <v>77</v>
      </c>
      <c r="E260" t="s">
        <v>548</v>
      </c>
      <c r="F260" t="s">
        <v>165</v>
      </c>
      <c r="G260" t="s">
        <v>338</v>
      </c>
    </row>
    <row r="261" spans="1:8" x14ac:dyDescent="0.2">
      <c r="A261" t="s">
        <v>339</v>
      </c>
      <c r="B261" s="7">
        <v>6.6149046318461386E-8</v>
      </c>
      <c r="D261" t="s">
        <v>77</v>
      </c>
      <c r="E261" t="s">
        <v>548</v>
      </c>
      <c r="F261" t="s">
        <v>165</v>
      </c>
      <c r="G261" t="s">
        <v>339</v>
      </c>
    </row>
    <row r="262" spans="1:8" x14ac:dyDescent="0.2">
      <c r="A262" t="s">
        <v>297</v>
      </c>
      <c r="B262" s="7">
        <v>1.2862314561923045E-9</v>
      </c>
      <c r="D262" t="s">
        <v>77</v>
      </c>
      <c r="E262" t="s">
        <v>548</v>
      </c>
      <c r="F262" t="s">
        <v>165</v>
      </c>
      <c r="G262" t="s">
        <v>297</v>
      </c>
    </row>
    <row r="263" spans="1:8" x14ac:dyDescent="0.2">
      <c r="A263" t="s">
        <v>299</v>
      </c>
      <c r="B263" s="7">
        <v>3.9811926024999908E-10</v>
      </c>
      <c r="D263" t="s">
        <v>77</v>
      </c>
      <c r="E263" t="s">
        <v>548</v>
      </c>
      <c r="F263" t="s">
        <v>165</v>
      </c>
      <c r="G263" t="s">
        <v>299</v>
      </c>
    </row>
    <row r="264" spans="1:8" x14ac:dyDescent="0.2">
      <c r="A264" t="s">
        <v>298</v>
      </c>
      <c r="B264" s="7">
        <v>4.8999293569230657E-10</v>
      </c>
      <c r="D264" t="s">
        <v>77</v>
      </c>
      <c r="E264" t="s">
        <v>548</v>
      </c>
      <c r="F264" t="s">
        <v>165</v>
      </c>
      <c r="G264" t="s">
        <v>298</v>
      </c>
    </row>
    <row r="265" spans="1:8" x14ac:dyDescent="0.2">
      <c r="A265" t="s">
        <v>342</v>
      </c>
      <c r="B265" s="7">
        <v>9.7998587138461305E-13</v>
      </c>
      <c r="D265" t="s">
        <v>77</v>
      </c>
      <c r="E265" t="s">
        <v>548</v>
      </c>
      <c r="F265" t="s">
        <v>165</v>
      </c>
      <c r="G265" t="s">
        <v>342</v>
      </c>
    </row>
    <row r="266" spans="1:8" x14ac:dyDescent="0.2">
      <c r="A266" t="s">
        <v>340</v>
      </c>
      <c r="B266" s="7">
        <v>2.6643365878269169E-10</v>
      </c>
      <c r="D266" t="s">
        <v>77</v>
      </c>
      <c r="E266" t="s">
        <v>548</v>
      </c>
      <c r="F266" t="s">
        <v>165</v>
      </c>
      <c r="G266" t="s">
        <v>340</v>
      </c>
    </row>
    <row r="267" spans="1:8" x14ac:dyDescent="0.2">
      <c r="A267" t="s">
        <v>341</v>
      </c>
      <c r="B267" s="7">
        <v>3.3074523159230703E-10</v>
      </c>
      <c r="D267" t="s">
        <v>77</v>
      </c>
      <c r="E267" t="s">
        <v>548</v>
      </c>
      <c r="F267" t="s">
        <v>165</v>
      </c>
      <c r="G267" t="s">
        <v>341</v>
      </c>
    </row>
    <row r="268" spans="1:8" x14ac:dyDescent="0.2">
      <c r="A268" t="s">
        <v>157</v>
      </c>
      <c r="B268" s="7">
        <v>-6.43813816279788E-6</v>
      </c>
      <c r="C268" t="s">
        <v>92</v>
      </c>
      <c r="D268" t="s">
        <v>77</v>
      </c>
      <c r="F268" t="s">
        <v>89</v>
      </c>
      <c r="G268" t="s">
        <v>29</v>
      </c>
      <c r="H268" t="s">
        <v>159</v>
      </c>
    </row>
    <row r="269" spans="1:8" x14ac:dyDescent="0.2">
      <c r="A269" t="s">
        <v>158</v>
      </c>
      <c r="B269" s="7">
        <v>-5.2139692048332967E-6</v>
      </c>
      <c r="C269" t="s">
        <v>92</v>
      </c>
      <c r="D269" t="s">
        <v>77</v>
      </c>
      <c r="F269" t="s">
        <v>89</v>
      </c>
      <c r="G269" t="s">
        <v>30</v>
      </c>
      <c r="H269" t="s">
        <v>160</v>
      </c>
    </row>
    <row r="270" spans="1:8" x14ac:dyDescent="0.2">
      <c r="A270" t="s">
        <v>166</v>
      </c>
      <c r="B270" s="7">
        <v>-3.6472541097287021E-6</v>
      </c>
      <c r="C270" t="s">
        <v>92</v>
      </c>
      <c r="D270" t="s">
        <v>77</v>
      </c>
      <c r="F270" t="s">
        <v>89</v>
      </c>
      <c r="G270" t="s">
        <v>31</v>
      </c>
      <c r="H270" t="s">
        <v>161</v>
      </c>
    </row>
    <row r="272" spans="1:8" ht="16" x14ac:dyDescent="0.2">
      <c r="A272" s="10" t="s">
        <v>71</v>
      </c>
      <c r="B272" s="8" t="s">
        <v>847</v>
      </c>
    </row>
    <row r="273" spans="1:2" x14ac:dyDescent="0.2">
      <c r="A273" t="s">
        <v>72</v>
      </c>
      <c r="B273" t="s">
        <v>37</v>
      </c>
    </row>
    <row r="274" spans="1:2" x14ac:dyDescent="0.2">
      <c r="A274" t="s">
        <v>86</v>
      </c>
      <c r="B274" t="s">
        <v>386</v>
      </c>
    </row>
    <row r="275" spans="1:2" x14ac:dyDescent="0.2">
      <c r="A275" t="s">
        <v>87</v>
      </c>
    </row>
    <row r="276" spans="1:2" x14ac:dyDescent="0.2">
      <c r="A276" t="s">
        <v>88</v>
      </c>
      <c r="B276">
        <v>2020</v>
      </c>
    </row>
    <row r="277" spans="1:2" x14ac:dyDescent="0.2">
      <c r="A277" t="s">
        <v>124</v>
      </c>
      <c r="B277" t="s">
        <v>389</v>
      </c>
    </row>
    <row r="278" spans="1:2" x14ac:dyDescent="0.2">
      <c r="A278" t="s">
        <v>73</v>
      </c>
      <c r="B278" t="s">
        <v>847</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25000</v>
      </c>
    </row>
    <row r="283" spans="1:2" x14ac:dyDescent="0.2">
      <c r="A283" t="s">
        <v>126</v>
      </c>
      <c r="B283">
        <v>1</v>
      </c>
    </row>
    <row r="284" spans="1:2" x14ac:dyDescent="0.2">
      <c r="A284" t="s">
        <v>127</v>
      </c>
      <c r="B284">
        <v>1</v>
      </c>
    </row>
    <row r="285" spans="1:2" x14ac:dyDescent="0.2">
      <c r="A285" t="s">
        <v>128</v>
      </c>
      <c r="B285">
        <v>0</v>
      </c>
    </row>
    <row r="286" spans="1:2" x14ac:dyDescent="0.2">
      <c r="A286" t="s">
        <v>129</v>
      </c>
      <c r="B286">
        <v>1570</v>
      </c>
    </row>
    <row r="287" spans="1:2" x14ac:dyDescent="0.2">
      <c r="A287" t="s">
        <v>130</v>
      </c>
      <c r="B287" s="2">
        <v>91.037499999999994</v>
      </c>
    </row>
    <row r="288" spans="1:2" x14ac:dyDescent="0.2">
      <c r="A288" t="s">
        <v>131</v>
      </c>
      <c r="B288">
        <v>2.8</v>
      </c>
    </row>
    <row r="289" spans="1:8" x14ac:dyDescent="0.2">
      <c r="A289" t="s">
        <v>132</v>
      </c>
      <c r="B289" t="s">
        <v>85</v>
      </c>
    </row>
    <row r="290" spans="1:8" x14ac:dyDescent="0.2">
      <c r="A290" t="s">
        <v>133</v>
      </c>
      <c r="B290">
        <v>0</v>
      </c>
    </row>
    <row r="291" spans="1:8" x14ac:dyDescent="0.2">
      <c r="A291" t="s">
        <v>136</v>
      </c>
      <c r="B291" s="2">
        <v>62.125</v>
      </c>
    </row>
    <row r="292" spans="1:8" x14ac:dyDescent="0.2">
      <c r="A292" t="s">
        <v>137</v>
      </c>
      <c r="B292">
        <v>5.25</v>
      </c>
    </row>
    <row r="293" spans="1:8" x14ac:dyDescent="0.2">
      <c r="A293" t="s">
        <v>134</v>
      </c>
      <c r="B293" s="2">
        <v>173.57011121411836</v>
      </c>
    </row>
    <row r="294" spans="1:8" x14ac:dyDescent="0.2">
      <c r="A294" t="s">
        <v>135</v>
      </c>
      <c r="B294" t="s">
        <v>141</v>
      </c>
    </row>
    <row r="295" spans="1:8" x14ac:dyDescent="0.2">
      <c r="A295" t="s">
        <v>796</v>
      </c>
      <c r="B295" s="6">
        <v>0</v>
      </c>
    </row>
    <row r="296" spans="1:8" x14ac:dyDescent="0.2">
      <c r="A296" t="s">
        <v>83</v>
      </c>
      <c r="B296" t="s">
        <v>848</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847</v>
      </c>
      <c r="B299">
        <v>1</v>
      </c>
      <c r="C299" t="s">
        <v>37</v>
      </c>
      <c r="D299" t="s">
        <v>164</v>
      </c>
      <c r="F299" t="s">
        <v>84</v>
      </c>
      <c r="G299" t="s">
        <v>85</v>
      </c>
      <c r="H299" t="s">
        <v>847</v>
      </c>
    </row>
    <row r="300" spans="1:8" x14ac:dyDescent="0.2">
      <c r="A300" t="s">
        <v>386</v>
      </c>
      <c r="B300" s="7">
        <v>4.0000000000000003E-5</v>
      </c>
      <c r="C300" t="s">
        <v>37</v>
      </c>
      <c r="D300" t="s">
        <v>76</v>
      </c>
      <c r="F300" t="s">
        <v>89</v>
      </c>
      <c r="H300" t="s">
        <v>386</v>
      </c>
    </row>
    <row r="301" spans="1:8" x14ac:dyDescent="0.2">
      <c r="A301" t="s">
        <v>107</v>
      </c>
      <c r="B301" s="7">
        <v>9.1310137499999998E-5</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364</v>
      </c>
      <c r="B304" s="7">
        <v>3.0247143147379398E-2</v>
      </c>
      <c r="C304" t="s">
        <v>37</v>
      </c>
      <c r="D304" t="s">
        <v>77</v>
      </c>
      <c r="F304" t="s">
        <v>89</v>
      </c>
      <c r="G304" t="s">
        <v>27</v>
      </c>
      <c r="H304" t="s">
        <v>365</v>
      </c>
    </row>
    <row r="305" spans="1:7" x14ac:dyDescent="0.2">
      <c r="A305" t="s">
        <v>152</v>
      </c>
      <c r="B305" s="11">
        <v>9.4976029482771313E-2</v>
      </c>
      <c r="D305" t="s">
        <v>77</v>
      </c>
      <c r="E305" t="s">
        <v>548</v>
      </c>
      <c r="F305" t="s">
        <v>165</v>
      </c>
      <c r="G305" t="s">
        <v>66</v>
      </c>
    </row>
    <row r="306" spans="1:7" x14ac:dyDescent="0.2">
      <c r="A306" t="s">
        <v>554</v>
      </c>
      <c r="B306" s="11">
        <v>0</v>
      </c>
      <c r="D306" t="s">
        <v>77</v>
      </c>
      <c r="E306" t="s">
        <v>548</v>
      </c>
      <c r="F306" t="s">
        <v>165</v>
      </c>
      <c r="G306" t="s">
        <v>552</v>
      </c>
    </row>
    <row r="307" spans="1:7" x14ac:dyDescent="0.2">
      <c r="A307" t="s">
        <v>212</v>
      </c>
      <c r="B307" s="7">
        <v>4.839542903580703E-7</v>
      </c>
      <c r="D307" t="s">
        <v>77</v>
      </c>
      <c r="E307" t="s">
        <v>548</v>
      </c>
      <c r="F307" t="s">
        <v>165</v>
      </c>
      <c r="G307" t="s">
        <v>67</v>
      </c>
    </row>
    <row r="308" spans="1:7" x14ac:dyDescent="0.2">
      <c r="A308" t="s">
        <v>55</v>
      </c>
      <c r="B308" s="7">
        <v>7.8345323486595295E-5</v>
      </c>
      <c r="D308" t="s">
        <v>77</v>
      </c>
      <c r="E308" t="s">
        <v>548</v>
      </c>
      <c r="F308" t="s">
        <v>165</v>
      </c>
      <c r="G308" t="s">
        <v>55</v>
      </c>
    </row>
    <row r="309" spans="1:7" x14ac:dyDescent="0.2">
      <c r="A309" t="s">
        <v>153</v>
      </c>
      <c r="B309" s="7">
        <v>3.5524093314611898E-5</v>
      </c>
      <c r="D309" t="s">
        <v>77</v>
      </c>
      <c r="E309" t="s">
        <v>548</v>
      </c>
      <c r="F309" t="s">
        <v>165</v>
      </c>
      <c r="G309" t="s">
        <v>56</v>
      </c>
    </row>
    <row r="310" spans="1:7" x14ac:dyDescent="0.2">
      <c r="A310" t="s">
        <v>154</v>
      </c>
      <c r="B310" s="7">
        <v>3.7563118298650361E-3</v>
      </c>
      <c r="D310" t="s">
        <v>77</v>
      </c>
      <c r="E310" t="s">
        <v>548</v>
      </c>
      <c r="F310" t="s">
        <v>165</v>
      </c>
      <c r="G310" t="s">
        <v>57</v>
      </c>
    </row>
    <row r="311" spans="1:7" x14ac:dyDescent="0.2">
      <c r="A311" t="s">
        <v>213</v>
      </c>
      <c r="B311" s="7">
        <v>1.8023385750690973E-6</v>
      </c>
      <c r="D311" t="s">
        <v>77</v>
      </c>
      <c r="E311" t="s">
        <v>548</v>
      </c>
      <c r="F311" t="s">
        <v>165</v>
      </c>
      <c r="G311" t="s">
        <v>58</v>
      </c>
    </row>
    <row r="312" spans="1:7" x14ac:dyDescent="0.2">
      <c r="A312" t="s">
        <v>155</v>
      </c>
      <c r="B312" s="7">
        <v>1.8023385750690973E-6</v>
      </c>
      <c r="D312" t="s">
        <v>77</v>
      </c>
      <c r="E312" t="s">
        <v>548</v>
      </c>
      <c r="F312" t="s">
        <v>165</v>
      </c>
      <c r="G312" t="s">
        <v>59</v>
      </c>
    </row>
    <row r="313" spans="1:7" x14ac:dyDescent="0.2">
      <c r="A313" t="s">
        <v>156</v>
      </c>
      <c r="B313" s="7">
        <v>1.3515864735015395E-4</v>
      </c>
      <c r="D313" t="s">
        <v>77</v>
      </c>
      <c r="E313" t="s">
        <v>548</v>
      </c>
      <c r="F313" t="s">
        <v>165</v>
      </c>
      <c r="G313" t="s">
        <v>60</v>
      </c>
    </row>
    <row r="314" spans="1:7" x14ac:dyDescent="0.2">
      <c r="A314" t="s">
        <v>214</v>
      </c>
      <c r="B314" s="7">
        <v>1.0350830436621825E-5</v>
      </c>
      <c r="D314" t="s">
        <v>77</v>
      </c>
      <c r="E314" t="s">
        <v>548</v>
      </c>
      <c r="F314" t="s">
        <v>165</v>
      </c>
      <c r="G314" t="s">
        <v>62</v>
      </c>
    </row>
    <row r="315" spans="1:7" x14ac:dyDescent="0.2">
      <c r="A315" t="s">
        <v>209</v>
      </c>
      <c r="B315" s="7">
        <v>6.3179009528227666E-4</v>
      </c>
      <c r="D315" t="s">
        <v>77</v>
      </c>
      <c r="E315" t="s">
        <v>548</v>
      </c>
      <c r="F315" t="s">
        <v>165</v>
      </c>
      <c r="G315" t="s">
        <v>368</v>
      </c>
    </row>
    <row r="316" spans="1:7" x14ac:dyDescent="0.2">
      <c r="A316" t="s">
        <v>316</v>
      </c>
      <c r="B316" s="7">
        <v>4.4549301590416936E-5</v>
      </c>
      <c r="D316" t="s">
        <v>77</v>
      </c>
      <c r="E316" t="s">
        <v>548</v>
      </c>
      <c r="F316" t="s">
        <v>165</v>
      </c>
      <c r="G316" t="s">
        <v>316</v>
      </c>
    </row>
    <row r="317" spans="1:7" x14ac:dyDescent="0.2">
      <c r="A317" t="s">
        <v>317</v>
      </c>
      <c r="B317" s="7">
        <v>9.0774438977338592E-6</v>
      </c>
      <c r="D317" t="s">
        <v>77</v>
      </c>
      <c r="E317" t="s">
        <v>548</v>
      </c>
      <c r="F317" t="s">
        <v>165</v>
      </c>
      <c r="G317" t="s">
        <v>317</v>
      </c>
    </row>
    <row r="318" spans="1:7" x14ac:dyDescent="0.2">
      <c r="A318" t="s">
        <v>318</v>
      </c>
      <c r="B318" s="7">
        <v>7.3178163114039118E-5</v>
      </c>
      <c r="D318" t="s">
        <v>77</v>
      </c>
      <c r="E318" t="s">
        <v>548</v>
      </c>
      <c r="F318" t="s">
        <v>165</v>
      </c>
      <c r="G318" t="s">
        <v>318</v>
      </c>
    </row>
    <row r="319" spans="1:7" x14ac:dyDescent="0.2">
      <c r="A319" t="s">
        <v>319</v>
      </c>
      <c r="B319" s="7">
        <v>3.0025391354042764E-5</v>
      </c>
      <c r="D319" t="s">
        <v>77</v>
      </c>
      <c r="E319" t="s">
        <v>548</v>
      </c>
      <c r="F319" t="s">
        <v>165</v>
      </c>
      <c r="G319" t="s">
        <v>319</v>
      </c>
    </row>
    <row r="320" spans="1:7" x14ac:dyDescent="0.2">
      <c r="A320" t="s">
        <v>320</v>
      </c>
      <c r="B320" s="7">
        <v>2.248413026977156E-5</v>
      </c>
      <c r="D320" t="s">
        <v>77</v>
      </c>
      <c r="E320" t="s">
        <v>548</v>
      </c>
      <c r="F320" t="s">
        <v>165</v>
      </c>
      <c r="G320" t="s">
        <v>320</v>
      </c>
    </row>
    <row r="321" spans="1:7" x14ac:dyDescent="0.2">
      <c r="A321" t="s">
        <v>321</v>
      </c>
      <c r="B321" s="7">
        <v>1.5920440066794769E-5</v>
      </c>
      <c r="D321" t="s">
        <v>77</v>
      </c>
      <c r="E321" t="s">
        <v>548</v>
      </c>
      <c r="F321" t="s">
        <v>165</v>
      </c>
      <c r="G321" t="s">
        <v>321</v>
      </c>
    </row>
    <row r="322" spans="1:7" x14ac:dyDescent="0.2">
      <c r="A322" t="s">
        <v>322</v>
      </c>
      <c r="B322" s="7">
        <v>1.0334320745112393E-5</v>
      </c>
      <c r="D322" t="s">
        <v>77</v>
      </c>
      <c r="E322" t="s">
        <v>548</v>
      </c>
      <c r="F322" t="s">
        <v>165</v>
      </c>
      <c r="G322" t="s">
        <v>322</v>
      </c>
    </row>
    <row r="323" spans="1:7" x14ac:dyDescent="0.2">
      <c r="A323" t="s">
        <v>323</v>
      </c>
      <c r="B323" s="7">
        <v>1.0194667762070334E-4</v>
      </c>
      <c r="D323" t="s">
        <v>77</v>
      </c>
      <c r="E323" t="s">
        <v>548</v>
      </c>
      <c r="F323" t="s">
        <v>165</v>
      </c>
      <c r="G323" t="s">
        <v>323</v>
      </c>
    </row>
    <row r="324" spans="1:7" x14ac:dyDescent="0.2">
      <c r="A324" t="s">
        <v>324</v>
      </c>
      <c r="B324" s="7">
        <v>5.3347439522066674E-5</v>
      </c>
      <c r="D324" t="s">
        <v>77</v>
      </c>
      <c r="E324" t="s">
        <v>548</v>
      </c>
      <c r="F324" t="s">
        <v>165</v>
      </c>
      <c r="G324" t="s">
        <v>324</v>
      </c>
    </row>
    <row r="325" spans="1:7" x14ac:dyDescent="0.2">
      <c r="A325" t="s">
        <v>325</v>
      </c>
      <c r="B325" s="7">
        <v>1.5361828134626532E-6</v>
      </c>
      <c r="D325" t="s">
        <v>77</v>
      </c>
      <c r="E325" t="s">
        <v>548</v>
      </c>
      <c r="F325" t="s">
        <v>165</v>
      </c>
      <c r="G325" t="s">
        <v>325</v>
      </c>
    </row>
    <row r="326" spans="1:7" x14ac:dyDescent="0.2">
      <c r="A326" t="s">
        <v>326</v>
      </c>
      <c r="B326" s="7">
        <v>1.5333897538018121E-4</v>
      </c>
      <c r="D326" t="s">
        <v>77</v>
      </c>
      <c r="E326" t="s">
        <v>548</v>
      </c>
      <c r="F326" t="s">
        <v>165</v>
      </c>
      <c r="G326" t="s">
        <v>326</v>
      </c>
    </row>
    <row r="327" spans="1:7" x14ac:dyDescent="0.2">
      <c r="A327" t="s">
        <v>327</v>
      </c>
      <c r="B327" s="7">
        <v>7.583156979183825E-5</v>
      </c>
      <c r="D327" t="s">
        <v>77</v>
      </c>
      <c r="E327" t="s">
        <v>548</v>
      </c>
      <c r="F327" t="s">
        <v>165</v>
      </c>
      <c r="G327" t="s">
        <v>327</v>
      </c>
    </row>
    <row r="328" spans="1:7" x14ac:dyDescent="0.2">
      <c r="A328" t="s">
        <v>328</v>
      </c>
      <c r="B328" s="7">
        <v>3.1561574167505416E-5</v>
      </c>
      <c r="D328" t="s">
        <v>77</v>
      </c>
      <c r="E328" t="s">
        <v>548</v>
      </c>
      <c r="F328" t="s">
        <v>165</v>
      </c>
      <c r="G328" t="s">
        <v>328</v>
      </c>
    </row>
    <row r="329" spans="1:7" x14ac:dyDescent="0.2">
      <c r="A329" t="s">
        <v>329</v>
      </c>
      <c r="B329" s="7">
        <v>2.3741007117150096E-5</v>
      </c>
      <c r="D329" t="s">
        <v>77</v>
      </c>
      <c r="E329" t="s">
        <v>548</v>
      </c>
      <c r="F329" t="s">
        <v>165</v>
      </c>
      <c r="G329" t="s">
        <v>329</v>
      </c>
    </row>
    <row r="330" spans="1:7" x14ac:dyDescent="0.2">
      <c r="A330" t="s">
        <v>330</v>
      </c>
      <c r="B330" s="7">
        <v>1.0473973728154453E-5</v>
      </c>
      <c r="D330" t="s">
        <v>77</v>
      </c>
      <c r="E330" t="s">
        <v>548</v>
      </c>
      <c r="F330" t="s">
        <v>165</v>
      </c>
      <c r="G330" t="s">
        <v>330</v>
      </c>
    </row>
    <row r="331" spans="1:7" x14ac:dyDescent="0.2">
      <c r="A331" t="s">
        <v>331</v>
      </c>
      <c r="B331" s="7">
        <v>3.0723656269253065E-6</v>
      </c>
      <c r="D331" t="s">
        <v>77</v>
      </c>
      <c r="E331" t="s">
        <v>548</v>
      </c>
      <c r="F331" t="s">
        <v>165</v>
      </c>
      <c r="G331" t="s">
        <v>331</v>
      </c>
    </row>
    <row r="332" spans="1:7" x14ac:dyDescent="0.2">
      <c r="A332" t="s">
        <v>332</v>
      </c>
      <c r="B332" s="7">
        <v>8.5188319655656235E-6</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2.653406677799128E-6</v>
      </c>
      <c r="D334" t="s">
        <v>77</v>
      </c>
      <c r="E334" t="s">
        <v>548</v>
      </c>
      <c r="F334" t="s">
        <v>165</v>
      </c>
      <c r="G334" t="s">
        <v>333</v>
      </c>
    </row>
    <row r="335" spans="1:7" x14ac:dyDescent="0.2">
      <c r="A335" t="s">
        <v>334</v>
      </c>
      <c r="B335" s="7">
        <v>1.4104951287247996E-5</v>
      </c>
      <c r="D335" t="s">
        <v>77</v>
      </c>
      <c r="E335" t="s">
        <v>548</v>
      </c>
      <c r="F335" t="s">
        <v>165</v>
      </c>
      <c r="G335" t="s">
        <v>334</v>
      </c>
    </row>
    <row r="336" spans="1:7" x14ac:dyDescent="0.2">
      <c r="A336" t="s">
        <v>343</v>
      </c>
      <c r="B336" s="7">
        <v>1.0550772887794592E-9</v>
      </c>
      <c r="D336" t="s">
        <v>77</v>
      </c>
      <c r="E336" t="s">
        <v>548</v>
      </c>
      <c r="F336" t="s">
        <v>165</v>
      </c>
      <c r="G336" t="s">
        <v>336</v>
      </c>
    </row>
    <row r="337" spans="1:8" x14ac:dyDescent="0.2">
      <c r="A337" t="s">
        <v>337</v>
      </c>
      <c r="B337" s="7">
        <v>9.0954938687884409E-12</v>
      </c>
      <c r="D337" t="s">
        <v>77</v>
      </c>
      <c r="E337" t="s">
        <v>548</v>
      </c>
      <c r="F337" t="s">
        <v>165</v>
      </c>
      <c r="G337" t="s">
        <v>337</v>
      </c>
    </row>
    <row r="338" spans="1:8" x14ac:dyDescent="0.2">
      <c r="A338" t="s">
        <v>338</v>
      </c>
      <c r="B338" s="7">
        <v>6.0636625791922934E-12</v>
      </c>
      <c r="D338" t="s">
        <v>77</v>
      </c>
      <c r="E338" t="s">
        <v>548</v>
      </c>
      <c r="F338" t="s">
        <v>165</v>
      </c>
      <c r="G338" t="s">
        <v>338</v>
      </c>
    </row>
    <row r="339" spans="1:8" x14ac:dyDescent="0.2">
      <c r="A339" t="s">
        <v>339</v>
      </c>
      <c r="B339" s="7">
        <v>6.5487555855276772E-8</v>
      </c>
      <c r="D339" t="s">
        <v>77</v>
      </c>
      <c r="E339" t="s">
        <v>548</v>
      </c>
      <c r="F339" t="s">
        <v>165</v>
      </c>
      <c r="G339" t="s">
        <v>339</v>
      </c>
    </row>
    <row r="340" spans="1:8" x14ac:dyDescent="0.2">
      <c r="A340" t="s">
        <v>297</v>
      </c>
      <c r="B340" s="7">
        <v>1.2733691416303815E-9</v>
      </c>
      <c r="D340" t="s">
        <v>77</v>
      </c>
      <c r="E340" t="s">
        <v>548</v>
      </c>
      <c r="F340" t="s">
        <v>165</v>
      </c>
      <c r="G340" t="s">
        <v>297</v>
      </c>
    </row>
    <row r="341" spans="1:8" x14ac:dyDescent="0.2">
      <c r="A341" t="s">
        <v>299</v>
      </c>
      <c r="B341" s="7">
        <v>3.9413806764749909E-10</v>
      </c>
      <c r="D341" t="s">
        <v>77</v>
      </c>
      <c r="E341" t="s">
        <v>548</v>
      </c>
      <c r="F341" t="s">
        <v>165</v>
      </c>
      <c r="G341" t="s">
        <v>299</v>
      </c>
    </row>
    <row r="342" spans="1:8" x14ac:dyDescent="0.2">
      <c r="A342" t="s">
        <v>298</v>
      </c>
      <c r="B342" s="7">
        <v>4.850930063353835E-10</v>
      </c>
      <c r="D342" t="s">
        <v>77</v>
      </c>
      <c r="E342" t="s">
        <v>548</v>
      </c>
      <c r="F342" t="s">
        <v>165</v>
      </c>
      <c r="G342" t="s">
        <v>298</v>
      </c>
    </row>
    <row r="343" spans="1:8" x14ac:dyDescent="0.2">
      <c r="A343" t="s">
        <v>342</v>
      </c>
      <c r="B343" s="7">
        <v>9.701860126707668E-13</v>
      </c>
      <c r="D343" t="s">
        <v>77</v>
      </c>
      <c r="E343" t="s">
        <v>548</v>
      </c>
      <c r="F343" t="s">
        <v>165</v>
      </c>
      <c r="G343" t="s">
        <v>342</v>
      </c>
    </row>
    <row r="344" spans="1:8" x14ac:dyDescent="0.2">
      <c r="A344" t="s">
        <v>340</v>
      </c>
      <c r="B344" s="7">
        <v>2.637693221948648E-10</v>
      </c>
      <c r="D344" t="s">
        <v>77</v>
      </c>
      <c r="E344" t="s">
        <v>548</v>
      </c>
      <c r="F344" t="s">
        <v>165</v>
      </c>
      <c r="G344" t="s">
        <v>340</v>
      </c>
    </row>
    <row r="345" spans="1:8" x14ac:dyDescent="0.2">
      <c r="A345" t="s">
        <v>341</v>
      </c>
      <c r="B345" s="7">
        <v>3.2743777927638394E-10</v>
      </c>
      <c r="D345" t="s">
        <v>77</v>
      </c>
      <c r="E345" t="s">
        <v>548</v>
      </c>
      <c r="F345" t="s">
        <v>165</v>
      </c>
      <c r="G345" t="s">
        <v>341</v>
      </c>
    </row>
    <row r="346" spans="1:8" x14ac:dyDescent="0.2">
      <c r="A346" t="s">
        <v>157</v>
      </c>
      <c r="B346" s="7">
        <v>-6.4065806791504937E-6</v>
      </c>
      <c r="C346" t="s">
        <v>92</v>
      </c>
      <c r="D346" t="s">
        <v>77</v>
      </c>
      <c r="F346" t="s">
        <v>89</v>
      </c>
      <c r="G346" t="s">
        <v>29</v>
      </c>
      <c r="H346" t="s">
        <v>159</v>
      </c>
    </row>
    <row r="347" spans="1:8" x14ac:dyDescent="0.2">
      <c r="A347" t="s">
        <v>158</v>
      </c>
      <c r="B347" s="7">
        <v>-5.1956600387737995E-6</v>
      </c>
      <c r="C347" t="s">
        <v>92</v>
      </c>
      <c r="D347" t="s">
        <v>77</v>
      </c>
      <c r="F347" t="s">
        <v>89</v>
      </c>
      <c r="G347" t="s">
        <v>30</v>
      </c>
      <c r="H347" t="s">
        <v>160</v>
      </c>
    </row>
    <row r="348" spans="1:8" x14ac:dyDescent="0.2">
      <c r="A348" t="s">
        <v>166</v>
      </c>
      <c r="B348" s="7">
        <v>-3.632248632002054E-6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419"/>
  <sheetViews>
    <sheetView topLeftCell="A272" workbookViewId="0">
      <selection activeCell="G297" sqref="G29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345</v>
      </c>
    </row>
    <row r="2" spans="1:2" x14ac:dyDescent="0.2">
      <c r="A2" t="s">
        <v>72</v>
      </c>
      <c r="B2" t="s">
        <v>37</v>
      </c>
    </row>
    <row r="3" spans="1:2" x14ac:dyDescent="0.2">
      <c r="A3" t="s">
        <v>86</v>
      </c>
      <c r="B3" t="s">
        <v>345</v>
      </c>
    </row>
    <row r="4" spans="1:2" x14ac:dyDescent="0.2">
      <c r="A4" t="s">
        <v>87</v>
      </c>
    </row>
    <row r="5" spans="1:2" x14ac:dyDescent="0.2">
      <c r="A5" t="s">
        <v>88</v>
      </c>
      <c r="B5">
        <v>2006</v>
      </c>
    </row>
    <row r="6" spans="1:2" x14ac:dyDescent="0.2">
      <c r="A6" t="s">
        <v>124</v>
      </c>
      <c r="B6" t="s">
        <v>348</v>
      </c>
    </row>
    <row r="7" spans="1:2" x14ac:dyDescent="0.2">
      <c r="A7" t="s">
        <v>73</v>
      </c>
      <c r="B7" t="s">
        <v>345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1.2</v>
      </c>
    </row>
    <row r="14" spans="1:2" x14ac:dyDescent="0.2">
      <c r="A14" t="s">
        <v>128</v>
      </c>
      <c r="B14">
        <v>0</v>
      </c>
    </row>
    <row r="15" spans="1:2" x14ac:dyDescent="0.2">
      <c r="A15" t="s">
        <v>129</v>
      </c>
      <c r="B15">
        <v>1870</v>
      </c>
    </row>
    <row r="16" spans="1:2" x14ac:dyDescent="0.2">
      <c r="A16" t="s">
        <v>130</v>
      </c>
      <c r="B16" s="2">
        <v>133.26249999999999</v>
      </c>
    </row>
    <row r="17" spans="1:8" x14ac:dyDescent="0.2">
      <c r="A17" t="s">
        <v>131</v>
      </c>
      <c r="B17">
        <v>8.8000000000000007</v>
      </c>
    </row>
    <row r="18" spans="1:8" x14ac:dyDescent="0.2">
      <c r="A18" t="s">
        <v>132</v>
      </c>
      <c r="B18" t="s">
        <v>85</v>
      </c>
    </row>
    <row r="19" spans="1:8" x14ac:dyDescent="0.2">
      <c r="A19" t="s">
        <v>133</v>
      </c>
      <c r="B19">
        <v>0</v>
      </c>
    </row>
    <row r="20" spans="1:8" x14ac:dyDescent="0.2">
      <c r="A20" t="s">
        <v>136</v>
      </c>
      <c r="B20" s="2">
        <v>79.875</v>
      </c>
    </row>
    <row r="21" spans="1:8" x14ac:dyDescent="0.2">
      <c r="A21" t="s">
        <v>137</v>
      </c>
      <c r="B21">
        <v>6.75</v>
      </c>
    </row>
    <row r="22" spans="1:8" x14ac:dyDescent="0.2">
      <c r="A22" t="s">
        <v>134</v>
      </c>
      <c r="B22" s="2">
        <v>271.7451869178301</v>
      </c>
    </row>
    <row r="23" spans="1:8" x14ac:dyDescent="0.2">
      <c r="A23" t="s">
        <v>135</v>
      </c>
      <c r="B23" t="s">
        <v>141</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831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345</v>
      </c>
      <c r="B31">
        <v>1</v>
      </c>
      <c r="C31" t="s">
        <v>37</v>
      </c>
      <c r="D31" t="s">
        <v>76</v>
      </c>
      <c r="F31" t="s">
        <v>84</v>
      </c>
      <c r="G31" t="s">
        <v>85</v>
      </c>
      <c r="H31" t="s">
        <v>345</v>
      </c>
    </row>
    <row r="32" spans="1:8" x14ac:dyDescent="0.2">
      <c r="A32" t="s">
        <v>112</v>
      </c>
      <c r="B32" s="11">
        <v>0.77777777777777779</v>
      </c>
      <c r="C32" t="s">
        <v>92</v>
      </c>
      <c r="D32" t="s">
        <v>76</v>
      </c>
      <c r="F32" t="s">
        <v>89</v>
      </c>
      <c r="G32" t="s">
        <v>15</v>
      </c>
      <c r="H32" t="s">
        <v>113</v>
      </c>
    </row>
    <row r="33" spans="1:8" x14ac:dyDescent="0.2">
      <c r="A33" t="s">
        <v>112</v>
      </c>
      <c r="B33" s="11">
        <v>0.57777777777777783</v>
      </c>
      <c r="C33" t="s">
        <v>92</v>
      </c>
      <c r="D33" t="s">
        <v>76</v>
      </c>
      <c r="F33" t="s">
        <v>89</v>
      </c>
      <c r="G33" t="s">
        <v>16</v>
      </c>
      <c r="H33" t="s">
        <v>113</v>
      </c>
    </row>
    <row r="34" spans="1:8" x14ac:dyDescent="0.2">
      <c r="A34" t="s">
        <v>114</v>
      </c>
      <c r="B34" s="11">
        <v>1.0125</v>
      </c>
      <c r="C34" t="s">
        <v>92</v>
      </c>
      <c r="D34" t="s">
        <v>77</v>
      </c>
      <c r="F34" t="s">
        <v>89</v>
      </c>
      <c r="G34" t="s">
        <v>24</v>
      </c>
      <c r="H34" t="s">
        <v>115</v>
      </c>
    </row>
    <row r="35" spans="1:8" x14ac:dyDescent="0.2">
      <c r="A35" t="s">
        <v>199</v>
      </c>
      <c r="B35" s="11">
        <v>1.0186116700201207</v>
      </c>
      <c r="C35" t="s">
        <v>92</v>
      </c>
      <c r="D35" t="s">
        <v>77</v>
      </c>
      <c r="F35" t="s">
        <v>89</v>
      </c>
      <c r="G35" t="s">
        <v>422</v>
      </c>
      <c r="H35" t="s">
        <v>199</v>
      </c>
    </row>
    <row r="36" spans="1:8" x14ac:dyDescent="0.2">
      <c r="A36" s="13" t="s">
        <v>549</v>
      </c>
      <c r="B36">
        <v>133.26249999999999</v>
      </c>
      <c r="C36" t="s">
        <v>92</v>
      </c>
      <c r="D36" t="s">
        <v>193</v>
      </c>
      <c r="F36" t="s">
        <v>89</v>
      </c>
      <c r="H36" s="13" t="s">
        <v>550</v>
      </c>
    </row>
    <row r="37" spans="1:8" x14ac:dyDescent="0.2">
      <c r="A37" s="13" t="s">
        <v>216</v>
      </c>
      <c r="B37" s="2">
        <v>2118.8737499999997</v>
      </c>
      <c r="C37" t="s">
        <v>95</v>
      </c>
      <c r="D37" t="s">
        <v>193</v>
      </c>
      <c r="F37" t="s">
        <v>89</v>
      </c>
      <c r="H37" s="13" t="s">
        <v>216</v>
      </c>
    </row>
    <row r="38" spans="1:8" x14ac:dyDescent="0.2">
      <c r="B38" s="11"/>
    </row>
    <row r="39" spans="1:8" ht="16" x14ac:dyDescent="0.2">
      <c r="A39" s="10" t="s">
        <v>71</v>
      </c>
      <c r="B39" s="8" t="s">
        <v>346</v>
      </c>
    </row>
    <row r="40" spans="1:8" x14ac:dyDescent="0.2">
      <c r="A40" t="s">
        <v>72</v>
      </c>
      <c r="B40" t="s">
        <v>37</v>
      </c>
    </row>
    <row r="41" spans="1:8" x14ac:dyDescent="0.2">
      <c r="A41" t="s">
        <v>86</v>
      </c>
      <c r="B41" t="s">
        <v>346</v>
      </c>
    </row>
    <row r="42" spans="1:8" x14ac:dyDescent="0.2">
      <c r="A42" t="s">
        <v>87</v>
      </c>
    </row>
    <row r="43" spans="1:8" x14ac:dyDescent="0.2">
      <c r="A43" t="s">
        <v>88</v>
      </c>
      <c r="B43">
        <v>2016</v>
      </c>
    </row>
    <row r="44" spans="1:8" x14ac:dyDescent="0.2">
      <c r="A44" t="s">
        <v>124</v>
      </c>
      <c r="B44" t="s">
        <v>349</v>
      </c>
    </row>
    <row r="45" spans="1:8" x14ac:dyDescent="0.2">
      <c r="A45" t="s">
        <v>73</v>
      </c>
      <c r="B45" t="s">
        <v>346</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30000</v>
      </c>
    </row>
    <row r="50" spans="1:2" x14ac:dyDescent="0.2">
      <c r="A50" t="s">
        <v>126</v>
      </c>
      <c r="B50">
        <v>1</v>
      </c>
    </row>
    <row r="51" spans="1:2" x14ac:dyDescent="0.2">
      <c r="A51" t="s">
        <v>127</v>
      </c>
      <c r="B51">
        <v>1.2</v>
      </c>
    </row>
    <row r="52" spans="1:2" x14ac:dyDescent="0.2">
      <c r="A52" t="s">
        <v>128</v>
      </c>
      <c r="B52">
        <v>0</v>
      </c>
    </row>
    <row r="53" spans="1:2" x14ac:dyDescent="0.2">
      <c r="A53" t="s">
        <v>129</v>
      </c>
      <c r="B53">
        <v>1870</v>
      </c>
    </row>
    <row r="54" spans="1:2" x14ac:dyDescent="0.2">
      <c r="A54" t="s">
        <v>130</v>
      </c>
      <c r="B54" s="2">
        <v>131.16249999999999</v>
      </c>
    </row>
    <row r="55" spans="1:2" x14ac:dyDescent="0.2">
      <c r="A55" t="s">
        <v>131</v>
      </c>
      <c r="B55">
        <v>8.8000000000000007</v>
      </c>
    </row>
    <row r="56" spans="1:2" x14ac:dyDescent="0.2">
      <c r="A56" t="s">
        <v>132</v>
      </c>
      <c r="B56" t="s">
        <v>85</v>
      </c>
    </row>
    <row r="57" spans="1:2" x14ac:dyDescent="0.2">
      <c r="A57" t="s">
        <v>133</v>
      </c>
      <c r="B57">
        <v>0</v>
      </c>
    </row>
    <row r="58" spans="1:2" x14ac:dyDescent="0.2">
      <c r="A58" t="s">
        <v>136</v>
      </c>
      <c r="B58" s="2">
        <v>79.875</v>
      </c>
    </row>
    <row r="59" spans="1:2" x14ac:dyDescent="0.2">
      <c r="A59" t="s">
        <v>137</v>
      </c>
      <c r="B59">
        <v>6.75</v>
      </c>
    </row>
    <row r="60" spans="1:2" x14ac:dyDescent="0.2">
      <c r="A60" t="s">
        <v>134</v>
      </c>
      <c r="B60" s="2">
        <v>274.46263878700836</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832</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346</v>
      </c>
      <c r="B69">
        <v>1</v>
      </c>
      <c r="C69" t="s">
        <v>37</v>
      </c>
      <c r="D69" t="s">
        <v>76</v>
      </c>
      <c r="F69" t="s">
        <v>84</v>
      </c>
      <c r="G69" t="s">
        <v>85</v>
      </c>
      <c r="H69" t="s">
        <v>346</v>
      </c>
    </row>
    <row r="70" spans="1:8" x14ac:dyDescent="0.2">
      <c r="A70" t="s">
        <v>112</v>
      </c>
      <c r="B70" s="11">
        <v>0.77777777777777779</v>
      </c>
      <c r="C70" t="s">
        <v>92</v>
      </c>
      <c r="D70" t="s">
        <v>76</v>
      </c>
      <c r="F70" t="s">
        <v>89</v>
      </c>
      <c r="G70" t="s">
        <v>15</v>
      </c>
      <c r="H70" t="s">
        <v>113</v>
      </c>
    </row>
    <row r="71" spans="1:8" x14ac:dyDescent="0.2">
      <c r="A71" t="s">
        <v>112</v>
      </c>
      <c r="B71" s="11">
        <v>0.57777777777777783</v>
      </c>
      <c r="C71" t="s">
        <v>92</v>
      </c>
      <c r="D71" t="s">
        <v>76</v>
      </c>
      <c r="F71" t="s">
        <v>89</v>
      </c>
      <c r="G71" t="s">
        <v>16</v>
      </c>
      <c r="H71" t="s">
        <v>113</v>
      </c>
    </row>
    <row r="72" spans="1:8" x14ac:dyDescent="0.2">
      <c r="A72" t="s">
        <v>114</v>
      </c>
      <c r="B72" s="11">
        <v>1.0125</v>
      </c>
      <c r="C72" t="s">
        <v>92</v>
      </c>
      <c r="D72" t="s">
        <v>77</v>
      </c>
      <c r="F72" t="s">
        <v>89</v>
      </c>
      <c r="G72" t="s">
        <v>24</v>
      </c>
      <c r="H72" t="s">
        <v>115</v>
      </c>
    </row>
    <row r="73" spans="1:8" x14ac:dyDescent="0.2">
      <c r="A73" t="s">
        <v>199</v>
      </c>
      <c r="B73" s="11">
        <v>1.0186116700201207</v>
      </c>
      <c r="C73" t="s">
        <v>92</v>
      </c>
      <c r="D73" t="s">
        <v>77</v>
      </c>
      <c r="F73" t="s">
        <v>89</v>
      </c>
      <c r="G73" t="s">
        <v>422</v>
      </c>
      <c r="H73" t="s">
        <v>199</v>
      </c>
    </row>
    <row r="74" spans="1:8" x14ac:dyDescent="0.2">
      <c r="A74" s="13" t="s">
        <v>549</v>
      </c>
      <c r="B74">
        <v>131.16249999999999</v>
      </c>
      <c r="C74" t="s">
        <v>92</v>
      </c>
      <c r="D74" t="s">
        <v>193</v>
      </c>
      <c r="F74" t="s">
        <v>89</v>
      </c>
      <c r="H74" s="13" t="s">
        <v>550</v>
      </c>
    </row>
    <row r="75" spans="1:8" x14ac:dyDescent="0.2">
      <c r="A75" s="13" t="s">
        <v>216</v>
      </c>
      <c r="B75" s="2">
        <v>2085.4837499999999</v>
      </c>
      <c r="C75" t="s">
        <v>95</v>
      </c>
      <c r="D75" t="s">
        <v>193</v>
      </c>
      <c r="F75" t="s">
        <v>89</v>
      </c>
      <c r="H75" s="13" t="s">
        <v>216</v>
      </c>
    </row>
    <row r="77" spans="1:8" ht="16" x14ac:dyDescent="0.2">
      <c r="A77" s="10" t="s">
        <v>71</v>
      </c>
      <c r="B77" s="8" t="s">
        <v>347</v>
      </c>
    </row>
    <row r="78" spans="1:8" x14ac:dyDescent="0.2">
      <c r="A78" t="s">
        <v>72</v>
      </c>
      <c r="B78" t="s">
        <v>37</v>
      </c>
    </row>
    <row r="79" spans="1:8" x14ac:dyDescent="0.2">
      <c r="A79" t="s">
        <v>86</v>
      </c>
      <c r="B79" t="s">
        <v>347</v>
      </c>
    </row>
    <row r="80" spans="1:8" x14ac:dyDescent="0.2">
      <c r="A80" t="s">
        <v>87</v>
      </c>
    </row>
    <row r="81" spans="1:2" x14ac:dyDescent="0.2">
      <c r="A81" t="s">
        <v>88</v>
      </c>
      <c r="B81">
        <v>2020</v>
      </c>
    </row>
    <row r="82" spans="1:2" x14ac:dyDescent="0.2">
      <c r="A82" t="s">
        <v>124</v>
      </c>
      <c r="B82" t="s">
        <v>350</v>
      </c>
    </row>
    <row r="83" spans="1:2" x14ac:dyDescent="0.2">
      <c r="A83" t="s">
        <v>73</v>
      </c>
      <c r="B83" t="s">
        <v>347</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30000</v>
      </c>
    </row>
    <row r="88" spans="1:2" x14ac:dyDescent="0.2">
      <c r="A88" t="s">
        <v>126</v>
      </c>
      <c r="B88">
        <v>1</v>
      </c>
    </row>
    <row r="89" spans="1:2" x14ac:dyDescent="0.2">
      <c r="A89" t="s">
        <v>127</v>
      </c>
      <c r="B89">
        <v>1.2</v>
      </c>
    </row>
    <row r="90" spans="1:2" x14ac:dyDescent="0.2">
      <c r="A90" t="s">
        <v>128</v>
      </c>
      <c r="B90">
        <v>0</v>
      </c>
    </row>
    <row r="91" spans="1:2" x14ac:dyDescent="0.2">
      <c r="A91" t="s">
        <v>129</v>
      </c>
      <c r="B91">
        <v>1870</v>
      </c>
    </row>
    <row r="92" spans="1:2" x14ac:dyDescent="0.2">
      <c r="A92" t="s">
        <v>130</v>
      </c>
      <c r="B92" s="2">
        <v>129.76249999999999</v>
      </c>
    </row>
    <row r="93" spans="1:2" x14ac:dyDescent="0.2">
      <c r="A93" t="s">
        <v>131</v>
      </c>
      <c r="B93">
        <v>8.8000000000000007</v>
      </c>
    </row>
    <row r="94" spans="1:2" x14ac:dyDescent="0.2">
      <c r="A94" t="s">
        <v>132</v>
      </c>
      <c r="B94" t="s">
        <v>85</v>
      </c>
    </row>
    <row r="95" spans="1:2" x14ac:dyDescent="0.2">
      <c r="A95" t="s">
        <v>133</v>
      </c>
      <c r="B95">
        <v>0</v>
      </c>
    </row>
    <row r="96" spans="1:2" x14ac:dyDescent="0.2">
      <c r="A96" t="s">
        <v>136</v>
      </c>
      <c r="B96" s="2">
        <v>79.875</v>
      </c>
    </row>
    <row r="97" spans="1:8" x14ac:dyDescent="0.2">
      <c r="A97" t="s">
        <v>137</v>
      </c>
      <c r="B97">
        <v>6.75</v>
      </c>
    </row>
    <row r="98" spans="1:8" x14ac:dyDescent="0.2">
      <c r="A98" t="s">
        <v>134</v>
      </c>
      <c r="B98" s="2">
        <v>277.23498867374587</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833</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347</v>
      </c>
      <c r="B107">
        <v>1</v>
      </c>
      <c r="C107" t="s">
        <v>37</v>
      </c>
      <c r="D107" t="s">
        <v>76</v>
      </c>
      <c r="F107" t="s">
        <v>84</v>
      </c>
      <c r="G107" t="s">
        <v>85</v>
      </c>
      <c r="H107" t="s">
        <v>347</v>
      </c>
    </row>
    <row r="108" spans="1:8" x14ac:dyDescent="0.2">
      <c r="A108" t="s">
        <v>112</v>
      </c>
      <c r="B108" s="11">
        <v>0.77777777777777779</v>
      </c>
      <c r="C108" t="s">
        <v>92</v>
      </c>
      <c r="D108" t="s">
        <v>76</v>
      </c>
      <c r="F108" t="s">
        <v>89</v>
      </c>
      <c r="G108" t="s">
        <v>15</v>
      </c>
      <c r="H108" t="s">
        <v>113</v>
      </c>
    </row>
    <row r="109" spans="1:8" x14ac:dyDescent="0.2">
      <c r="A109" t="s">
        <v>112</v>
      </c>
      <c r="B109" s="11">
        <v>0.57777777777777783</v>
      </c>
      <c r="C109" t="s">
        <v>92</v>
      </c>
      <c r="D109" t="s">
        <v>76</v>
      </c>
      <c r="F109" t="s">
        <v>89</v>
      </c>
      <c r="G109" t="s">
        <v>16</v>
      </c>
      <c r="H109" t="s">
        <v>113</v>
      </c>
    </row>
    <row r="110" spans="1:8" x14ac:dyDescent="0.2">
      <c r="A110" t="s">
        <v>114</v>
      </c>
      <c r="B110" s="11">
        <v>1.0125</v>
      </c>
      <c r="C110" t="s">
        <v>92</v>
      </c>
      <c r="D110" t="s">
        <v>77</v>
      </c>
      <c r="F110" t="s">
        <v>89</v>
      </c>
      <c r="G110" t="s">
        <v>24</v>
      </c>
      <c r="H110" t="s">
        <v>115</v>
      </c>
    </row>
    <row r="111" spans="1:8" x14ac:dyDescent="0.2">
      <c r="A111" t="s">
        <v>199</v>
      </c>
      <c r="B111" s="11">
        <v>1.0186116700201207</v>
      </c>
      <c r="C111" t="s">
        <v>92</v>
      </c>
      <c r="D111" t="s">
        <v>77</v>
      </c>
      <c r="F111" t="s">
        <v>89</v>
      </c>
      <c r="G111" t="s">
        <v>422</v>
      </c>
      <c r="H111" t="s">
        <v>199</v>
      </c>
    </row>
    <row r="112" spans="1:8" x14ac:dyDescent="0.2">
      <c r="A112" s="13" t="s">
        <v>549</v>
      </c>
      <c r="B112">
        <v>129.76249999999999</v>
      </c>
      <c r="C112" t="s">
        <v>92</v>
      </c>
      <c r="D112" t="s">
        <v>193</v>
      </c>
      <c r="F112" t="s">
        <v>89</v>
      </c>
      <c r="H112" s="13" t="s">
        <v>550</v>
      </c>
    </row>
    <row r="113" spans="1:8" x14ac:dyDescent="0.2">
      <c r="A113" s="13" t="s">
        <v>216</v>
      </c>
      <c r="B113" s="2">
        <v>2063.2237499999997</v>
      </c>
      <c r="C113" t="s">
        <v>95</v>
      </c>
      <c r="D113" t="s">
        <v>193</v>
      </c>
      <c r="F113" t="s">
        <v>89</v>
      </c>
      <c r="H113" s="13" t="s">
        <v>216</v>
      </c>
    </row>
    <row r="115" spans="1:8" ht="16" x14ac:dyDescent="0.2">
      <c r="A115" s="10" t="s">
        <v>71</v>
      </c>
      <c r="B115" s="8" t="s">
        <v>834</v>
      </c>
    </row>
    <row r="116" spans="1:8" x14ac:dyDescent="0.2">
      <c r="A116" t="s">
        <v>72</v>
      </c>
      <c r="B116" t="s">
        <v>37</v>
      </c>
    </row>
    <row r="117" spans="1:8" x14ac:dyDescent="0.2">
      <c r="A117" t="s">
        <v>86</v>
      </c>
      <c r="B117" t="s">
        <v>345</v>
      </c>
    </row>
    <row r="118" spans="1:8" x14ac:dyDescent="0.2">
      <c r="A118" t="s">
        <v>87</v>
      </c>
    </row>
    <row r="119" spans="1:8" x14ac:dyDescent="0.2">
      <c r="A119" t="s">
        <v>88</v>
      </c>
      <c r="B119">
        <v>2006</v>
      </c>
    </row>
    <row r="120" spans="1:8" x14ac:dyDescent="0.2">
      <c r="A120" t="s">
        <v>124</v>
      </c>
      <c r="B120" t="s">
        <v>348</v>
      </c>
    </row>
    <row r="121" spans="1:8" x14ac:dyDescent="0.2">
      <c r="A121" t="s">
        <v>73</v>
      </c>
      <c r="B121" t="s">
        <v>834</v>
      </c>
    </row>
    <row r="122" spans="1:8" x14ac:dyDescent="0.2">
      <c r="A122" t="s">
        <v>74</v>
      </c>
      <c r="B122" t="s">
        <v>75</v>
      </c>
    </row>
    <row r="123" spans="1:8" x14ac:dyDescent="0.2">
      <c r="A123" t="s">
        <v>76</v>
      </c>
      <c r="B123" t="s">
        <v>164</v>
      </c>
    </row>
    <row r="124" spans="1:8" x14ac:dyDescent="0.2">
      <c r="A124" t="s">
        <v>78</v>
      </c>
      <c r="B124" t="s">
        <v>774</v>
      </c>
    </row>
    <row r="125" spans="1:8" x14ac:dyDescent="0.2">
      <c r="A125" t="s">
        <v>125</v>
      </c>
      <c r="B125">
        <v>30000</v>
      </c>
    </row>
    <row r="126" spans="1:8" x14ac:dyDescent="0.2">
      <c r="A126" t="s">
        <v>126</v>
      </c>
      <c r="B126">
        <v>1</v>
      </c>
    </row>
    <row r="127" spans="1:8" x14ac:dyDescent="0.2">
      <c r="A127" t="s">
        <v>127</v>
      </c>
      <c r="B127">
        <v>1.2</v>
      </c>
    </row>
    <row r="128" spans="1:8" x14ac:dyDescent="0.2">
      <c r="A128" t="s">
        <v>128</v>
      </c>
      <c r="B128">
        <v>0</v>
      </c>
    </row>
    <row r="129" spans="1:8" x14ac:dyDescent="0.2">
      <c r="A129" t="s">
        <v>129</v>
      </c>
      <c r="B129">
        <v>1870</v>
      </c>
    </row>
    <row r="130" spans="1:8" x14ac:dyDescent="0.2">
      <c r="A130" t="s">
        <v>130</v>
      </c>
      <c r="B130" s="2">
        <v>133.26249999999999</v>
      </c>
    </row>
    <row r="131" spans="1:8" x14ac:dyDescent="0.2">
      <c r="A131" t="s">
        <v>131</v>
      </c>
      <c r="B131">
        <v>8.8000000000000007</v>
      </c>
    </row>
    <row r="132" spans="1:8" x14ac:dyDescent="0.2">
      <c r="A132" t="s">
        <v>132</v>
      </c>
      <c r="B132" t="s">
        <v>85</v>
      </c>
    </row>
    <row r="133" spans="1:8" x14ac:dyDescent="0.2">
      <c r="A133" t="s">
        <v>133</v>
      </c>
      <c r="B133">
        <v>0</v>
      </c>
    </row>
    <row r="134" spans="1:8" x14ac:dyDescent="0.2">
      <c r="A134" t="s">
        <v>136</v>
      </c>
      <c r="B134" s="2">
        <v>79.875</v>
      </c>
    </row>
    <row r="135" spans="1:8" x14ac:dyDescent="0.2">
      <c r="A135" t="s">
        <v>137</v>
      </c>
      <c r="B135">
        <v>6.75</v>
      </c>
    </row>
    <row r="136" spans="1:8" x14ac:dyDescent="0.2">
      <c r="A136" t="s">
        <v>134</v>
      </c>
      <c r="B136" s="2">
        <v>271.7451869178301</v>
      </c>
    </row>
    <row r="137" spans="1:8" x14ac:dyDescent="0.2">
      <c r="A137" t="s">
        <v>135</v>
      </c>
      <c r="B137" t="s">
        <v>141</v>
      </c>
    </row>
    <row r="138" spans="1:8" x14ac:dyDescent="0.2">
      <c r="A138" t="s">
        <v>796</v>
      </c>
      <c r="B138" s="6">
        <v>-0.05</v>
      </c>
    </row>
    <row r="139" spans="1:8" x14ac:dyDescent="0.2">
      <c r="A139" t="s">
        <v>83</v>
      </c>
      <c r="B139" t="s">
        <v>835</v>
      </c>
    </row>
    <row r="140" spans="1:8" ht="16" x14ac:dyDescent="0.2">
      <c r="A140" s="10" t="s">
        <v>79</v>
      </c>
    </row>
    <row r="141" spans="1:8" x14ac:dyDescent="0.2">
      <c r="A141" t="s">
        <v>80</v>
      </c>
      <c r="B141" t="s">
        <v>81</v>
      </c>
      <c r="C141" t="s">
        <v>72</v>
      </c>
      <c r="D141" t="s">
        <v>76</v>
      </c>
      <c r="E141" t="s">
        <v>82</v>
      </c>
      <c r="F141" t="s">
        <v>74</v>
      </c>
      <c r="G141" t="s">
        <v>83</v>
      </c>
      <c r="H141" t="s">
        <v>73</v>
      </c>
    </row>
    <row r="142" spans="1:8" x14ac:dyDescent="0.2">
      <c r="A142" t="s">
        <v>834</v>
      </c>
      <c r="B142">
        <v>1</v>
      </c>
      <c r="C142" t="s">
        <v>37</v>
      </c>
      <c r="D142" t="s">
        <v>164</v>
      </c>
      <c r="F142" t="s">
        <v>84</v>
      </c>
      <c r="G142" t="s">
        <v>85</v>
      </c>
      <c r="H142" t="s">
        <v>834</v>
      </c>
    </row>
    <row r="143" spans="1:8" x14ac:dyDescent="0.2">
      <c r="A143" t="s">
        <v>345</v>
      </c>
      <c r="B143" s="7">
        <v>3.3333333333333335E-5</v>
      </c>
      <c r="C143" t="s">
        <v>37</v>
      </c>
      <c r="D143" t="s">
        <v>76</v>
      </c>
      <c r="F143" t="s">
        <v>89</v>
      </c>
      <c r="H143" t="s">
        <v>345</v>
      </c>
    </row>
    <row r="144" spans="1:8" x14ac:dyDescent="0.2">
      <c r="A144" t="s">
        <v>107</v>
      </c>
      <c r="B144" s="7">
        <v>1.139849625E-4</v>
      </c>
      <c r="C144" t="s">
        <v>37</v>
      </c>
      <c r="D144" t="s">
        <v>105</v>
      </c>
      <c r="F144" t="s">
        <v>89</v>
      </c>
      <c r="G144" t="s">
        <v>103</v>
      </c>
      <c r="H144" t="s">
        <v>108</v>
      </c>
    </row>
    <row r="145" spans="1:8" x14ac:dyDescent="0.2">
      <c r="A145" t="s">
        <v>111</v>
      </c>
      <c r="B145" s="7">
        <v>1.2899999999999999E-3</v>
      </c>
      <c r="C145" t="s">
        <v>37</v>
      </c>
      <c r="D145" t="s">
        <v>105</v>
      </c>
      <c r="F145" t="s">
        <v>89</v>
      </c>
      <c r="G145" t="s">
        <v>110</v>
      </c>
      <c r="H145" t="s">
        <v>111</v>
      </c>
    </row>
    <row r="146" spans="1:8" x14ac:dyDescent="0.2">
      <c r="A146" t="s">
        <v>119</v>
      </c>
      <c r="B146" s="7">
        <v>4.0000000000000003E-5</v>
      </c>
      <c r="C146" t="s">
        <v>37</v>
      </c>
      <c r="D146" t="s">
        <v>76</v>
      </c>
      <c r="F146" t="s">
        <v>89</v>
      </c>
      <c r="G146" t="s">
        <v>116</v>
      </c>
      <c r="H146" t="s">
        <v>119</v>
      </c>
    </row>
    <row r="147" spans="1:8" x14ac:dyDescent="0.2">
      <c r="A147" t="s">
        <v>557</v>
      </c>
      <c r="B147" s="7">
        <v>2.4839446381955812E-2</v>
      </c>
      <c r="C147" t="s">
        <v>37</v>
      </c>
      <c r="D147" t="s">
        <v>77</v>
      </c>
      <c r="F147" t="s">
        <v>89</v>
      </c>
      <c r="G147" t="s">
        <v>27</v>
      </c>
      <c r="H147" t="s">
        <v>558</v>
      </c>
    </row>
    <row r="148" spans="1:8" x14ac:dyDescent="0.2">
      <c r="A148" t="s">
        <v>152</v>
      </c>
      <c r="B148" s="11">
        <v>7.7059911299669145E-2</v>
      </c>
      <c r="D148" t="s">
        <v>77</v>
      </c>
      <c r="E148" t="s">
        <v>548</v>
      </c>
      <c r="F148" t="s">
        <v>165</v>
      </c>
      <c r="G148" t="s">
        <v>66</v>
      </c>
    </row>
    <row r="149" spans="1:8" x14ac:dyDescent="0.2">
      <c r="A149" t="s">
        <v>554</v>
      </c>
      <c r="B149" s="11">
        <v>9.3595033967209498E-4</v>
      </c>
      <c r="D149" t="s">
        <v>77</v>
      </c>
      <c r="E149" t="s">
        <v>548</v>
      </c>
      <c r="F149" t="s">
        <v>165</v>
      </c>
      <c r="G149" t="s">
        <v>552</v>
      </c>
    </row>
    <row r="150" spans="1:8" x14ac:dyDescent="0.2">
      <c r="A150" t="s">
        <v>212</v>
      </c>
      <c r="B150" s="7">
        <v>3.9743114211129298E-7</v>
      </c>
      <c r="D150" t="s">
        <v>77</v>
      </c>
      <c r="E150" t="s">
        <v>548</v>
      </c>
      <c r="F150" t="s">
        <v>165</v>
      </c>
      <c r="G150" t="s">
        <v>67</v>
      </c>
    </row>
    <row r="151" spans="1:8" x14ac:dyDescent="0.2">
      <c r="A151" t="s">
        <v>55</v>
      </c>
      <c r="B151" s="7">
        <v>3.8182695142197475E-5</v>
      </c>
      <c r="D151" t="s">
        <v>77</v>
      </c>
      <c r="E151" t="s">
        <v>548</v>
      </c>
      <c r="F151" t="s">
        <v>165</v>
      </c>
      <c r="G151" t="s">
        <v>55</v>
      </c>
    </row>
    <row r="152" spans="1:8" x14ac:dyDescent="0.2">
      <c r="A152" t="s">
        <v>153</v>
      </c>
      <c r="B152" s="7">
        <v>2.9172963769054263E-5</v>
      </c>
      <c r="D152" t="s">
        <v>77</v>
      </c>
      <c r="E152" t="s">
        <v>548</v>
      </c>
      <c r="F152" t="s">
        <v>165</v>
      </c>
      <c r="G152" t="s">
        <v>56</v>
      </c>
    </row>
    <row r="153" spans="1:8" x14ac:dyDescent="0.2">
      <c r="A153" t="s">
        <v>154</v>
      </c>
      <c r="B153" s="7">
        <v>3.4177691287266706E-3</v>
      </c>
      <c r="D153" t="s">
        <v>77</v>
      </c>
      <c r="E153" t="s">
        <v>548</v>
      </c>
      <c r="F153" t="s">
        <v>165</v>
      </c>
      <c r="G153" t="s">
        <v>57</v>
      </c>
    </row>
    <row r="154" spans="1:8" x14ac:dyDescent="0.2">
      <c r="A154" t="s">
        <v>213</v>
      </c>
      <c r="B154" s="7">
        <v>1.4801097802665792E-6</v>
      </c>
      <c r="D154" t="s">
        <v>77</v>
      </c>
      <c r="E154" t="s">
        <v>548</v>
      </c>
      <c r="F154" t="s">
        <v>165</v>
      </c>
      <c r="G154" t="s">
        <v>58</v>
      </c>
    </row>
    <row r="155" spans="1:8" x14ac:dyDescent="0.2">
      <c r="A155" t="s">
        <v>155</v>
      </c>
      <c r="B155" s="7">
        <v>1.4801097802665792E-6</v>
      </c>
      <c r="D155" t="s">
        <v>77</v>
      </c>
      <c r="E155" t="s">
        <v>548</v>
      </c>
      <c r="F155" t="s">
        <v>165</v>
      </c>
      <c r="G155" t="s">
        <v>59</v>
      </c>
    </row>
    <row r="156" spans="1:8" x14ac:dyDescent="0.2">
      <c r="A156" t="s">
        <v>156</v>
      </c>
      <c r="B156" s="7">
        <v>1.1099448161280961E-4</v>
      </c>
      <c r="D156" t="s">
        <v>77</v>
      </c>
      <c r="E156" t="s">
        <v>548</v>
      </c>
      <c r="F156" t="s">
        <v>165</v>
      </c>
      <c r="G156" t="s">
        <v>60</v>
      </c>
    </row>
    <row r="157" spans="1:8" x14ac:dyDescent="0.2">
      <c r="A157" t="s">
        <v>214</v>
      </c>
      <c r="B157" s="7">
        <v>3.3198862371379369E-6</v>
      </c>
      <c r="D157" t="s">
        <v>77</v>
      </c>
      <c r="E157" t="s">
        <v>548</v>
      </c>
      <c r="F157" t="s">
        <v>165</v>
      </c>
      <c r="G157" t="s">
        <v>62</v>
      </c>
    </row>
    <row r="158" spans="1:8" x14ac:dyDescent="0.2">
      <c r="A158" t="s">
        <v>209</v>
      </c>
      <c r="B158" s="7">
        <v>3.0791178756381718E-4</v>
      </c>
      <c r="D158" t="s">
        <v>77</v>
      </c>
      <c r="E158" t="s">
        <v>548</v>
      </c>
      <c r="F158" t="s">
        <v>165</v>
      </c>
      <c r="G158" t="s">
        <v>368</v>
      </c>
    </row>
    <row r="159" spans="1:8" x14ac:dyDescent="0.2">
      <c r="A159" t="s">
        <v>316</v>
      </c>
      <c r="B159" s="7">
        <v>2.1711728610269153E-5</v>
      </c>
      <c r="D159" t="s">
        <v>77</v>
      </c>
      <c r="E159" t="s">
        <v>548</v>
      </c>
      <c r="F159" t="s">
        <v>165</v>
      </c>
      <c r="G159" t="s">
        <v>316</v>
      </c>
    </row>
    <row r="160" spans="1:8" x14ac:dyDescent="0.2">
      <c r="A160" t="s">
        <v>317</v>
      </c>
      <c r="B160" s="7">
        <v>4.4240199362617406E-6</v>
      </c>
      <c r="D160" t="s">
        <v>77</v>
      </c>
      <c r="E160" t="s">
        <v>548</v>
      </c>
      <c r="F160" t="s">
        <v>165</v>
      </c>
      <c r="G160" t="s">
        <v>317</v>
      </c>
    </row>
    <row r="161" spans="1:7" x14ac:dyDescent="0.2">
      <c r="A161" t="s">
        <v>318</v>
      </c>
      <c r="B161" s="7">
        <v>3.5664406870786949E-5</v>
      </c>
      <c r="D161" t="s">
        <v>77</v>
      </c>
      <c r="E161" t="s">
        <v>548</v>
      </c>
      <c r="F161" t="s">
        <v>165</v>
      </c>
      <c r="G161" t="s">
        <v>318</v>
      </c>
    </row>
    <row r="162" spans="1:7" x14ac:dyDescent="0.2">
      <c r="A162" t="s">
        <v>319</v>
      </c>
      <c r="B162" s="7">
        <v>1.4633296712250369E-5</v>
      </c>
      <c r="D162" t="s">
        <v>77</v>
      </c>
      <c r="E162" t="s">
        <v>548</v>
      </c>
      <c r="F162" t="s">
        <v>165</v>
      </c>
      <c r="G162" t="s">
        <v>319</v>
      </c>
    </row>
    <row r="163" spans="1:7" x14ac:dyDescent="0.2">
      <c r="A163" t="s">
        <v>320</v>
      </c>
      <c r="B163" s="7">
        <v>1.0957957072894464E-5</v>
      </c>
      <c r="D163" t="s">
        <v>77</v>
      </c>
      <c r="E163" t="s">
        <v>548</v>
      </c>
      <c r="F163" t="s">
        <v>165</v>
      </c>
      <c r="G163" t="s">
        <v>320</v>
      </c>
    </row>
    <row r="164" spans="1:7" x14ac:dyDescent="0.2">
      <c r="A164" t="s">
        <v>321</v>
      </c>
      <c r="B164" s="7">
        <v>7.7590503497513607E-6</v>
      </c>
      <c r="D164" t="s">
        <v>77</v>
      </c>
      <c r="E164" t="s">
        <v>548</v>
      </c>
      <c r="F164" t="s">
        <v>165</v>
      </c>
      <c r="G164" t="s">
        <v>321</v>
      </c>
    </row>
    <row r="165" spans="1:7" x14ac:dyDescent="0.2">
      <c r="A165" t="s">
        <v>322</v>
      </c>
      <c r="B165" s="7">
        <v>5.0365765428210587E-6</v>
      </c>
      <c r="D165" t="s">
        <v>77</v>
      </c>
      <c r="E165" t="s">
        <v>548</v>
      </c>
      <c r="F165" t="s">
        <v>165</v>
      </c>
      <c r="G165" t="s">
        <v>322</v>
      </c>
    </row>
    <row r="166" spans="1:7" x14ac:dyDescent="0.2">
      <c r="A166" t="s">
        <v>323</v>
      </c>
      <c r="B166" s="7">
        <v>4.9685146976478002E-5</v>
      </c>
      <c r="D166" t="s">
        <v>77</v>
      </c>
      <c r="E166" t="s">
        <v>548</v>
      </c>
      <c r="F166" t="s">
        <v>165</v>
      </c>
      <c r="G166" t="s">
        <v>323</v>
      </c>
    </row>
    <row r="167" spans="1:7" x14ac:dyDescent="0.2">
      <c r="A167" t="s">
        <v>324</v>
      </c>
      <c r="B167" s="7">
        <v>2.5999624856184379E-5</v>
      </c>
      <c r="D167" t="s">
        <v>77</v>
      </c>
      <c r="E167" t="s">
        <v>548</v>
      </c>
      <c r="F167" t="s">
        <v>165</v>
      </c>
      <c r="G167" t="s">
        <v>324</v>
      </c>
    </row>
    <row r="168" spans="1:7" x14ac:dyDescent="0.2">
      <c r="A168" t="s">
        <v>325</v>
      </c>
      <c r="B168" s="7">
        <v>7.4868029690583294E-7</v>
      </c>
      <c r="D168" t="s">
        <v>77</v>
      </c>
      <c r="E168" t="s">
        <v>548</v>
      </c>
      <c r="F168" t="s">
        <v>165</v>
      </c>
      <c r="G168" t="s">
        <v>325</v>
      </c>
    </row>
    <row r="169" spans="1:7" x14ac:dyDescent="0.2">
      <c r="A169" t="s">
        <v>326</v>
      </c>
      <c r="B169" s="7">
        <v>7.4731906000236774E-5</v>
      </c>
      <c r="D169" t="s">
        <v>77</v>
      </c>
      <c r="E169" t="s">
        <v>548</v>
      </c>
      <c r="F169" t="s">
        <v>165</v>
      </c>
      <c r="G169" t="s">
        <v>326</v>
      </c>
    </row>
    <row r="170" spans="1:7" x14ac:dyDescent="0.2">
      <c r="A170" t="s">
        <v>327</v>
      </c>
      <c r="B170" s="7">
        <v>3.695758192907885E-5</v>
      </c>
      <c r="D170" t="s">
        <v>77</v>
      </c>
      <c r="E170" t="s">
        <v>548</v>
      </c>
      <c r="F170" t="s">
        <v>165</v>
      </c>
      <c r="G170" t="s">
        <v>327</v>
      </c>
    </row>
    <row r="171" spans="1:7" x14ac:dyDescent="0.2">
      <c r="A171" t="s">
        <v>328</v>
      </c>
      <c r="B171" s="7">
        <v>1.5381977009156206E-5</v>
      </c>
      <c r="D171" t="s">
        <v>77</v>
      </c>
      <c r="E171" t="s">
        <v>548</v>
      </c>
      <c r="F171" t="s">
        <v>165</v>
      </c>
      <c r="G171" t="s">
        <v>328</v>
      </c>
    </row>
    <row r="172" spans="1:7" x14ac:dyDescent="0.2">
      <c r="A172" t="s">
        <v>329</v>
      </c>
      <c r="B172" s="7">
        <v>1.1570513679453783E-5</v>
      </c>
      <c r="D172" t="s">
        <v>77</v>
      </c>
      <c r="E172" t="s">
        <v>548</v>
      </c>
      <c r="F172" t="s">
        <v>165</v>
      </c>
      <c r="G172" t="s">
        <v>329</v>
      </c>
    </row>
    <row r="173" spans="1:7" x14ac:dyDescent="0.2">
      <c r="A173" t="s">
        <v>330</v>
      </c>
      <c r="B173" s="7">
        <v>5.1046383879943157E-6</v>
      </c>
      <c r="D173" t="s">
        <v>77</v>
      </c>
      <c r="E173" t="s">
        <v>548</v>
      </c>
      <c r="F173" t="s">
        <v>165</v>
      </c>
      <c r="G173" t="s">
        <v>330</v>
      </c>
    </row>
    <row r="174" spans="1:7" x14ac:dyDescent="0.2">
      <c r="A174" t="s">
        <v>331</v>
      </c>
      <c r="B174" s="7">
        <v>1.4973605938116659E-6</v>
      </c>
      <c r="D174" t="s">
        <v>77</v>
      </c>
      <c r="E174" t="s">
        <v>548</v>
      </c>
      <c r="F174" t="s">
        <v>165</v>
      </c>
      <c r="G174" t="s">
        <v>331</v>
      </c>
    </row>
    <row r="175" spans="1:7" x14ac:dyDescent="0.2">
      <c r="A175" t="s">
        <v>332</v>
      </c>
      <c r="B175" s="7">
        <v>4.1517725555687101E-6</v>
      </c>
      <c r="D175" t="s">
        <v>77</v>
      </c>
      <c r="E175" t="s">
        <v>548</v>
      </c>
      <c r="F175" t="s">
        <v>165</v>
      </c>
      <c r="G175" t="s">
        <v>332</v>
      </c>
    </row>
    <row r="176" spans="1:7" x14ac:dyDescent="0.2">
      <c r="A176" t="s">
        <v>335</v>
      </c>
      <c r="B176" s="7">
        <v>0</v>
      </c>
      <c r="D176" t="s">
        <v>77</v>
      </c>
      <c r="E176" t="s">
        <v>548</v>
      </c>
      <c r="F176" t="s">
        <v>165</v>
      </c>
      <c r="G176" t="s">
        <v>335</v>
      </c>
    </row>
    <row r="177" spans="1:8" x14ac:dyDescent="0.2">
      <c r="A177" t="s">
        <v>333</v>
      </c>
      <c r="B177" s="7">
        <v>1.2931750582918932E-6</v>
      </c>
      <c r="D177" t="s">
        <v>77</v>
      </c>
      <c r="E177" t="s">
        <v>548</v>
      </c>
      <c r="F177" t="s">
        <v>165</v>
      </c>
      <c r="G177" t="s">
        <v>333</v>
      </c>
    </row>
    <row r="178" spans="1:8" x14ac:dyDescent="0.2">
      <c r="A178" t="s">
        <v>334</v>
      </c>
      <c r="B178" s="7">
        <v>6.8742463624990121E-6</v>
      </c>
      <c r="D178" t="s">
        <v>77</v>
      </c>
      <c r="E178" t="s">
        <v>548</v>
      </c>
      <c r="F178" t="s">
        <v>165</v>
      </c>
      <c r="G178" t="s">
        <v>334</v>
      </c>
    </row>
    <row r="179" spans="1:8" x14ac:dyDescent="0.2">
      <c r="A179" t="s">
        <v>343</v>
      </c>
      <c r="B179" s="7">
        <v>8.6644664640757301E-10</v>
      </c>
      <c r="D179" t="s">
        <v>77</v>
      </c>
      <c r="E179" t="s">
        <v>548</v>
      </c>
      <c r="F179" t="s">
        <v>165</v>
      </c>
      <c r="G179" t="s">
        <v>336</v>
      </c>
    </row>
    <row r="180" spans="1:8" x14ac:dyDescent="0.2">
      <c r="A180" t="s">
        <v>337</v>
      </c>
      <c r="B180" s="7">
        <v>7.4693676414445949E-12</v>
      </c>
      <c r="D180" t="s">
        <v>77</v>
      </c>
      <c r="E180" t="s">
        <v>548</v>
      </c>
      <c r="F180" t="s">
        <v>165</v>
      </c>
      <c r="G180" t="s">
        <v>337</v>
      </c>
    </row>
    <row r="181" spans="1:8" x14ac:dyDescent="0.2">
      <c r="A181" t="s">
        <v>338</v>
      </c>
      <c r="B181" s="7">
        <v>4.9795784276297299E-12</v>
      </c>
      <c r="D181" t="s">
        <v>77</v>
      </c>
      <c r="E181" t="s">
        <v>548</v>
      </c>
      <c r="F181" t="s">
        <v>165</v>
      </c>
      <c r="G181" t="s">
        <v>338</v>
      </c>
    </row>
    <row r="182" spans="1:8" x14ac:dyDescent="0.2">
      <c r="A182" t="s">
        <v>339</v>
      </c>
      <c r="B182" s="7">
        <v>5.3779447018401084E-8</v>
      </c>
      <c r="D182" t="s">
        <v>77</v>
      </c>
      <c r="E182" t="s">
        <v>548</v>
      </c>
      <c r="F182" t="s">
        <v>165</v>
      </c>
      <c r="G182" t="s">
        <v>339</v>
      </c>
    </row>
    <row r="183" spans="1:8" x14ac:dyDescent="0.2">
      <c r="A183" t="s">
        <v>297</v>
      </c>
      <c r="B183" s="7">
        <v>1.0457114698022433E-9</v>
      </c>
      <c r="D183" s="7" t="s">
        <v>77</v>
      </c>
      <c r="E183" t="s">
        <v>548</v>
      </c>
      <c r="F183" t="s">
        <v>165</v>
      </c>
      <c r="G183" t="s">
        <v>297</v>
      </c>
    </row>
    <row r="184" spans="1:8" x14ac:dyDescent="0.2">
      <c r="A184" t="s">
        <v>299</v>
      </c>
      <c r="B184" s="7">
        <v>3.2367259779593247E-10</v>
      </c>
      <c r="D184" t="s">
        <v>77</v>
      </c>
      <c r="E184" t="s">
        <v>548</v>
      </c>
      <c r="F184" t="s">
        <v>165</v>
      </c>
      <c r="G184" t="s">
        <v>299</v>
      </c>
    </row>
    <row r="185" spans="1:8" x14ac:dyDescent="0.2">
      <c r="A185" t="s">
        <v>298</v>
      </c>
      <c r="B185" s="7">
        <v>3.9836627421037845E-10</v>
      </c>
      <c r="D185" t="s">
        <v>77</v>
      </c>
      <c r="E185" t="s">
        <v>548</v>
      </c>
      <c r="F185" t="s">
        <v>165</v>
      </c>
      <c r="G185" t="s">
        <v>298</v>
      </c>
    </row>
    <row r="186" spans="1:8" x14ac:dyDescent="0.2">
      <c r="A186" t="s">
        <v>342</v>
      </c>
      <c r="B186" s="7">
        <v>7.9673254842075675E-13</v>
      </c>
      <c r="D186" t="s">
        <v>77</v>
      </c>
      <c r="E186" t="s">
        <v>548</v>
      </c>
      <c r="F186" t="s">
        <v>165</v>
      </c>
      <c r="G186" t="s">
        <v>342</v>
      </c>
    </row>
    <row r="187" spans="1:8" x14ac:dyDescent="0.2">
      <c r="A187" t="s">
        <v>340</v>
      </c>
      <c r="B187" s="7">
        <v>2.1661166160189325E-10</v>
      </c>
      <c r="D187" t="s">
        <v>77</v>
      </c>
      <c r="E187" t="s">
        <v>548</v>
      </c>
      <c r="F187" t="s">
        <v>165</v>
      </c>
      <c r="G187" t="s">
        <v>340</v>
      </c>
    </row>
    <row r="188" spans="1:8" x14ac:dyDescent="0.2">
      <c r="A188" t="s">
        <v>341</v>
      </c>
      <c r="B188" s="7">
        <v>2.688972350920055E-10</v>
      </c>
      <c r="D188" t="s">
        <v>77</v>
      </c>
      <c r="E188" t="s">
        <v>548</v>
      </c>
      <c r="F188" t="s">
        <v>165</v>
      </c>
      <c r="G188" t="s">
        <v>341</v>
      </c>
    </row>
    <row r="189" spans="1:8" x14ac:dyDescent="0.2">
      <c r="A189" t="s">
        <v>157</v>
      </c>
      <c r="B189" s="7">
        <v>-7.6373593576640838E-6</v>
      </c>
      <c r="C189" t="s">
        <v>92</v>
      </c>
      <c r="D189" t="s">
        <v>77</v>
      </c>
      <c r="F189" t="s">
        <v>89</v>
      </c>
      <c r="G189" t="s">
        <v>29</v>
      </c>
      <c r="H189" t="s">
        <v>159</v>
      </c>
    </row>
    <row r="190" spans="1:8" x14ac:dyDescent="0.2">
      <c r="A190" t="s">
        <v>158</v>
      </c>
      <c r="B190" s="7">
        <v>-5.8650969734680398E-6</v>
      </c>
      <c r="C190" t="s">
        <v>92</v>
      </c>
      <c r="D190" t="s">
        <v>77</v>
      </c>
      <c r="F190" t="s">
        <v>89</v>
      </c>
      <c r="G190" t="s">
        <v>30</v>
      </c>
      <c r="H190" t="s">
        <v>160</v>
      </c>
    </row>
    <row r="191" spans="1:8" x14ac:dyDescent="0.2">
      <c r="A191" t="s">
        <v>166</v>
      </c>
      <c r="B191" s="7">
        <v>-4.1951287868901756E-6</v>
      </c>
      <c r="C191" t="s">
        <v>92</v>
      </c>
      <c r="D191" t="s">
        <v>77</v>
      </c>
      <c r="F191" t="s">
        <v>89</v>
      </c>
      <c r="G191" t="s">
        <v>31</v>
      </c>
      <c r="H191" t="s">
        <v>161</v>
      </c>
    </row>
    <row r="193" spans="1:2" ht="16" x14ac:dyDescent="0.2">
      <c r="A193" s="10" t="s">
        <v>71</v>
      </c>
      <c r="B193" s="8" t="s">
        <v>836</v>
      </c>
    </row>
    <row r="194" spans="1:2" x14ac:dyDescent="0.2">
      <c r="A194" t="s">
        <v>72</v>
      </c>
      <c r="B194" t="s">
        <v>37</v>
      </c>
    </row>
    <row r="195" spans="1:2" x14ac:dyDescent="0.2">
      <c r="A195" t="s">
        <v>86</v>
      </c>
      <c r="B195" t="s">
        <v>346</v>
      </c>
    </row>
    <row r="196" spans="1:2" x14ac:dyDescent="0.2">
      <c r="A196" t="s">
        <v>87</v>
      </c>
    </row>
    <row r="197" spans="1:2" x14ac:dyDescent="0.2">
      <c r="A197" t="s">
        <v>88</v>
      </c>
      <c r="B197">
        <v>2016</v>
      </c>
    </row>
    <row r="198" spans="1:2" x14ac:dyDescent="0.2">
      <c r="A198" t="s">
        <v>124</v>
      </c>
      <c r="B198" t="s">
        <v>349</v>
      </c>
    </row>
    <row r="199" spans="1:2" x14ac:dyDescent="0.2">
      <c r="A199" t="s">
        <v>73</v>
      </c>
      <c r="B199" t="s">
        <v>836</v>
      </c>
    </row>
    <row r="200" spans="1:2" x14ac:dyDescent="0.2">
      <c r="A200" t="s">
        <v>74</v>
      </c>
      <c r="B200" t="s">
        <v>75</v>
      </c>
    </row>
    <row r="201" spans="1:2" x14ac:dyDescent="0.2">
      <c r="A201" t="s">
        <v>76</v>
      </c>
      <c r="B201" t="s">
        <v>164</v>
      </c>
    </row>
    <row r="202" spans="1:2" x14ac:dyDescent="0.2">
      <c r="A202" t="s">
        <v>78</v>
      </c>
      <c r="B202" t="s">
        <v>774</v>
      </c>
    </row>
    <row r="203" spans="1:2" x14ac:dyDescent="0.2">
      <c r="A203" t="s">
        <v>125</v>
      </c>
      <c r="B203">
        <v>30000</v>
      </c>
    </row>
    <row r="204" spans="1:2" x14ac:dyDescent="0.2">
      <c r="A204" t="s">
        <v>126</v>
      </c>
      <c r="B204">
        <v>1</v>
      </c>
    </row>
    <row r="205" spans="1:2" x14ac:dyDescent="0.2">
      <c r="A205" t="s">
        <v>127</v>
      </c>
      <c r="B205">
        <v>1.2</v>
      </c>
    </row>
    <row r="206" spans="1:2" x14ac:dyDescent="0.2">
      <c r="A206" t="s">
        <v>128</v>
      </c>
      <c r="B206">
        <v>0</v>
      </c>
    </row>
    <row r="207" spans="1:2" x14ac:dyDescent="0.2">
      <c r="A207" t="s">
        <v>129</v>
      </c>
      <c r="B207">
        <v>1870</v>
      </c>
    </row>
    <row r="208" spans="1:2" x14ac:dyDescent="0.2">
      <c r="A208" t="s">
        <v>130</v>
      </c>
      <c r="B208" s="2">
        <v>131.16249999999999</v>
      </c>
    </row>
    <row r="209" spans="1:8" x14ac:dyDescent="0.2">
      <c r="A209" t="s">
        <v>131</v>
      </c>
      <c r="B209">
        <v>8.8000000000000007</v>
      </c>
    </row>
    <row r="210" spans="1:8" x14ac:dyDescent="0.2">
      <c r="A210" t="s">
        <v>132</v>
      </c>
      <c r="B210" t="s">
        <v>85</v>
      </c>
    </row>
    <row r="211" spans="1:8" x14ac:dyDescent="0.2">
      <c r="A211" t="s">
        <v>133</v>
      </c>
      <c r="B211">
        <v>0</v>
      </c>
    </row>
    <row r="212" spans="1:8" x14ac:dyDescent="0.2">
      <c r="A212" t="s">
        <v>136</v>
      </c>
      <c r="B212" s="2">
        <v>79.875</v>
      </c>
    </row>
    <row r="213" spans="1:8" x14ac:dyDescent="0.2">
      <c r="A213" t="s">
        <v>137</v>
      </c>
      <c r="B213">
        <v>6.75</v>
      </c>
    </row>
    <row r="214" spans="1:8" x14ac:dyDescent="0.2">
      <c r="A214" t="s">
        <v>134</v>
      </c>
      <c r="B214" s="2">
        <v>274.46263878700836</v>
      </c>
    </row>
    <row r="215" spans="1:8" x14ac:dyDescent="0.2">
      <c r="A215" t="s">
        <v>135</v>
      </c>
      <c r="B215" t="s">
        <v>140</v>
      </c>
    </row>
    <row r="216" spans="1:8" x14ac:dyDescent="0.2">
      <c r="A216" t="s">
        <v>796</v>
      </c>
      <c r="B216" s="6">
        <v>-0.02</v>
      </c>
    </row>
    <row r="217" spans="1:8" x14ac:dyDescent="0.2">
      <c r="A217" t="s">
        <v>83</v>
      </c>
      <c r="B217" t="s">
        <v>837</v>
      </c>
    </row>
    <row r="218" spans="1:8" ht="16" x14ac:dyDescent="0.2">
      <c r="A218" s="10" t="s">
        <v>79</v>
      </c>
    </row>
    <row r="219" spans="1:8" x14ac:dyDescent="0.2">
      <c r="A219" t="s">
        <v>80</v>
      </c>
      <c r="B219" t="s">
        <v>81</v>
      </c>
      <c r="C219" t="s">
        <v>72</v>
      </c>
      <c r="D219" t="s">
        <v>76</v>
      </c>
      <c r="E219" t="s">
        <v>82</v>
      </c>
      <c r="F219" t="s">
        <v>74</v>
      </c>
      <c r="G219" t="s">
        <v>83</v>
      </c>
      <c r="H219" t="s">
        <v>73</v>
      </c>
    </row>
    <row r="220" spans="1:8" x14ac:dyDescent="0.2">
      <c r="A220" t="s">
        <v>836</v>
      </c>
      <c r="B220">
        <v>1</v>
      </c>
      <c r="C220" t="s">
        <v>37</v>
      </c>
      <c r="D220" t="s">
        <v>164</v>
      </c>
      <c r="F220" t="s">
        <v>84</v>
      </c>
      <c r="G220" t="s">
        <v>85</v>
      </c>
      <c r="H220" t="s">
        <v>836</v>
      </c>
    </row>
    <row r="221" spans="1:8" x14ac:dyDescent="0.2">
      <c r="A221" t="s">
        <v>346</v>
      </c>
      <c r="B221" s="7">
        <v>3.3333333333333335E-5</v>
      </c>
      <c r="C221" t="s">
        <v>37</v>
      </c>
      <c r="D221" t="s">
        <v>76</v>
      </c>
      <c r="F221" t="s">
        <v>89</v>
      </c>
      <c r="H221" t="s">
        <v>346</v>
      </c>
    </row>
    <row r="222" spans="1:8" x14ac:dyDescent="0.2">
      <c r="A222" t="s">
        <v>107</v>
      </c>
      <c r="B222" s="7">
        <v>1.128572625E-4</v>
      </c>
      <c r="C222" t="s">
        <v>37</v>
      </c>
      <c r="D222" t="s">
        <v>105</v>
      </c>
      <c r="F222" t="s">
        <v>89</v>
      </c>
      <c r="G222" t="s">
        <v>103</v>
      </c>
      <c r="H222" t="s">
        <v>108</v>
      </c>
    </row>
    <row r="223" spans="1:8" x14ac:dyDescent="0.2">
      <c r="A223" t="s">
        <v>111</v>
      </c>
      <c r="B223" s="7">
        <v>1.2899999999999999E-3</v>
      </c>
      <c r="C223" t="s">
        <v>37</v>
      </c>
      <c r="D223" t="s">
        <v>105</v>
      </c>
      <c r="F223" t="s">
        <v>89</v>
      </c>
      <c r="G223" t="s">
        <v>110</v>
      </c>
      <c r="H223" t="s">
        <v>111</v>
      </c>
    </row>
    <row r="224" spans="1:8" x14ac:dyDescent="0.2">
      <c r="A224" t="s">
        <v>119</v>
      </c>
      <c r="B224" s="7">
        <v>4.0000000000000003E-5</v>
      </c>
      <c r="C224" t="s">
        <v>37</v>
      </c>
      <c r="D224" t="s">
        <v>76</v>
      </c>
      <c r="F224" t="s">
        <v>89</v>
      </c>
      <c r="G224" t="s">
        <v>116</v>
      </c>
      <c r="H224" t="s">
        <v>119</v>
      </c>
    </row>
    <row r="225" spans="1:8" x14ac:dyDescent="0.2">
      <c r="A225" t="s">
        <v>557</v>
      </c>
      <c r="B225" s="7">
        <v>2.459351126926318E-2</v>
      </c>
      <c r="C225" t="s">
        <v>37</v>
      </c>
      <c r="D225" t="s">
        <v>77</v>
      </c>
      <c r="F225" t="s">
        <v>89</v>
      </c>
      <c r="G225" t="s">
        <v>27</v>
      </c>
      <c r="H225" t="s">
        <v>558</v>
      </c>
    </row>
    <row r="226" spans="1:8" x14ac:dyDescent="0.2">
      <c r="A226" t="s">
        <v>152</v>
      </c>
      <c r="B226" s="11">
        <v>7.6296941880860544E-2</v>
      </c>
      <c r="D226" t="s">
        <v>77</v>
      </c>
      <c r="E226" t="s">
        <v>548</v>
      </c>
      <c r="F226" t="s">
        <v>165</v>
      </c>
      <c r="G226" t="s">
        <v>66</v>
      </c>
    </row>
    <row r="227" spans="1:8" x14ac:dyDescent="0.2">
      <c r="A227" t="s">
        <v>554</v>
      </c>
      <c r="B227" s="11">
        <v>9.2668350462583665E-4</v>
      </c>
      <c r="D227" t="s">
        <v>77</v>
      </c>
      <c r="E227" t="s">
        <v>548</v>
      </c>
      <c r="F227" t="s">
        <v>165</v>
      </c>
      <c r="G227" t="s">
        <v>552</v>
      </c>
    </row>
    <row r="228" spans="1:8" x14ac:dyDescent="0.2">
      <c r="A228" t="s">
        <v>212</v>
      </c>
      <c r="B228" s="7">
        <v>3.9349618030821087E-7</v>
      </c>
      <c r="D228" t="s">
        <v>77</v>
      </c>
      <c r="E228" t="s">
        <v>548</v>
      </c>
      <c r="F228" t="s">
        <v>165</v>
      </c>
      <c r="G228" t="s">
        <v>67</v>
      </c>
    </row>
    <row r="229" spans="1:8" x14ac:dyDescent="0.2">
      <c r="A229" t="s">
        <v>55</v>
      </c>
      <c r="B229" s="7">
        <v>3.7804648655641067E-5</v>
      </c>
      <c r="D229" t="s">
        <v>77</v>
      </c>
      <c r="E229" t="s">
        <v>548</v>
      </c>
      <c r="F229" t="s">
        <v>165</v>
      </c>
      <c r="G229" t="s">
        <v>55</v>
      </c>
    </row>
    <row r="230" spans="1:8" x14ac:dyDescent="0.2">
      <c r="A230" t="s">
        <v>153</v>
      </c>
      <c r="B230" s="7">
        <v>2.8884122543618082E-5</v>
      </c>
      <c r="D230" t="s">
        <v>77</v>
      </c>
      <c r="E230" t="s">
        <v>548</v>
      </c>
      <c r="F230" t="s">
        <v>165</v>
      </c>
      <c r="G230" t="s">
        <v>56</v>
      </c>
    </row>
    <row r="231" spans="1:8" x14ac:dyDescent="0.2">
      <c r="A231" t="s">
        <v>154</v>
      </c>
      <c r="B231" s="7">
        <v>3.383929830422446E-3</v>
      </c>
      <c r="D231" t="s">
        <v>77</v>
      </c>
      <c r="E231" t="s">
        <v>548</v>
      </c>
      <c r="F231" t="s">
        <v>165</v>
      </c>
      <c r="G231" t="s">
        <v>57</v>
      </c>
    </row>
    <row r="232" spans="1:8" x14ac:dyDescent="0.2">
      <c r="A232" t="s">
        <v>213</v>
      </c>
      <c r="B232" s="7">
        <v>1.465455227986712E-6</v>
      </c>
      <c r="D232" t="s">
        <v>77</v>
      </c>
      <c r="E232" t="s">
        <v>548</v>
      </c>
      <c r="F232" t="s">
        <v>165</v>
      </c>
      <c r="G232" t="s">
        <v>58</v>
      </c>
    </row>
    <row r="233" spans="1:8" x14ac:dyDescent="0.2">
      <c r="A233" t="s">
        <v>155</v>
      </c>
      <c r="B233" s="7">
        <v>1.465455227986712E-6</v>
      </c>
      <c r="D233" t="s">
        <v>77</v>
      </c>
      <c r="E233" t="s">
        <v>548</v>
      </c>
      <c r="F233" t="s">
        <v>165</v>
      </c>
      <c r="G233" t="s">
        <v>59</v>
      </c>
    </row>
    <row r="234" spans="1:8" x14ac:dyDescent="0.2">
      <c r="A234" t="s">
        <v>156</v>
      </c>
      <c r="B234" s="7">
        <v>1.0989552634931646E-4</v>
      </c>
      <c r="D234" t="s">
        <v>77</v>
      </c>
      <c r="E234" t="s">
        <v>548</v>
      </c>
      <c r="F234" t="s">
        <v>165</v>
      </c>
      <c r="G234" t="s">
        <v>60</v>
      </c>
    </row>
    <row r="235" spans="1:8" x14ac:dyDescent="0.2">
      <c r="A235" t="s">
        <v>214</v>
      </c>
      <c r="B235" s="7">
        <v>3.2870160763741949E-6</v>
      </c>
      <c r="D235" t="s">
        <v>77</v>
      </c>
      <c r="E235" t="s">
        <v>548</v>
      </c>
      <c r="F235" t="s">
        <v>165</v>
      </c>
      <c r="G235" t="s">
        <v>62</v>
      </c>
    </row>
    <row r="236" spans="1:8" x14ac:dyDescent="0.2">
      <c r="A236" t="s">
        <v>209</v>
      </c>
      <c r="B236" s="7">
        <v>3.0486315600377939E-4</v>
      </c>
      <c r="D236" t="s">
        <v>77</v>
      </c>
      <c r="E236" t="s">
        <v>548</v>
      </c>
      <c r="F236" t="s">
        <v>165</v>
      </c>
      <c r="G236" t="s">
        <v>368</v>
      </c>
    </row>
    <row r="237" spans="1:8" x14ac:dyDescent="0.2">
      <c r="A237" t="s">
        <v>316</v>
      </c>
      <c r="B237" s="7">
        <v>2.1496761000266487E-5</v>
      </c>
      <c r="D237" t="s">
        <v>77</v>
      </c>
      <c r="E237" t="s">
        <v>548</v>
      </c>
      <c r="F237" t="s">
        <v>165</v>
      </c>
      <c r="G237" t="s">
        <v>316</v>
      </c>
    </row>
    <row r="238" spans="1:8" x14ac:dyDescent="0.2">
      <c r="A238" t="s">
        <v>317</v>
      </c>
      <c r="B238" s="7">
        <v>4.3802177586749907E-6</v>
      </c>
      <c r="D238" t="s">
        <v>77</v>
      </c>
      <c r="E238" t="s">
        <v>548</v>
      </c>
      <c r="F238" t="s">
        <v>165</v>
      </c>
      <c r="G238" t="s">
        <v>317</v>
      </c>
    </row>
    <row r="239" spans="1:8" x14ac:dyDescent="0.2">
      <c r="A239" t="s">
        <v>318</v>
      </c>
      <c r="B239" s="7">
        <v>3.5311293931472228E-5</v>
      </c>
      <c r="D239" t="s">
        <v>77</v>
      </c>
      <c r="E239" t="s">
        <v>548</v>
      </c>
      <c r="F239" t="s">
        <v>165</v>
      </c>
      <c r="G239" t="s">
        <v>318</v>
      </c>
    </row>
    <row r="240" spans="1:8" x14ac:dyDescent="0.2">
      <c r="A240" t="s">
        <v>319</v>
      </c>
      <c r="B240" s="7">
        <v>1.4488412586386504E-5</v>
      </c>
      <c r="D240" t="s">
        <v>77</v>
      </c>
      <c r="E240" t="s">
        <v>548</v>
      </c>
      <c r="F240" t="s">
        <v>165</v>
      </c>
      <c r="G240" t="s">
        <v>319</v>
      </c>
    </row>
    <row r="241" spans="1:7" x14ac:dyDescent="0.2">
      <c r="A241" t="s">
        <v>320</v>
      </c>
      <c r="B241" s="7">
        <v>1.0849462448410361E-5</v>
      </c>
      <c r="D241" t="s">
        <v>77</v>
      </c>
      <c r="E241" t="s">
        <v>548</v>
      </c>
      <c r="F241" t="s">
        <v>165</v>
      </c>
      <c r="G241" t="s">
        <v>320</v>
      </c>
    </row>
    <row r="242" spans="1:7" x14ac:dyDescent="0.2">
      <c r="A242" t="s">
        <v>321</v>
      </c>
      <c r="B242" s="7">
        <v>7.6822280690607534E-6</v>
      </c>
      <c r="D242" t="s">
        <v>77</v>
      </c>
      <c r="E242" t="s">
        <v>548</v>
      </c>
      <c r="F242" t="s">
        <v>165</v>
      </c>
      <c r="G242" t="s">
        <v>321</v>
      </c>
    </row>
    <row r="243" spans="1:7" x14ac:dyDescent="0.2">
      <c r="A243" t="s">
        <v>322</v>
      </c>
      <c r="B243" s="7">
        <v>4.986709448337682E-6</v>
      </c>
      <c r="D243" t="s">
        <v>77</v>
      </c>
      <c r="E243" t="s">
        <v>548</v>
      </c>
      <c r="F243" t="s">
        <v>165</v>
      </c>
      <c r="G243" t="s">
        <v>322</v>
      </c>
    </row>
    <row r="244" spans="1:7" x14ac:dyDescent="0.2">
      <c r="A244" t="s">
        <v>323</v>
      </c>
      <c r="B244" s="7">
        <v>4.9193214828196046E-5</v>
      </c>
      <c r="D244" t="s">
        <v>77</v>
      </c>
      <c r="E244" t="s">
        <v>548</v>
      </c>
      <c r="F244" t="s">
        <v>165</v>
      </c>
      <c r="G244" t="s">
        <v>323</v>
      </c>
    </row>
    <row r="245" spans="1:7" x14ac:dyDescent="0.2">
      <c r="A245" t="s">
        <v>324</v>
      </c>
      <c r="B245" s="7">
        <v>2.5742202827905325E-5</v>
      </c>
      <c r="D245" t="s">
        <v>77</v>
      </c>
      <c r="E245" t="s">
        <v>548</v>
      </c>
      <c r="F245" t="s">
        <v>165</v>
      </c>
      <c r="G245" t="s">
        <v>324</v>
      </c>
    </row>
    <row r="246" spans="1:7" x14ac:dyDescent="0.2">
      <c r="A246" t="s">
        <v>325</v>
      </c>
      <c r="B246" s="7">
        <v>7.412676206988445E-7</v>
      </c>
      <c r="D246" t="s">
        <v>77</v>
      </c>
      <c r="E246" t="s">
        <v>548</v>
      </c>
      <c r="F246" t="s">
        <v>165</v>
      </c>
      <c r="G246" t="s">
        <v>325</v>
      </c>
    </row>
    <row r="247" spans="1:7" x14ac:dyDescent="0.2">
      <c r="A247" t="s">
        <v>326</v>
      </c>
      <c r="B247" s="7">
        <v>7.3991986138848291E-5</v>
      </c>
      <c r="D247" t="s">
        <v>77</v>
      </c>
      <c r="E247" t="s">
        <v>548</v>
      </c>
      <c r="F247" t="s">
        <v>165</v>
      </c>
      <c r="G247" t="s">
        <v>326</v>
      </c>
    </row>
    <row r="248" spans="1:7" x14ac:dyDescent="0.2">
      <c r="A248" t="s">
        <v>327</v>
      </c>
      <c r="B248" s="7">
        <v>3.6591665276315688E-5</v>
      </c>
      <c r="D248" t="s">
        <v>77</v>
      </c>
      <c r="E248" t="s">
        <v>548</v>
      </c>
      <c r="F248" t="s">
        <v>165</v>
      </c>
      <c r="G248" t="s">
        <v>327</v>
      </c>
    </row>
    <row r="249" spans="1:7" x14ac:dyDescent="0.2">
      <c r="A249" t="s">
        <v>328</v>
      </c>
      <c r="B249" s="7">
        <v>1.522968020708535E-5</v>
      </c>
      <c r="D249" t="s">
        <v>77</v>
      </c>
      <c r="E249" t="s">
        <v>548</v>
      </c>
      <c r="F249" t="s">
        <v>165</v>
      </c>
      <c r="G249" t="s">
        <v>328</v>
      </c>
    </row>
    <row r="250" spans="1:7" x14ac:dyDescent="0.2">
      <c r="A250" t="s">
        <v>329</v>
      </c>
      <c r="B250" s="7">
        <v>1.1455954138073051E-5</v>
      </c>
      <c r="D250" t="s">
        <v>77</v>
      </c>
      <c r="E250" t="s">
        <v>548</v>
      </c>
      <c r="F250" t="s">
        <v>165</v>
      </c>
      <c r="G250" t="s">
        <v>329</v>
      </c>
    </row>
    <row r="251" spans="1:7" x14ac:dyDescent="0.2">
      <c r="A251" t="s">
        <v>330</v>
      </c>
      <c r="B251" s="7">
        <v>5.0540974138557577E-6</v>
      </c>
      <c r="D251" t="s">
        <v>77</v>
      </c>
      <c r="E251" t="s">
        <v>548</v>
      </c>
      <c r="F251" t="s">
        <v>165</v>
      </c>
      <c r="G251" t="s">
        <v>330</v>
      </c>
    </row>
    <row r="252" spans="1:7" x14ac:dyDescent="0.2">
      <c r="A252" t="s">
        <v>331</v>
      </c>
      <c r="B252" s="7">
        <v>1.482535241397689E-6</v>
      </c>
      <c r="D252" t="s">
        <v>77</v>
      </c>
      <c r="E252" t="s">
        <v>548</v>
      </c>
      <c r="F252" t="s">
        <v>165</v>
      </c>
      <c r="G252" t="s">
        <v>331</v>
      </c>
    </row>
    <row r="253" spans="1:7" x14ac:dyDescent="0.2">
      <c r="A253" t="s">
        <v>332</v>
      </c>
      <c r="B253" s="7">
        <v>4.1106658966026837E-6</v>
      </c>
      <c r="D253" t="s">
        <v>77</v>
      </c>
      <c r="E253" t="s">
        <v>548</v>
      </c>
      <c r="F253" t="s">
        <v>165</v>
      </c>
      <c r="G253" t="s">
        <v>332</v>
      </c>
    </row>
    <row r="254" spans="1:7" x14ac:dyDescent="0.2">
      <c r="A254" t="s">
        <v>335</v>
      </c>
      <c r="B254" s="7">
        <v>0</v>
      </c>
      <c r="D254" t="s">
        <v>77</v>
      </c>
      <c r="E254" t="s">
        <v>548</v>
      </c>
      <c r="F254" t="s">
        <v>165</v>
      </c>
      <c r="G254" t="s">
        <v>335</v>
      </c>
    </row>
    <row r="255" spans="1:7" x14ac:dyDescent="0.2">
      <c r="A255" t="s">
        <v>333</v>
      </c>
      <c r="B255" s="7">
        <v>1.2803713448434585E-6</v>
      </c>
      <c r="D255" t="s">
        <v>77</v>
      </c>
      <c r="E255" t="s">
        <v>548</v>
      </c>
      <c r="F255" t="s">
        <v>165</v>
      </c>
      <c r="G255" t="s">
        <v>333</v>
      </c>
    </row>
    <row r="256" spans="1:7" x14ac:dyDescent="0.2">
      <c r="A256" t="s">
        <v>334</v>
      </c>
      <c r="B256" s="7">
        <v>6.8061845173257543E-6</v>
      </c>
      <c r="D256" t="s">
        <v>77</v>
      </c>
      <c r="E256" t="s">
        <v>548</v>
      </c>
      <c r="F256" t="s">
        <v>165</v>
      </c>
      <c r="G256" t="s">
        <v>334</v>
      </c>
    </row>
    <row r="257" spans="1:8" x14ac:dyDescent="0.2">
      <c r="A257" t="s">
        <v>343</v>
      </c>
      <c r="B257" s="7">
        <v>8.5786796674017128E-10</v>
      </c>
      <c r="D257" t="s">
        <v>77</v>
      </c>
      <c r="E257" t="s">
        <v>548</v>
      </c>
      <c r="F257" t="s">
        <v>165</v>
      </c>
      <c r="G257" t="s">
        <v>336</v>
      </c>
    </row>
    <row r="258" spans="1:8" x14ac:dyDescent="0.2">
      <c r="A258" t="s">
        <v>337</v>
      </c>
      <c r="B258" s="7">
        <v>7.3954135063807875E-12</v>
      </c>
      <c r="D258" t="s">
        <v>77</v>
      </c>
      <c r="E258" t="s">
        <v>548</v>
      </c>
      <c r="F258" t="s">
        <v>165</v>
      </c>
      <c r="G258" t="s">
        <v>337</v>
      </c>
    </row>
    <row r="259" spans="1:8" x14ac:dyDescent="0.2">
      <c r="A259" t="s">
        <v>338</v>
      </c>
      <c r="B259" s="7">
        <v>4.9302756709205247E-12</v>
      </c>
      <c r="D259" t="s">
        <v>77</v>
      </c>
      <c r="E259" t="s">
        <v>548</v>
      </c>
      <c r="F259" t="s">
        <v>165</v>
      </c>
      <c r="G259" t="s">
        <v>338</v>
      </c>
    </row>
    <row r="260" spans="1:8" x14ac:dyDescent="0.2">
      <c r="A260" t="s">
        <v>339</v>
      </c>
      <c r="B260" s="7">
        <v>5.324697724594167E-8</v>
      </c>
      <c r="D260" t="s">
        <v>77</v>
      </c>
      <c r="E260" t="s">
        <v>548</v>
      </c>
      <c r="F260" t="s">
        <v>165</v>
      </c>
      <c r="G260" t="s">
        <v>339</v>
      </c>
    </row>
    <row r="261" spans="1:8" x14ac:dyDescent="0.2">
      <c r="A261" t="s">
        <v>297</v>
      </c>
      <c r="B261" s="7">
        <v>1.0353578908933101E-9</v>
      </c>
      <c r="D261" t="s">
        <v>77</v>
      </c>
      <c r="E261" t="s">
        <v>548</v>
      </c>
      <c r="F261" t="s">
        <v>165</v>
      </c>
      <c r="G261" t="s">
        <v>297</v>
      </c>
    </row>
    <row r="262" spans="1:8" x14ac:dyDescent="0.2">
      <c r="A262" t="s">
        <v>299</v>
      </c>
      <c r="B262" s="7">
        <v>3.2046791860983413E-10</v>
      </c>
      <c r="D262" t="s">
        <v>77</v>
      </c>
      <c r="E262" t="s">
        <v>548</v>
      </c>
      <c r="F262" t="s">
        <v>165</v>
      </c>
      <c r="G262" t="s">
        <v>299</v>
      </c>
    </row>
    <row r="263" spans="1:8" x14ac:dyDescent="0.2">
      <c r="A263" t="s">
        <v>298</v>
      </c>
      <c r="B263" s="7">
        <v>3.9442205367364202E-10</v>
      </c>
      <c r="D263" t="s">
        <v>77</v>
      </c>
      <c r="E263" t="s">
        <v>548</v>
      </c>
      <c r="F263" t="s">
        <v>165</v>
      </c>
      <c r="G263" t="s">
        <v>298</v>
      </c>
    </row>
    <row r="264" spans="1:8" x14ac:dyDescent="0.2">
      <c r="A264" t="s">
        <v>342</v>
      </c>
      <c r="B264" s="7">
        <v>7.8884410734728391E-13</v>
      </c>
      <c r="D264" t="s">
        <v>77</v>
      </c>
      <c r="E264" t="s">
        <v>548</v>
      </c>
      <c r="F264" t="s">
        <v>165</v>
      </c>
      <c r="G264" t="s">
        <v>342</v>
      </c>
    </row>
    <row r="265" spans="1:8" x14ac:dyDescent="0.2">
      <c r="A265" t="s">
        <v>340</v>
      </c>
      <c r="B265" s="7">
        <v>2.1446699168504282E-10</v>
      </c>
      <c r="D265" t="s">
        <v>77</v>
      </c>
      <c r="E265" t="s">
        <v>548</v>
      </c>
      <c r="F265" t="s">
        <v>165</v>
      </c>
      <c r="G265" t="s">
        <v>340</v>
      </c>
    </row>
    <row r="266" spans="1:8" x14ac:dyDescent="0.2">
      <c r="A266" t="s">
        <v>341</v>
      </c>
      <c r="B266" s="7">
        <v>2.6623488622970838E-10</v>
      </c>
      <c r="D266" t="s">
        <v>77</v>
      </c>
      <c r="E266" t="s">
        <v>548</v>
      </c>
      <c r="F266" t="s">
        <v>165</v>
      </c>
      <c r="G266" t="s">
        <v>341</v>
      </c>
    </row>
    <row r="267" spans="1:8" x14ac:dyDescent="0.2">
      <c r="A267" t="s">
        <v>157</v>
      </c>
      <c r="B267" s="7">
        <v>-7.5773180063729661E-6</v>
      </c>
      <c r="C267" t="s">
        <v>92</v>
      </c>
      <c r="D267" t="s">
        <v>77</v>
      </c>
      <c r="F267" t="s">
        <v>89</v>
      </c>
      <c r="G267" t="s">
        <v>29</v>
      </c>
      <c r="H267" t="s">
        <v>159</v>
      </c>
    </row>
    <row r="268" spans="1:8" x14ac:dyDescent="0.2">
      <c r="A268" t="s">
        <v>158</v>
      </c>
      <c r="B268" s="7">
        <v>-5.8342899858966527E-6</v>
      </c>
      <c r="C268" t="s">
        <v>92</v>
      </c>
      <c r="D268" t="s">
        <v>77</v>
      </c>
      <c r="F268" t="s">
        <v>89</v>
      </c>
      <c r="G268" t="s">
        <v>30</v>
      </c>
      <c r="H268" t="s">
        <v>160</v>
      </c>
    </row>
    <row r="269" spans="1:8" x14ac:dyDescent="0.2">
      <c r="A269" t="s">
        <v>166</v>
      </c>
      <c r="B269" s="7">
        <v>-4.1686167334246386E-6</v>
      </c>
      <c r="C269" t="s">
        <v>92</v>
      </c>
      <c r="D269" t="s">
        <v>77</v>
      </c>
      <c r="F269" t="s">
        <v>89</v>
      </c>
      <c r="G269" t="s">
        <v>31</v>
      </c>
      <c r="H269" t="s">
        <v>161</v>
      </c>
    </row>
    <row r="271" spans="1:8" ht="16" x14ac:dyDescent="0.2">
      <c r="A271" s="10" t="s">
        <v>71</v>
      </c>
      <c r="B271" s="8" t="s">
        <v>838</v>
      </c>
    </row>
    <row r="272" spans="1:8" x14ac:dyDescent="0.2">
      <c r="A272" t="s">
        <v>72</v>
      </c>
      <c r="B272" t="s">
        <v>37</v>
      </c>
    </row>
    <row r="273" spans="1:2" x14ac:dyDescent="0.2">
      <c r="A273" t="s">
        <v>86</v>
      </c>
      <c r="B273" t="s">
        <v>347</v>
      </c>
    </row>
    <row r="274" spans="1:2" x14ac:dyDescent="0.2">
      <c r="A274" t="s">
        <v>87</v>
      </c>
    </row>
    <row r="275" spans="1:2" x14ac:dyDescent="0.2">
      <c r="A275" t="s">
        <v>88</v>
      </c>
      <c r="B275">
        <v>2020</v>
      </c>
    </row>
    <row r="276" spans="1:2" x14ac:dyDescent="0.2">
      <c r="A276" t="s">
        <v>124</v>
      </c>
      <c r="B276" t="s">
        <v>350</v>
      </c>
    </row>
    <row r="277" spans="1:2" x14ac:dyDescent="0.2">
      <c r="A277" t="s">
        <v>73</v>
      </c>
      <c r="B277" t="s">
        <v>838</v>
      </c>
    </row>
    <row r="278" spans="1:2" x14ac:dyDescent="0.2">
      <c r="A278" t="s">
        <v>74</v>
      </c>
      <c r="B278" t="s">
        <v>75</v>
      </c>
    </row>
    <row r="279" spans="1:2" x14ac:dyDescent="0.2">
      <c r="A279" t="s">
        <v>76</v>
      </c>
      <c r="B279" t="s">
        <v>164</v>
      </c>
    </row>
    <row r="280" spans="1:2" x14ac:dyDescent="0.2">
      <c r="A280" t="s">
        <v>78</v>
      </c>
      <c r="B280" t="s">
        <v>774</v>
      </c>
    </row>
    <row r="281" spans="1:2" x14ac:dyDescent="0.2">
      <c r="A281" t="s">
        <v>125</v>
      </c>
      <c r="B281">
        <v>30000</v>
      </c>
    </row>
    <row r="282" spans="1:2" x14ac:dyDescent="0.2">
      <c r="A282" t="s">
        <v>126</v>
      </c>
      <c r="B282">
        <v>1</v>
      </c>
    </row>
    <row r="283" spans="1:2" x14ac:dyDescent="0.2">
      <c r="A283" t="s">
        <v>127</v>
      </c>
      <c r="B283">
        <v>1.2</v>
      </c>
    </row>
    <row r="284" spans="1:2" x14ac:dyDescent="0.2">
      <c r="A284" t="s">
        <v>128</v>
      </c>
      <c r="B284">
        <v>0</v>
      </c>
    </row>
    <row r="285" spans="1:2" x14ac:dyDescent="0.2">
      <c r="A285" t="s">
        <v>129</v>
      </c>
      <c r="B285">
        <v>1870</v>
      </c>
    </row>
    <row r="286" spans="1:2" x14ac:dyDescent="0.2">
      <c r="A286" t="s">
        <v>130</v>
      </c>
      <c r="B286" s="2">
        <v>129.76249999999999</v>
      </c>
    </row>
    <row r="287" spans="1:2" x14ac:dyDescent="0.2">
      <c r="A287" t="s">
        <v>131</v>
      </c>
      <c r="B287">
        <v>8.8000000000000007</v>
      </c>
    </row>
    <row r="288" spans="1:2" x14ac:dyDescent="0.2">
      <c r="A288" t="s">
        <v>132</v>
      </c>
      <c r="B288" t="s">
        <v>85</v>
      </c>
    </row>
    <row r="289" spans="1:8" x14ac:dyDescent="0.2">
      <c r="A289" t="s">
        <v>133</v>
      </c>
      <c r="B289">
        <v>0</v>
      </c>
    </row>
    <row r="290" spans="1:8" x14ac:dyDescent="0.2">
      <c r="A290" t="s">
        <v>136</v>
      </c>
      <c r="B290" s="2">
        <v>79.875</v>
      </c>
    </row>
    <row r="291" spans="1:8" x14ac:dyDescent="0.2">
      <c r="A291" t="s">
        <v>137</v>
      </c>
      <c r="B291">
        <v>6.75</v>
      </c>
    </row>
    <row r="292" spans="1:8" x14ac:dyDescent="0.2">
      <c r="A292" t="s">
        <v>134</v>
      </c>
      <c r="B292" s="2">
        <v>277.23498867374587</v>
      </c>
    </row>
    <row r="293" spans="1:8" x14ac:dyDescent="0.2">
      <c r="A293" t="s">
        <v>135</v>
      </c>
      <c r="B293" t="s">
        <v>141</v>
      </c>
    </row>
    <row r="294" spans="1:8" x14ac:dyDescent="0.2">
      <c r="A294" t="s">
        <v>796</v>
      </c>
      <c r="B294" s="6">
        <v>0</v>
      </c>
    </row>
    <row r="295" spans="1:8" x14ac:dyDescent="0.2">
      <c r="A295" t="s">
        <v>83</v>
      </c>
      <c r="B295" t="s">
        <v>839</v>
      </c>
    </row>
    <row r="296" spans="1:8" ht="16" x14ac:dyDescent="0.2">
      <c r="A296" s="10" t="s">
        <v>79</v>
      </c>
    </row>
    <row r="297" spans="1:8" x14ac:dyDescent="0.2">
      <c r="A297" t="s">
        <v>80</v>
      </c>
      <c r="B297" t="s">
        <v>81</v>
      </c>
      <c r="C297" t="s">
        <v>72</v>
      </c>
      <c r="D297" t="s">
        <v>76</v>
      </c>
      <c r="E297" t="s">
        <v>82</v>
      </c>
      <c r="F297" t="s">
        <v>74</v>
      </c>
      <c r="G297" t="s">
        <v>83</v>
      </c>
      <c r="H297" t="s">
        <v>73</v>
      </c>
    </row>
    <row r="298" spans="1:8" x14ac:dyDescent="0.2">
      <c r="A298" t="s">
        <v>838</v>
      </c>
      <c r="B298">
        <v>1</v>
      </c>
      <c r="C298" t="s">
        <v>37</v>
      </c>
      <c r="D298" t="s">
        <v>164</v>
      </c>
      <c r="F298" t="s">
        <v>84</v>
      </c>
      <c r="G298" t="s">
        <v>85</v>
      </c>
      <c r="H298" t="s">
        <v>838</v>
      </c>
    </row>
    <row r="299" spans="1:8" x14ac:dyDescent="0.2">
      <c r="A299" t="s">
        <v>347</v>
      </c>
      <c r="B299" s="7">
        <v>3.3333333333333335E-5</v>
      </c>
      <c r="C299" t="s">
        <v>37</v>
      </c>
      <c r="D299" t="s">
        <v>76</v>
      </c>
      <c r="F299" t="s">
        <v>89</v>
      </c>
      <c r="H299" t="s">
        <v>347</v>
      </c>
    </row>
    <row r="300" spans="1:8" x14ac:dyDescent="0.2">
      <c r="A300" t="s">
        <v>107</v>
      </c>
      <c r="B300" s="7">
        <v>1.1210546249999999E-4</v>
      </c>
      <c r="C300" t="s">
        <v>37</v>
      </c>
      <c r="D300" t="s">
        <v>105</v>
      </c>
      <c r="F300" t="s">
        <v>89</v>
      </c>
      <c r="G300" t="s">
        <v>103</v>
      </c>
      <c r="H300" t="s">
        <v>108</v>
      </c>
    </row>
    <row r="301" spans="1:8" x14ac:dyDescent="0.2">
      <c r="A301" t="s">
        <v>111</v>
      </c>
      <c r="B301" s="7">
        <v>1.2899999999999999E-3</v>
      </c>
      <c r="C301" t="s">
        <v>37</v>
      </c>
      <c r="D301" t="s">
        <v>105</v>
      </c>
      <c r="F301" t="s">
        <v>89</v>
      </c>
      <c r="G301" t="s">
        <v>110</v>
      </c>
      <c r="H301" t="s">
        <v>111</v>
      </c>
    </row>
    <row r="302" spans="1:8" x14ac:dyDescent="0.2">
      <c r="A302" t="s">
        <v>119</v>
      </c>
      <c r="B302" s="7">
        <v>4.0000000000000003E-5</v>
      </c>
      <c r="C302" t="s">
        <v>37</v>
      </c>
      <c r="D302" t="s">
        <v>76</v>
      </c>
      <c r="F302" t="s">
        <v>89</v>
      </c>
      <c r="G302" t="s">
        <v>116</v>
      </c>
      <c r="H302" t="s">
        <v>119</v>
      </c>
    </row>
    <row r="303" spans="1:8" x14ac:dyDescent="0.2">
      <c r="A303" t="s">
        <v>557</v>
      </c>
      <c r="B303" s="7">
        <v>2.4347576156570547E-2</v>
      </c>
      <c r="C303" t="s">
        <v>37</v>
      </c>
      <c r="D303" t="s">
        <v>77</v>
      </c>
      <c r="F303" t="s">
        <v>89</v>
      </c>
      <c r="G303" t="s">
        <v>27</v>
      </c>
      <c r="H303" t="s">
        <v>558</v>
      </c>
    </row>
    <row r="304" spans="1:8" x14ac:dyDescent="0.2">
      <c r="A304" t="s">
        <v>152</v>
      </c>
      <c r="B304" s="11">
        <v>7.5533972462051943E-2</v>
      </c>
      <c r="D304" t="s">
        <v>77</v>
      </c>
      <c r="E304" t="s">
        <v>548</v>
      </c>
      <c r="F304" t="s">
        <v>165</v>
      </c>
      <c r="G304" t="s">
        <v>66</v>
      </c>
    </row>
    <row r="305" spans="1:7" x14ac:dyDescent="0.2">
      <c r="A305" t="s">
        <v>554</v>
      </c>
      <c r="B305" s="11">
        <v>9.1741666957957831E-4</v>
      </c>
      <c r="D305" t="s">
        <v>77</v>
      </c>
      <c r="E305" t="s">
        <v>548</v>
      </c>
      <c r="F305" t="s">
        <v>165</v>
      </c>
      <c r="G305" t="s">
        <v>552</v>
      </c>
    </row>
    <row r="306" spans="1:7" x14ac:dyDescent="0.2">
      <c r="A306" t="s">
        <v>212</v>
      </c>
      <c r="B306" s="7">
        <v>3.8956121850512876E-7</v>
      </c>
      <c r="D306" t="s">
        <v>77</v>
      </c>
      <c r="E306" t="s">
        <v>548</v>
      </c>
      <c r="F306" t="s">
        <v>165</v>
      </c>
      <c r="G306" t="s">
        <v>67</v>
      </c>
    </row>
    <row r="307" spans="1:7" x14ac:dyDescent="0.2">
      <c r="A307" t="s">
        <v>55</v>
      </c>
      <c r="B307" s="7">
        <v>3.7426602169084653E-5</v>
      </c>
      <c r="D307" t="s">
        <v>77</v>
      </c>
      <c r="E307" t="s">
        <v>548</v>
      </c>
      <c r="F307" t="s">
        <v>165</v>
      </c>
      <c r="G307" t="s">
        <v>55</v>
      </c>
    </row>
    <row r="308" spans="1:7" x14ac:dyDescent="0.2">
      <c r="A308" t="s">
        <v>153</v>
      </c>
      <c r="B308" s="7">
        <v>2.8595281318181901E-5</v>
      </c>
      <c r="D308" t="s">
        <v>77</v>
      </c>
      <c r="E308" t="s">
        <v>548</v>
      </c>
      <c r="F308" t="s">
        <v>165</v>
      </c>
      <c r="G308" t="s">
        <v>56</v>
      </c>
    </row>
    <row r="309" spans="1:7" x14ac:dyDescent="0.2">
      <c r="A309" t="s">
        <v>154</v>
      </c>
      <c r="B309" s="7">
        <v>3.3500905321182215E-3</v>
      </c>
      <c r="D309" t="s">
        <v>77</v>
      </c>
      <c r="E309" t="s">
        <v>548</v>
      </c>
      <c r="F309" t="s">
        <v>165</v>
      </c>
      <c r="G309" t="s">
        <v>57</v>
      </c>
    </row>
    <row r="310" spans="1:7" x14ac:dyDescent="0.2">
      <c r="A310" t="s">
        <v>213</v>
      </c>
      <c r="B310" s="7">
        <v>1.4508006757068449E-6</v>
      </c>
      <c r="D310" t="s">
        <v>77</v>
      </c>
      <c r="E310" t="s">
        <v>548</v>
      </c>
      <c r="F310" t="s">
        <v>165</v>
      </c>
      <c r="G310" t="s">
        <v>58</v>
      </c>
    </row>
    <row r="311" spans="1:7" x14ac:dyDescent="0.2">
      <c r="A311" t="s">
        <v>155</v>
      </c>
      <c r="B311" s="7">
        <v>1.4508006757068449E-6</v>
      </c>
      <c r="D311" t="s">
        <v>77</v>
      </c>
      <c r="E311" t="s">
        <v>548</v>
      </c>
      <c r="F311" t="s">
        <v>165</v>
      </c>
      <c r="G311" t="s">
        <v>59</v>
      </c>
    </row>
    <row r="312" spans="1:7" x14ac:dyDescent="0.2">
      <c r="A312" t="s">
        <v>156</v>
      </c>
      <c r="B312" s="7">
        <v>1.0879657108582329E-4</v>
      </c>
      <c r="D312" t="s">
        <v>77</v>
      </c>
      <c r="E312" t="s">
        <v>548</v>
      </c>
      <c r="F312" t="s">
        <v>165</v>
      </c>
      <c r="G312" t="s">
        <v>60</v>
      </c>
    </row>
    <row r="313" spans="1:7" x14ac:dyDescent="0.2">
      <c r="A313" t="s">
        <v>214</v>
      </c>
      <c r="B313" s="7">
        <v>3.2541459156104529E-6</v>
      </c>
      <c r="D313" t="s">
        <v>77</v>
      </c>
      <c r="E313" t="s">
        <v>548</v>
      </c>
      <c r="F313" t="s">
        <v>165</v>
      </c>
      <c r="G313" t="s">
        <v>62</v>
      </c>
    </row>
    <row r="314" spans="1:7" x14ac:dyDescent="0.2">
      <c r="A314" t="s">
        <v>209</v>
      </c>
      <c r="B314" s="7">
        <v>3.018145244437416E-4</v>
      </c>
      <c r="D314" t="s">
        <v>77</v>
      </c>
      <c r="E314" t="s">
        <v>548</v>
      </c>
      <c r="F314" t="s">
        <v>165</v>
      </c>
      <c r="G314" t="s">
        <v>368</v>
      </c>
    </row>
    <row r="315" spans="1:7" x14ac:dyDescent="0.2">
      <c r="A315" t="s">
        <v>316</v>
      </c>
      <c r="B315" s="7">
        <v>2.1281793390263825E-5</v>
      </c>
      <c r="D315" t="s">
        <v>77</v>
      </c>
      <c r="E315" t="s">
        <v>548</v>
      </c>
      <c r="F315" t="s">
        <v>165</v>
      </c>
      <c r="G315" t="s">
        <v>316</v>
      </c>
    </row>
    <row r="316" spans="1:7" x14ac:dyDescent="0.2">
      <c r="A316" t="s">
        <v>317</v>
      </c>
      <c r="B316" s="7">
        <v>4.3364155810882407E-6</v>
      </c>
      <c r="D316" t="s">
        <v>77</v>
      </c>
      <c r="E316" t="s">
        <v>548</v>
      </c>
      <c r="F316" t="s">
        <v>165</v>
      </c>
      <c r="G316" t="s">
        <v>317</v>
      </c>
    </row>
    <row r="317" spans="1:7" x14ac:dyDescent="0.2">
      <c r="A317" t="s">
        <v>318</v>
      </c>
      <c r="B317" s="7">
        <v>3.4958180992157506E-5</v>
      </c>
      <c r="D317" t="s">
        <v>77</v>
      </c>
      <c r="E317" t="s">
        <v>548</v>
      </c>
      <c r="F317" t="s">
        <v>165</v>
      </c>
      <c r="G317" t="s">
        <v>318</v>
      </c>
    </row>
    <row r="318" spans="1:7" x14ac:dyDescent="0.2">
      <c r="A318" t="s">
        <v>319</v>
      </c>
      <c r="B318" s="7">
        <v>1.4343528460522639E-5</v>
      </c>
      <c r="D318" t="s">
        <v>77</v>
      </c>
      <c r="E318" t="s">
        <v>548</v>
      </c>
      <c r="F318" t="s">
        <v>165</v>
      </c>
      <c r="G318" t="s">
        <v>319</v>
      </c>
    </row>
    <row r="319" spans="1:7" x14ac:dyDescent="0.2">
      <c r="A319" t="s">
        <v>320</v>
      </c>
      <c r="B319" s="7">
        <v>1.0740967823926257E-5</v>
      </c>
      <c r="D319" t="s">
        <v>77</v>
      </c>
      <c r="E319" t="s">
        <v>548</v>
      </c>
      <c r="F319" t="s">
        <v>165</v>
      </c>
      <c r="G319" t="s">
        <v>320</v>
      </c>
    </row>
    <row r="320" spans="1:7" x14ac:dyDescent="0.2">
      <c r="A320" t="s">
        <v>321</v>
      </c>
      <c r="B320" s="7">
        <v>7.6054057883701452E-6</v>
      </c>
      <c r="D320" t="s">
        <v>77</v>
      </c>
      <c r="E320" t="s">
        <v>548</v>
      </c>
      <c r="F320" t="s">
        <v>165</v>
      </c>
      <c r="G320" t="s">
        <v>321</v>
      </c>
    </row>
    <row r="321" spans="1:7" x14ac:dyDescent="0.2">
      <c r="A321" t="s">
        <v>322</v>
      </c>
      <c r="B321" s="7">
        <v>4.9368423538543053E-6</v>
      </c>
      <c r="D321" t="s">
        <v>77</v>
      </c>
      <c r="E321" t="s">
        <v>548</v>
      </c>
      <c r="F321" t="s">
        <v>165</v>
      </c>
      <c r="G321" t="s">
        <v>322</v>
      </c>
    </row>
    <row r="322" spans="1:7" x14ac:dyDescent="0.2">
      <c r="A322" t="s">
        <v>323</v>
      </c>
      <c r="B322" s="7">
        <v>4.8701282679914084E-5</v>
      </c>
      <c r="D322" t="s">
        <v>77</v>
      </c>
      <c r="E322" t="s">
        <v>548</v>
      </c>
      <c r="F322" t="s">
        <v>165</v>
      </c>
      <c r="G322" t="s">
        <v>323</v>
      </c>
    </row>
    <row r="323" spans="1:7" x14ac:dyDescent="0.2">
      <c r="A323" t="s">
        <v>324</v>
      </c>
      <c r="B323" s="7">
        <v>2.5484780799626274E-5</v>
      </c>
      <c r="D323" t="s">
        <v>77</v>
      </c>
      <c r="E323" t="s">
        <v>548</v>
      </c>
      <c r="F323" t="s">
        <v>165</v>
      </c>
      <c r="G323" t="s">
        <v>324</v>
      </c>
    </row>
    <row r="324" spans="1:7" x14ac:dyDescent="0.2">
      <c r="A324" t="s">
        <v>325</v>
      </c>
      <c r="B324" s="7">
        <v>7.3385494449185606E-7</v>
      </c>
      <c r="D324" t="s">
        <v>77</v>
      </c>
      <c r="E324" t="s">
        <v>548</v>
      </c>
      <c r="F324" t="s">
        <v>165</v>
      </c>
      <c r="G324" t="s">
        <v>325</v>
      </c>
    </row>
    <row r="325" spans="1:7" x14ac:dyDescent="0.2">
      <c r="A325" t="s">
        <v>326</v>
      </c>
      <c r="B325" s="7">
        <v>7.3252066277459808E-5</v>
      </c>
      <c r="D325" t="s">
        <v>77</v>
      </c>
      <c r="E325" t="s">
        <v>548</v>
      </c>
      <c r="F325" t="s">
        <v>165</v>
      </c>
      <c r="G325" t="s">
        <v>326</v>
      </c>
    </row>
    <row r="326" spans="1:7" x14ac:dyDescent="0.2">
      <c r="A326" t="s">
        <v>327</v>
      </c>
      <c r="B326" s="7">
        <v>3.6225748623552532E-5</v>
      </c>
      <c r="D326" t="s">
        <v>77</v>
      </c>
      <c r="E326" t="s">
        <v>548</v>
      </c>
      <c r="F326" t="s">
        <v>165</v>
      </c>
      <c r="G326" t="s">
        <v>327</v>
      </c>
    </row>
    <row r="327" spans="1:7" x14ac:dyDescent="0.2">
      <c r="A327" t="s">
        <v>328</v>
      </c>
      <c r="B327" s="7">
        <v>1.5077383405014497E-5</v>
      </c>
      <c r="D327" t="s">
        <v>77</v>
      </c>
      <c r="E327" t="s">
        <v>548</v>
      </c>
      <c r="F327" t="s">
        <v>165</v>
      </c>
      <c r="G327" t="s">
        <v>328</v>
      </c>
    </row>
    <row r="328" spans="1:7" x14ac:dyDescent="0.2">
      <c r="A328" t="s">
        <v>329</v>
      </c>
      <c r="B328" s="7">
        <v>1.1341394596692321E-5</v>
      </c>
      <c r="D328" t="s">
        <v>77</v>
      </c>
      <c r="E328" t="s">
        <v>548</v>
      </c>
      <c r="F328" t="s">
        <v>165</v>
      </c>
      <c r="G328" t="s">
        <v>329</v>
      </c>
    </row>
    <row r="329" spans="1:7" x14ac:dyDescent="0.2">
      <c r="A329" t="s">
        <v>330</v>
      </c>
      <c r="B329" s="7">
        <v>5.0035564397171996E-6</v>
      </c>
      <c r="D329" t="s">
        <v>77</v>
      </c>
      <c r="E329" t="s">
        <v>548</v>
      </c>
      <c r="F329" t="s">
        <v>165</v>
      </c>
      <c r="G329" t="s">
        <v>330</v>
      </c>
    </row>
    <row r="330" spans="1:7" x14ac:dyDescent="0.2">
      <c r="A330" t="s">
        <v>331</v>
      </c>
      <c r="B330" s="7">
        <v>1.4677098889837121E-6</v>
      </c>
      <c r="D330" t="s">
        <v>77</v>
      </c>
      <c r="E330" t="s">
        <v>548</v>
      </c>
      <c r="F330" t="s">
        <v>165</v>
      </c>
      <c r="G330" t="s">
        <v>331</v>
      </c>
    </row>
    <row r="331" spans="1:7" x14ac:dyDescent="0.2">
      <c r="A331" t="s">
        <v>332</v>
      </c>
      <c r="B331" s="7">
        <v>4.0695592376366564E-6</v>
      </c>
      <c r="D331" t="s">
        <v>77</v>
      </c>
      <c r="E331" t="s">
        <v>548</v>
      </c>
      <c r="F331" t="s">
        <v>165</v>
      </c>
      <c r="G331" t="s">
        <v>332</v>
      </c>
    </row>
    <row r="332" spans="1:7" x14ac:dyDescent="0.2">
      <c r="A332" t="s">
        <v>335</v>
      </c>
      <c r="B332" s="7">
        <v>0</v>
      </c>
      <c r="D332" t="s">
        <v>77</v>
      </c>
      <c r="E332" t="s">
        <v>548</v>
      </c>
      <c r="F332" t="s">
        <v>165</v>
      </c>
      <c r="G332" t="s">
        <v>335</v>
      </c>
    </row>
    <row r="333" spans="1:7" x14ac:dyDescent="0.2">
      <c r="A333" t="s">
        <v>333</v>
      </c>
      <c r="B333" s="7">
        <v>1.2675676313950239E-6</v>
      </c>
      <c r="D333" t="s">
        <v>77</v>
      </c>
      <c r="E333" t="s">
        <v>548</v>
      </c>
      <c r="F333" t="s">
        <v>165</v>
      </c>
      <c r="G333" t="s">
        <v>333</v>
      </c>
    </row>
    <row r="334" spans="1:7" x14ac:dyDescent="0.2">
      <c r="A334" t="s">
        <v>334</v>
      </c>
      <c r="B334" s="7">
        <v>6.7381226721524973E-6</v>
      </c>
      <c r="D334" t="s">
        <v>77</v>
      </c>
      <c r="E334" t="s">
        <v>548</v>
      </c>
      <c r="F334" t="s">
        <v>165</v>
      </c>
      <c r="G334" t="s">
        <v>334</v>
      </c>
    </row>
    <row r="335" spans="1:7" x14ac:dyDescent="0.2">
      <c r="A335" t="s">
        <v>343</v>
      </c>
      <c r="B335" s="7">
        <v>8.4928928707276964E-10</v>
      </c>
      <c r="D335" t="s">
        <v>77</v>
      </c>
      <c r="E335" t="s">
        <v>548</v>
      </c>
      <c r="F335" t="s">
        <v>165</v>
      </c>
      <c r="G335" t="s">
        <v>336</v>
      </c>
    </row>
    <row r="336" spans="1:7" x14ac:dyDescent="0.2">
      <c r="A336" t="s">
        <v>337</v>
      </c>
      <c r="B336" s="7">
        <v>7.3214593713169786E-12</v>
      </c>
      <c r="D336" t="s">
        <v>77</v>
      </c>
      <c r="E336" t="s">
        <v>548</v>
      </c>
      <c r="F336" t="s">
        <v>165</v>
      </c>
      <c r="G336" t="s">
        <v>337</v>
      </c>
    </row>
    <row r="337" spans="1:8" x14ac:dyDescent="0.2">
      <c r="A337" t="s">
        <v>338</v>
      </c>
      <c r="B337" s="7">
        <v>4.8809729142113196E-12</v>
      </c>
      <c r="D337" t="s">
        <v>77</v>
      </c>
      <c r="E337" t="s">
        <v>548</v>
      </c>
      <c r="F337" t="s">
        <v>165</v>
      </c>
      <c r="G337" t="s">
        <v>338</v>
      </c>
    </row>
    <row r="338" spans="1:8" x14ac:dyDescent="0.2">
      <c r="A338" t="s">
        <v>339</v>
      </c>
      <c r="B338" s="7">
        <v>5.271450747348225E-8</v>
      </c>
      <c r="D338" t="s">
        <v>77</v>
      </c>
      <c r="E338" t="s">
        <v>548</v>
      </c>
      <c r="F338" t="s">
        <v>165</v>
      </c>
      <c r="G338" t="s">
        <v>339</v>
      </c>
    </row>
    <row r="339" spans="1:8" x14ac:dyDescent="0.2">
      <c r="A339" t="s">
        <v>297</v>
      </c>
      <c r="B339" s="7">
        <v>1.025004311984377E-9</v>
      </c>
      <c r="D339" t="s">
        <v>77</v>
      </c>
      <c r="E339" t="s">
        <v>548</v>
      </c>
      <c r="F339" t="s">
        <v>165</v>
      </c>
      <c r="G339" t="s">
        <v>297</v>
      </c>
    </row>
    <row r="340" spans="1:8" x14ac:dyDescent="0.2">
      <c r="A340" t="s">
        <v>299</v>
      </c>
      <c r="B340" s="7">
        <v>3.1726323942373574E-10</v>
      </c>
      <c r="D340" t="s">
        <v>77</v>
      </c>
      <c r="E340" t="s">
        <v>548</v>
      </c>
      <c r="F340" t="s">
        <v>165</v>
      </c>
      <c r="G340" t="s">
        <v>299</v>
      </c>
    </row>
    <row r="341" spans="1:8" x14ac:dyDescent="0.2">
      <c r="A341" t="s">
        <v>298</v>
      </c>
      <c r="B341" s="7">
        <v>3.9047783313690559E-10</v>
      </c>
      <c r="D341" t="s">
        <v>77</v>
      </c>
      <c r="E341" t="s">
        <v>548</v>
      </c>
      <c r="F341" t="s">
        <v>165</v>
      </c>
      <c r="G341" t="s">
        <v>298</v>
      </c>
    </row>
    <row r="342" spans="1:8" x14ac:dyDescent="0.2">
      <c r="A342" t="s">
        <v>342</v>
      </c>
      <c r="B342" s="7">
        <v>7.8095566627381107E-13</v>
      </c>
      <c r="D342" t="s">
        <v>77</v>
      </c>
      <c r="E342" t="s">
        <v>548</v>
      </c>
      <c r="F342" t="s">
        <v>165</v>
      </c>
      <c r="G342" t="s">
        <v>342</v>
      </c>
    </row>
    <row r="343" spans="1:8" x14ac:dyDescent="0.2">
      <c r="A343" t="s">
        <v>340</v>
      </c>
      <c r="B343" s="7">
        <v>2.1232232176819241E-10</v>
      </c>
      <c r="D343" t="s">
        <v>77</v>
      </c>
      <c r="E343" t="s">
        <v>548</v>
      </c>
      <c r="F343" t="s">
        <v>165</v>
      </c>
      <c r="G343" t="s">
        <v>340</v>
      </c>
    </row>
    <row r="344" spans="1:8" x14ac:dyDescent="0.2">
      <c r="A344" t="s">
        <v>341</v>
      </c>
      <c r="B344" s="7">
        <v>2.6357253736741131E-10</v>
      </c>
      <c r="D344" t="s">
        <v>77</v>
      </c>
      <c r="E344" t="s">
        <v>548</v>
      </c>
      <c r="F344" t="s">
        <v>165</v>
      </c>
      <c r="G344" t="s">
        <v>341</v>
      </c>
    </row>
    <row r="345" spans="1:8" x14ac:dyDescent="0.2">
      <c r="A345" t="s">
        <v>157</v>
      </c>
      <c r="B345" s="7">
        <v>-7.5372278737950211E-6</v>
      </c>
      <c r="C345" t="s">
        <v>92</v>
      </c>
      <c r="D345" t="s">
        <v>77</v>
      </c>
      <c r="F345" t="s">
        <v>89</v>
      </c>
      <c r="G345" t="s">
        <v>29</v>
      </c>
      <c r="H345" t="s">
        <v>159</v>
      </c>
    </row>
    <row r="346" spans="1:8" x14ac:dyDescent="0.2">
      <c r="A346" t="s">
        <v>158</v>
      </c>
      <c r="B346" s="7">
        <v>-5.8136272579670234E-6</v>
      </c>
      <c r="C346" t="s">
        <v>92</v>
      </c>
      <c r="D346" t="s">
        <v>77</v>
      </c>
      <c r="F346" t="s">
        <v>89</v>
      </c>
      <c r="G346" t="s">
        <v>30</v>
      </c>
      <c r="H346" t="s">
        <v>160</v>
      </c>
    </row>
    <row r="347" spans="1:8" x14ac:dyDescent="0.2">
      <c r="A347" t="s">
        <v>166</v>
      </c>
      <c r="B347" s="7">
        <v>-4.1508659623612624E-6</v>
      </c>
      <c r="C347" t="s">
        <v>92</v>
      </c>
      <c r="D347" t="s">
        <v>77</v>
      </c>
      <c r="F347" t="s">
        <v>89</v>
      </c>
      <c r="G347" t="s">
        <v>31</v>
      </c>
      <c r="H347" t="s">
        <v>161</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83"/>
  <sheetViews>
    <sheetView topLeftCell="A44" zoomScale="85" zoomScaleNormal="85" workbookViewId="0">
      <selection activeCell="G73" sqref="G73"/>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962</v>
      </c>
    </row>
    <row r="2" spans="1:2" x14ac:dyDescent="0.2">
      <c r="A2" t="s">
        <v>72</v>
      </c>
      <c r="B2" t="s">
        <v>37</v>
      </c>
    </row>
    <row r="3" spans="1:2" x14ac:dyDescent="0.2">
      <c r="A3" t="s">
        <v>86</v>
      </c>
      <c r="B3" t="s">
        <v>383</v>
      </c>
    </row>
    <row r="4" spans="1:2" x14ac:dyDescent="0.2">
      <c r="A4" t="s">
        <v>87</v>
      </c>
    </row>
    <row r="5" spans="1:2" x14ac:dyDescent="0.2">
      <c r="A5" t="s">
        <v>88</v>
      </c>
      <c r="B5">
        <v>2020</v>
      </c>
    </row>
    <row r="6" spans="1:2" x14ac:dyDescent="0.2">
      <c r="A6" t="s">
        <v>124</v>
      </c>
      <c r="B6" t="s">
        <v>534</v>
      </c>
    </row>
    <row r="7" spans="1:2" x14ac:dyDescent="0.2">
      <c r="A7" t="s">
        <v>73</v>
      </c>
      <c r="B7" t="s">
        <v>383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100.95</v>
      </c>
    </row>
    <row r="17" spans="1:8" x14ac:dyDescent="0.2">
      <c r="A17" t="s">
        <v>131</v>
      </c>
      <c r="B17">
        <v>2.6</v>
      </c>
    </row>
    <row r="18" spans="1:8" x14ac:dyDescent="0.2">
      <c r="A18" t="s">
        <v>427</v>
      </c>
      <c r="B18" s="19" t="s">
        <v>43</v>
      </c>
    </row>
    <row r="19" spans="1:8" x14ac:dyDescent="0.2">
      <c r="A19" t="s">
        <v>132</v>
      </c>
      <c r="B19">
        <v>14.949999999999998</v>
      </c>
    </row>
    <row r="20" spans="1:8" x14ac:dyDescent="0.2">
      <c r="A20" t="s">
        <v>133</v>
      </c>
      <c r="B20">
        <v>2.2999999999999998</v>
      </c>
    </row>
    <row r="21" spans="1:8" x14ac:dyDescent="0.2">
      <c r="A21" t="s">
        <v>363</v>
      </c>
      <c r="B21">
        <v>1.8399999999999999</v>
      </c>
    </row>
    <row r="22" spans="1:8" x14ac:dyDescent="0.2">
      <c r="A22" t="s">
        <v>136</v>
      </c>
      <c r="B22" s="2">
        <v>0</v>
      </c>
    </row>
    <row r="23" spans="1:8" x14ac:dyDescent="0.2">
      <c r="A23" t="s">
        <v>137</v>
      </c>
      <c r="B23">
        <v>0</v>
      </c>
    </row>
    <row r="24" spans="1:8" x14ac:dyDescent="0.2">
      <c r="A24" t="s">
        <v>134</v>
      </c>
      <c r="B24" s="2">
        <v>49.641735985533444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829</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962</v>
      </c>
      <c r="B33">
        <v>1</v>
      </c>
      <c r="C33" t="s">
        <v>37</v>
      </c>
      <c r="D33" t="s">
        <v>76</v>
      </c>
      <c r="F33" t="s">
        <v>84</v>
      </c>
      <c r="G33" t="s">
        <v>85</v>
      </c>
      <c r="H33" t="s">
        <v>383</v>
      </c>
    </row>
    <row r="34" spans="1:8" x14ac:dyDescent="0.2">
      <c r="A34" t="s">
        <v>189</v>
      </c>
      <c r="B34" s="3">
        <v>73</v>
      </c>
      <c r="C34" t="s">
        <v>95</v>
      </c>
      <c r="D34" t="s">
        <v>77</v>
      </c>
      <c r="F34" t="s">
        <v>89</v>
      </c>
      <c r="G34" t="s">
        <v>15</v>
      </c>
      <c r="H34" t="s">
        <v>121</v>
      </c>
    </row>
    <row r="35" spans="1:8" x14ac:dyDescent="0.2">
      <c r="A35" t="s">
        <v>189</v>
      </c>
      <c r="B35" s="3">
        <v>5</v>
      </c>
      <c r="C35" t="s">
        <v>95</v>
      </c>
      <c r="D35" t="s">
        <v>77</v>
      </c>
      <c r="F35" t="s">
        <v>89</v>
      </c>
      <c r="G35" t="s">
        <v>16</v>
      </c>
      <c r="H35" t="s">
        <v>121</v>
      </c>
    </row>
    <row r="36" spans="1:8" x14ac:dyDescent="0.2">
      <c r="A36" t="s">
        <v>188</v>
      </c>
      <c r="B36" s="3">
        <v>8</v>
      </c>
      <c r="C36" t="s">
        <v>95</v>
      </c>
      <c r="D36" t="s">
        <v>77</v>
      </c>
      <c r="F36" t="s">
        <v>89</v>
      </c>
      <c r="G36" t="s">
        <v>276</v>
      </c>
      <c r="H36" t="s">
        <v>149</v>
      </c>
    </row>
    <row r="37" spans="1:8" x14ac:dyDescent="0.2">
      <c r="A37" t="s">
        <v>984</v>
      </c>
      <c r="B37" s="3">
        <v>2.2999999999999998</v>
      </c>
      <c r="C37" t="s">
        <v>95</v>
      </c>
      <c r="D37" t="s">
        <v>96</v>
      </c>
      <c r="F37" t="s">
        <v>89</v>
      </c>
      <c r="H37" t="s">
        <v>985</v>
      </c>
    </row>
    <row r="38" spans="1:8" x14ac:dyDescent="0.2">
      <c r="A38" t="s">
        <v>187</v>
      </c>
      <c r="B38" s="3">
        <v>1</v>
      </c>
      <c r="C38" t="s">
        <v>95</v>
      </c>
      <c r="D38" t="s">
        <v>76</v>
      </c>
      <c r="F38" t="s">
        <v>89</v>
      </c>
      <c r="G38" t="s">
        <v>52</v>
      </c>
      <c r="H38" t="s">
        <v>187</v>
      </c>
    </row>
    <row r="39" spans="1:8" x14ac:dyDescent="0.2">
      <c r="A39" t="s">
        <v>151</v>
      </c>
      <c r="B39" s="3">
        <v>73</v>
      </c>
      <c r="C39" t="s">
        <v>95</v>
      </c>
      <c r="D39" t="s">
        <v>76</v>
      </c>
      <c r="F39" t="s">
        <v>89</v>
      </c>
      <c r="G39" t="s">
        <v>142</v>
      </c>
      <c r="H39" t="s">
        <v>150</v>
      </c>
    </row>
    <row r="40" spans="1:8" x14ac:dyDescent="0.2">
      <c r="A40" t="s">
        <v>151</v>
      </c>
      <c r="B40" s="3">
        <v>13</v>
      </c>
      <c r="C40" t="s">
        <v>95</v>
      </c>
      <c r="D40" t="s">
        <v>76</v>
      </c>
      <c r="F40" t="s">
        <v>89</v>
      </c>
      <c r="G40" t="s">
        <v>143</v>
      </c>
      <c r="H40" t="s">
        <v>150</v>
      </c>
    </row>
    <row r="41" spans="1:8" x14ac:dyDescent="0.2">
      <c r="A41" s="13" t="s">
        <v>549</v>
      </c>
      <c r="B41">
        <v>100.95</v>
      </c>
      <c r="C41" t="s">
        <v>92</v>
      </c>
      <c r="D41" t="s">
        <v>193</v>
      </c>
      <c r="F41" t="s">
        <v>89</v>
      </c>
      <c r="H41" s="13" t="s">
        <v>550</v>
      </c>
    </row>
    <row r="42" spans="1:8" x14ac:dyDescent="0.2">
      <c r="A42" s="13" t="s">
        <v>216</v>
      </c>
      <c r="B42" s="2">
        <v>1605.105</v>
      </c>
      <c r="C42" t="s">
        <v>95</v>
      </c>
      <c r="D42" t="s">
        <v>193</v>
      </c>
      <c r="F42" t="s">
        <v>89</v>
      </c>
      <c r="H42" s="13" t="s">
        <v>216</v>
      </c>
    </row>
    <row r="43" spans="1:8" x14ac:dyDescent="0.2">
      <c r="B43" s="11"/>
    </row>
    <row r="44" spans="1:8" x14ac:dyDescent="0.2">
      <c r="B44" s="2"/>
    </row>
    <row r="45" spans="1:8" ht="16" x14ac:dyDescent="0.2">
      <c r="A45" s="10" t="s">
        <v>71</v>
      </c>
      <c r="B45" s="8" t="s">
        <v>963</v>
      </c>
    </row>
    <row r="46" spans="1:8" x14ac:dyDescent="0.2">
      <c r="A46" t="s">
        <v>72</v>
      </c>
      <c r="B46" t="s">
        <v>37</v>
      </c>
    </row>
    <row r="47" spans="1:8" x14ac:dyDescent="0.2">
      <c r="A47" t="s">
        <v>86</v>
      </c>
      <c r="B47" t="s">
        <v>383</v>
      </c>
    </row>
    <row r="48" spans="1:8" x14ac:dyDescent="0.2">
      <c r="A48" t="s">
        <v>87</v>
      </c>
    </row>
    <row r="49" spans="1:2" x14ac:dyDescent="0.2">
      <c r="A49" t="s">
        <v>88</v>
      </c>
      <c r="B49">
        <v>2020</v>
      </c>
    </row>
    <row r="50" spans="1:2" x14ac:dyDescent="0.2">
      <c r="A50" t="s">
        <v>124</v>
      </c>
      <c r="B50" t="s">
        <v>534</v>
      </c>
    </row>
    <row r="51" spans="1:2" x14ac:dyDescent="0.2">
      <c r="A51" t="s">
        <v>73</v>
      </c>
      <c r="B51" t="s">
        <v>828</v>
      </c>
    </row>
    <row r="52" spans="1:2" x14ac:dyDescent="0.2">
      <c r="A52" t="s">
        <v>74</v>
      </c>
      <c r="B52" t="s">
        <v>75</v>
      </c>
    </row>
    <row r="53" spans="1:2" x14ac:dyDescent="0.2">
      <c r="A53" t="s">
        <v>76</v>
      </c>
      <c r="B53" t="s">
        <v>164</v>
      </c>
    </row>
    <row r="54" spans="1:2" x14ac:dyDescent="0.2">
      <c r="A54" t="s">
        <v>78</v>
      </c>
      <c r="B54" t="s">
        <v>774</v>
      </c>
    </row>
    <row r="55" spans="1:2" x14ac:dyDescent="0.2">
      <c r="A55" t="s">
        <v>125</v>
      </c>
      <c r="B55">
        <v>25000</v>
      </c>
    </row>
    <row r="56" spans="1:2" x14ac:dyDescent="0.2">
      <c r="A56" t="s">
        <v>126</v>
      </c>
      <c r="B56">
        <v>1</v>
      </c>
    </row>
    <row r="57" spans="1:2" x14ac:dyDescent="0.2">
      <c r="A57" t="s">
        <v>127</v>
      </c>
      <c r="B57">
        <v>1</v>
      </c>
    </row>
    <row r="58" spans="1:2" x14ac:dyDescent="0.2">
      <c r="A58" t="s">
        <v>128</v>
      </c>
      <c r="B58">
        <v>1</v>
      </c>
    </row>
    <row r="59" spans="1:2" x14ac:dyDescent="0.2">
      <c r="A59" t="s">
        <v>129</v>
      </c>
      <c r="B59">
        <v>1570</v>
      </c>
    </row>
    <row r="60" spans="1:2" x14ac:dyDescent="0.2">
      <c r="A60" t="s">
        <v>130</v>
      </c>
      <c r="B60" s="2">
        <v>100.95</v>
      </c>
    </row>
    <row r="61" spans="1:2" x14ac:dyDescent="0.2">
      <c r="A61" t="s">
        <v>131</v>
      </c>
      <c r="B61">
        <v>2.6</v>
      </c>
    </row>
    <row r="62" spans="1:2" x14ac:dyDescent="0.2">
      <c r="A62" t="s">
        <v>427</v>
      </c>
      <c r="B62" s="19" t="s">
        <v>43</v>
      </c>
    </row>
    <row r="63" spans="1:2" x14ac:dyDescent="0.2">
      <c r="A63" t="s">
        <v>132</v>
      </c>
      <c r="B63">
        <v>14.949999999999998</v>
      </c>
    </row>
    <row r="64" spans="1:2" x14ac:dyDescent="0.2">
      <c r="A64" t="s">
        <v>133</v>
      </c>
      <c r="B64">
        <v>2.2999999999999998</v>
      </c>
    </row>
    <row r="65" spans="1:8" x14ac:dyDescent="0.2">
      <c r="A65" t="s">
        <v>363</v>
      </c>
      <c r="B65">
        <v>1.8399999999999999</v>
      </c>
    </row>
    <row r="66" spans="1:8" x14ac:dyDescent="0.2">
      <c r="A66" t="s">
        <v>136</v>
      </c>
      <c r="B66" s="2">
        <v>0</v>
      </c>
    </row>
    <row r="67" spans="1:8" x14ac:dyDescent="0.2">
      <c r="A67" t="s">
        <v>137</v>
      </c>
      <c r="B67">
        <v>0</v>
      </c>
    </row>
    <row r="68" spans="1:8" x14ac:dyDescent="0.2">
      <c r="A68" t="s">
        <v>134</v>
      </c>
      <c r="B68" s="2">
        <v>49.641735985533444</v>
      </c>
    </row>
    <row r="69" spans="1:8" x14ac:dyDescent="0.2">
      <c r="A69" t="s">
        <v>135</v>
      </c>
      <c r="B69" t="s">
        <v>138</v>
      </c>
    </row>
    <row r="70" spans="1:8" x14ac:dyDescent="0.2">
      <c r="A70" t="s">
        <v>796</v>
      </c>
      <c r="B70" s="6">
        <v>0</v>
      </c>
    </row>
    <row r="71" spans="1:8" x14ac:dyDescent="0.2">
      <c r="A71" t="s">
        <v>83</v>
      </c>
      <c r="B71" t="s">
        <v>830</v>
      </c>
    </row>
    <row r="72" spans="1:8" ht="16" x14ac:dyDescent="0.2">
      <c r="A72" s="10" t="s">
        <v>79</v>
      </c>
    </row>
    <row r="73" spans="1:8" x14ac:dyDescent="0.2">
      <c r="A73" t="s">
        <v>80</v>
      </c>
      <c r="B73" t="s">
        <v>81</v>
      </c>
      <c r="C73" t="s">
        <v>72</v>
      </c>
      <c r="D73" t="s">
        <v>76</v>
      </c>
      <c r="E73" t="s">
        <v>82</v>
      </c>
      <c r="F73" t="s">
        <v>74</v>
      </c>
      <c r="G73" t="s">
        <v>83</v>
      </c>
      <c r="H73" t="s">
        <v>73</v>
      </c>
    </row>
    <row r="74" spans="1:8" x14ac:dyDescent="0.2">
      <c r="A74" t="s">
        <v>963</v>
      </c>
      <c r="B74">
        <v>1</v>
      </c>
      <c r="C74" t="s">
        <v>37</v>
      </c>
      <c r="D74" t="s">
        <v>164</v>
      </c>
      <c r="F74" t="s">
        <v>84</v>
      </c>
      <c r="G74" t="s">
        <v>85</v>
      </c>
      <c r="H74" t="s">
        <v>828</v>
      </c>
    </row>
    <row r="75" spans="1:8" x14ac:dyDescent="0.2">
      <c r="A75" t="s">
        <v>962</v>
      </c>
      <c r="B75" s="7">
        <v>4.0000000000000003E-5</v>
      </c>
      <c r="C75" t="s">
        <v>37</v>
      </c>
      <c r="D75" t="s">
        <v>76</v>
      </c>
      <c r="F75" t="s">
        <v>89</v>
      </c>
      <c r="H75" t="s">
        <v>383</v>
      </c>
    </row>
    <row r="76" spans="1:8" x14ac:dyDescent="0.2">
      <c r="A76" t="s">
        <v>107</v>
      </c>
      <c r="B76" s="7">
        <v>9.6633149999999991E-5</v>
      </c>
      <c r="C76" t="s">
        <v>37</v>
      </c>
      <c r="D76" t="s">
        <v>105</v>
      </c>
      <c r="F76" t="s">
        <v>89</v>
      </c>
      <c r="G76" t="s">
        <v>103</v>
      </c>
      <c r="H76" t="s">
        <v>108</v>
      </c>
    </row>
    <row r="77" spans="1:8" x14ac:dyDescent="0.2">
      <c r="A77" t="s">
        <v>111</v>
      </c>
      <c r="B77" s="7">
        <v>1.2899999999999999E-3</v>
      </c>
      <c r="C77" t="s">
        <v>37</v>
      </c>
      <c r="D77" t="s">
        <v>105</v>
      </c>
      <c r="F77" t="s">
        <v>89</v>
      </c>
      <c r="G77" t="s">
        <v>110</v>
      </c>
      <c r="H77" t="s">
        <v>111</v>
      </c>
    </row>
    <row r="78" spans="1:8" x14ac:dyDescent="0.2">
      <c r="A78" t="s">
        <v>98</v>
      </c>
      <c r="B78" s="7">
        <v>4.0772143838600498E-2</v>
      </c>
      <c r="C78" t="s">
        <v>37</v>
      </c>
      <c r="D78" t="s">
        <v>96</v>
      </c>
      <c r="F78" t="s">
        <v>89</v>
      </c>
      <c r="G78" t="s">
        <v>28</v>
      </c>
      <c r="H78" t="s">
        <v>100</v>
      </c>
    </row>
    <row r="79" spans="1:8" x14ac:dyDescent="0.2">
      <c r="A79" t="s">
        <v>190</v>
      </c>
      <c r="B79" s="7">
        <v>4.0000000000000003E-5</v>
      </c>
      <c r="C79" t="s">
        <v>95</v>
      </c>
      <c r="D79" t="s">
        <v>76</v>
      </c>
      <c r="F79" t="s">
        <v>89</v>
      </c>
      <c r="G79" t="s">
        <v>116</v>
      </c>
      <c r="H79" t="s">
        <v>120</v>
      </c>
    </row>
    <row r="80" spans="1:8" x14ac:dyDescent="0.2">
      <c r="A80" t="s">
        <v>157</v>
      </c>
      <c r="B80" s="7">
        <v>-6.7002598724957677E-6</v>
      </c>
      <c r="C80" t="s">
        <v>92</v>
      </c>
      <c r="D80" t="s">
        <v>77</v>
      </c>
      <c r="F80" t="s">
        <v>89</v>
      </c>
      <c r="G80" t="s">
        <v>29</v>
      </c>
      <c r="H80" t="s">
        <v>159</v>
      </c>
    </row>
    <row r="81" spans="1:8" x14ac:dyDescent="0.2">
      <c r="A81" t="s">
        <v>158</v>
      </c>
      <c r="B81" s="7">
        <v>-5.363432834513244E-6</v>
      </c>
      <c r="C81" t="s">
        <v>92</v>
      </c>
      <c r="D81" t="s">
        <v>77</v>
      </c>
      <c r="F81" t="s">
        <v>89</v>
      </c>
      <c r="G81" t="s">
        <v>30</v>
      </c>
      <c r="H81" t="s">
        <v>160</v>
      </c>
    </row>
    <row r="82" spans="1:8" x14ac:dyDescent="0.2">
      <c r="A82" t="s">
        <v>166</v>
      </c>
      <c r="B82" s="7">
        <v>-3.7706056904982231E-6</v>
      </c>
      <c r="C82" t="s">
        <v>92</v>
      </c>
      <c r="D82" t="s">
        <v>77</v>
      </c>
      <c r="F82" t="s">
        <v>89</v>
      </c>
      <c r="G82" t="s">
        <v>31</v>
      </c>
      <c r="H82" t="s">
        <v>161</v>
      </c>
    </row>
    <row r="83" spans="1:8" x14ac:dyDescent="0.2">
      <c r="B83" s="6"/>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67"/>
  <sheetViews>
    <sheetView workbookViewId="0">
      <pane xSplit="2" topLeftCell="CJ1" activePane="topRight" state="frozen"/>
      <selection pane="topRight" activeCell="CJ11" sqref="CJ11"/>
    </sheetView>
  </sheetViews>
  <sheetFormatPr baseColWidth="10" defaultColWidth="8.83203125" defaultRowHeight="15" x14ac:dyDescent="0.2"/>
  <cols>
    <col min="1" max="1" width="68.5" customWidth="1"/>
    <col min="2" max="2" width="33.33203125" bestFit="1" customWidth="1"/>
    <col min="3" max="3" width="4.5" customWidth="1"/>
    <col min="4" max="4" width="5" customWidth="1"/>
    <col min="5" max="5" width="8.33203125" customWidth="1"/>
    <col min="6" max="6" width="16.33203125" customWidth="1"/>
    <col min="7" max="7" width="8.33203125" customWidth="1"/>
    <col min="8" max="8" width="10" customWidth="1"/>
    <col min="9" max="9" width="16.6640625" customWidth="1"/>
    <col min="10" max="10" width="11.6640625" customWidth="1"/>
    <col min="11" max="11" width="20" customWidth="1"/>
    <col min="12" max="12" width="13.6640625" customWidth="1"/>
    <col min="13" max="13" width="14.6640625" customWidth="1"/>
    <col min="14" max="14" width="17.5" customWidth="1"/>
    <col min="15" max="15" width="14" customWidth="1"/>
    <col min="16" max="16" width="12.6640625" customWidth="1"/>
    <col min="17" max="17" width="14.6640625" customWidth="1"/>
    <col min="18" max="18" width="10.6640625" bestFit="1" customWidth="1"/>
    <col min="19" max="19" width="18.33203125" bestFit="1" customWidth="1"/>
    <col min="20" max="20" width="7.83203125" customWidth="1"/>
    <col min="21" max="22" width="7.5" customWidth="1"/>
    <col min="23" max="23" width="9.5" customWidth="1"/>
    <col min="24" max="24" width="29" bestFit="1" customWidth="1"/>
    <col min="25" max="26" width="24.33203125" customWidth="1"/>
    <col min="27" max="27" width="24.5" bestFit="1" customWidth="1"/>
    <col min="28" max="28" width="24.6640625" style="3" bestFit="1" customWidth="1"/>
    <col min="29" max="29" width="21.33203125" bestFit="1" customWidth="1"/>
    <col min="30" max="30" width="28.6640625" bestFit="1" customWidth="1"/>
    <col min="31" max="31" width="13.33203125" bestFit="1" customWidth="1"/>
    <col min="32" max="32" width="12.5" bestFit="1" customWidth="1"/>
    <col min="33" max="33" width="26.6640625" bestFit="1" customWidth="1"/>
    <col min="34" max="34" width="16.5" bestFit="1" customWidth="1"/>
    <col min="35" max="35" width="24.5" bestFit="1" customWidth="1"/>
    <col min="36" max="36" width="25.6640625" bestFit="1" customWidth="1"/>
    <col min="37" max="39" width="25.6640625" customWidth="1"/>
    <col min="40" max="40" width="18.6640625" bestFit="1" customWidth="1"/>
    <col min="41" max="41" width="23.5" bestFit="1" customWidth="1"/>
    <col min="42" max="42" width="20.33203125" bestFit="1" customWidth="1"/>
    <col min="43" max="43" width="26.6640625" bestFit="1" customWidth="1"/>
    <col min="44" max="44" width="21.6640625" bestFit="1" customWidth="1"/>
    <col min="45" max="45" width="27.6640625" bestFit="1" customWidth="1"/>
    <col min="46" max="46" width="10.33203125" bestFit="1" customWidth="1"/>
    <col min="47" max="47" width="5.5" bestFit="1" customWidth="1"/>
    <col min="48" max="48" width="8.1640625" bestFit="1" customWidth="1"/>
    <col min="49" max="49" width="8.6640625" customWidth="1"/>
    <col min="50" max="50" width="14.6640625" bestFit="1" customWidth="1"/>
    <col min="51" max="51" width="11.33203125" bestFit="1" customWidth="1"/>
    <col min="52" max="52" width="10.33203125" bestFit="1" customWidth="1"/>
    <col min="53" max="53" width="11.5" bestFit="1" customWidth="1"/>
    <col min="54" max="55" width="11.33203125" bestFit="1" customWidth="1"/>
    <col min="56" max="56" width="13.5" bestFit="1" customWidth="1"/>
    <col min="57" max="90" width="13.5" customWidth="1"/>
    <col min="91" max="91" width="16" bestFit="1" customWidth="1"/>
    <col min="92" max="92" width="17.83203125" bestFit="1" customWidth="1"/>
    <col min="93" max="93" width="17" bestFit="1" customWidth="1"/>
    <col min="94" max="94" width="21.6640625" bestFit="1" customWidth="1"/>
    <col min="95" max="95" width="19.83203125" bestFit="1" customWidth="1"/>
    <col min="96" max="96" width="18.83203125" bestFit="1" customWidth="1"/>
    <col min="97" max="97" width="21.6640625" bestFit="1" customWidth="1"/>
    <col min="98" max="98" width="32.83203125" bestFit="1" customWidth="1"/>
    <col min="99" max="99" width="16.6640625" bestFit="1" customWidth="1"/>
    <col min="100" max="100" width="15.5" bestFit="1" customWidth="1"/>
    <col min="101" max="101" width="17.33203125" bestFit="1" customWidth="1"/>
  </cols>
  <sheetData>
    <row r="1" spans="1:101" x14ac:dyDescent="0.2">
      <c r="A1" t="s">
        <v>68</v>
      </c>
    </row>
    <row r="2" spans="1:101" s="8" customFormat="1" x14ac:dyDescent="0.2">
      <c r="A2" s="8" t="s">
        <v>123</v>
      </c>
      <c r="B2" s="8" t="s">
        <v>0</v>
      </c>
      <c r="C2" s="8" t="s">
        <v>1</v>
      </c>
      <c r="D2" s="8" t="s">
        <v>2</v>
      </c>
      <c r="E2" s="8" t="s">
        <v>36</v>
      </c>
      <c r="F2" s="8" t="s">
        <v>65</v>
      </c>
      <c r="G2" s="8" t="s">
        <v>38</v>
      </c>
      <c r="H2" s="8" t="s">
        <v>3</v>
      </c>
      <c r="I2" s="8" t="s">
        <v>42</v>
      </c>
      <c r="J2" s="8" t="s">
        <v>4</v>
      </c>
      <c r="K2" s="8" t="s">
        <v>6</v>
      </c>
      <c r="L2" s="8" t="s">
        <v>5</v>
      </c>
      <c r="M2" s="8" t="s">
        <v>7</v>
      </c>
      <c r="N2" s="8" t="s">
        <v>8</v>
      </c>
      <c r="O2" s="8" t="s">
        <v>9</v>
      </c>
      <c r="P2" s="8" t="s">
        <v>11</v>
      </c>
      <c r="Q2" s="8" t="s">
        <v>10</v>
      </c>
      <c r="R2" s="8" t="s">
        <v>12</v>
      </c>
      <c r="S2" s="8" t="s">
        <v>15</v>
      </c>
      <c r="T2" s="8" t="s">
        <v>14</v>
      </c>
      <c r="U2" s="8" t="s">
        <v>13</v>
      </c>
      <c r="V2" s="8" t="s">
        <v>16</v>
      </c>
      <c r="W2" s="8" t="s">
        <v>276</v>
      </c>
      <c r="X2" s="8" t="s">
        <v>17</v>
      </c>
      <c r="Y2" s="8" t="s">
        <v>63</v>
      </c>
      <c r="Z2" s="8" t="s">
        <v>64</v>
      </c>
      <c r="AA2" s="8" t="s">
        <v>19</v>
      </c>
      <c r="AB2" s="9" t="s">
        <v>20</v>
      </c>
      <c r="AC2" s="8" t="s">
        <v>18</v>
      </c>
      <c r="AD2" s="8" t="s">
        <v>21</v>
      </c>
      <c r="AE2" s="8" t="s">
        <v>50</v>
      </c>
      <c r="AF2" s="8" t="s">
        <v>22</v>
      </c>
      <c r="AG2" s="8" t="s">
        <v>23</v>
      </c>
      <c r="AH2" s="8" t="s">
        <v>24</v>
      </c>
      <c r="AI2" s="8" t="s">
        <v>25</v>
      </c>
      <c r="AJ2" s="8" t="s">
        <v>52</v>
      </c>
      <c r="AK2" s="8" t="s">
        <v>116</v>
      </c>
      <c r="AL2" s="8" t="s">
        <v>103</v>
      </c>
      <c r="AM2" s="8" t="s">
        <v>110</v>
      </c>
      <c r="AN2" s="8" t="s">
        <v>142</v>
      </c>
      <c r="AO2" s="8" t="s">
        <v>143</v>
      </c>
      <c r="AP2" s="8" t="s">
        <v>144</v>
      </c>
      <c r="AQ2" s="8" t="s">
        <v>27</v>
      </c>
      <c r="AR2" s="8" t="s">
        <v>551</v>
      </c>
      <c r="AS2" s="8" t="s">
        <v>28</v>
      </c>
      <c r="AT2" s="8" t="s">
        <v>26</v>
      </c>
      <c r="AU2" s="8" t="s">
        <v>66</v>
      </c>
      <c r="AV2" s="8" t="s">
        <v>552</v>
      </c>
      <c r="AW2" s="8" t="s">
        <v>67</v>
      </c>
      <c r="AX2" s="8" t="s">
        <v>55</v>
      </c>
      <c r="AY2" s="8" t="s">
        <v>56</v>
      </c>
      <c r="AZ2" s="8" t="s">
        <v>57</v>
      </c>
      <c r="BA2" s="8" t="s">
        <v>58</v>
      </c>
      <c r="BB2" s="8" t="s">
        <v>59</v>
      </c>
      <c r="BC2" s="8" t="s">
        <v>60</v>
      </c>
      <c r="BD2" s="8" t="s">
        <v>62</v>
      </c>
      <c r="BE2" s="8" t="s">
        <v>368</v>
      </c>
      <c r="BF2" s="8" t="s">
        <v>316</v>
      </c>
      <c r="BG2" s="8" t="s">
        <v>317</v>
      </c>
      <c r="BH2" s="8" t="s">
        <v>318</v>
      </c>
      <c r="BI2" s="8" t="s">
        <v>319</v>
      </c>
      <c r="BJ2" s="8" t="s">
        <v>320</v>
      </c>
      <c r="BK2" s="8" t="s">
        <v>321</v>
      </c>
      <c r="BL2" s="8" t="s">
        <v>322</v>
      </c>
      <c r="BM2" s="8" t="s">
        <v>323</v>
      </c>
      <c r="BN2" s="8" t="s">
        <v>324</v>
      </c>
      <c r="BO2" s="8" t="s">
        <v>325</v>
      </c>
      <c r="BP2" s="8" t="s">
        <v>55</v>
      </c>
      <c r="BQ2" s="8" t="s">
        <v>326</v>
      </c>
      <c r="BR2" s="8" t="s">
        <v>327</v>
      </c>
      <c r="BS2" s="8" t="s">
        <v>328</v>
      </c>
      <c r="BT2" s="8" t="s">
        <v>329</v>
      </c>
      <c r="BU2" s="8" t="s">
        <v>330</v>
      </c>
      <c r="BV2" s="8" t="s">
        <v>331</v>
      </c>
      <c r="BW2" s="8" t="s">
        <v>332</v>
      </c>
      <c r="BX2" s="8" t="s">
        <v>335</v>
      </c>
      <c r="BY2" s="8" t="s">
        <v>333</v>
      </c>
      <c r="BZ2" s="8" t="s">
        <v>334</v>
      </c>
      <c r="CA2" s="8" t="s">
        <v>336</v>
      </c>
      <c r="CB2" s="8" t="s">
        <v>337</v>
      </c>
      <c r="CC2" s="8" t="s">
        <v>338</v>
      </c>
      <c r="CD2" s="8" t="s">
        <v>339</v>
      </c>
      <c r="CE2" s="8" t="s">
        <v>297</v>
      </c>
      <c r="CF2" s="8" t="s">
        <v>299</v>
      </c>
      <c r="CG2" s="8" t="s">
        <v>298</v>
      </c>
      <c r="CH2" s="8" t="s">
        <v>342</v>
      </c>
      <c r="CI2" s="8" t="s">
        <v>340</v>
      </c>
      <c r="CJ2" s="8" t="s">
        <v>341</v>
      </c>
      <c r="CK2" s="8" t="s">
        <v>788</v>
      </c>
      <c r="CL2" s="8" t="s">
        <v>787</v>
      </c>
      <c r="CM2" s="8" t="s">
        <v>789</v>
      </c>
      <c r="CN2" s="8" t="s">
        <v>790</v>
      </c>
      <c r="CO2" s="8" t="s">
        <v>791</v>
      </c>
      <c r="CP2" s="8" t="s">
        <v>792</v>
      </c>
      <c r="CQ2" s="8" t="s">
        <v>793</v>
      </c>
      <c r="CR2" s="8" t="s">
        <v>794</v>
      </c>
      <c r="CS2" s="8" t="s">
        <v>792</v>
      </c>
      <c r="CT2" s="8" t="s">
        <v>778</v>
      </c>
      <c r="CU2" s="8" t="s">
        <v>29</v>
      </c>
      <c r="CV2" s="8" t="s">
        <v>30</v>
      </c>
      <c r="CW2" s="8" t="s">
        <v>31</v>
      </c>
    </row>
    <row r="3" spans="1:101" x14ac:dyDescent="0.2">
      <c r="A3" t="str">
        <f>B3&amp;" - "&amp;D3&amp;" - "&amp;IF(I3&lt;&gt;"",I3&amp;" - "&amp;E3,E3)</f>
        <v>Kick Scooter, electric, &lt;1kW - 2020 - NMC - CH</v>
      </c>
      <c r="B3" t="s">
        <v>393</v>
      </c>
      <c r="D3" s="18">
        <v>2020</v>
      </c>
      <c r="E3" t="s">
        <v>37</v>
      </c>
      <c r="F3" t="s">
        <v>138</v>
      </c>
      <c r="G3" t="s">
        <v>39</v>
      </c>
      <c r="H3" t="s">
        <v>32</v>
      </c>
      <c r="I3" t="s">
        <v>43</v>
      </c>
      <c r="J3">
        <v>1785</v>
      </c>
      <c r="K3">
        <v>890</v>
      </c>
      <c r="L3" s="2">
        <f>J3/K3</f>
        <v>2.00561797752809</v>
      </c>
      <c r="M3">
        <v>1</v>
      </c>
      <c r="N3">
        <v>75</v>
      </c>
      <c r="O3">
        <v>0</v>
      </c>
      <c r="P3" s="2">
        <f t="shared" ref="P3:P58" si="0">SUM(U3,V3,W3,AC3,AF3,AH3)</f>
        <v>11.625</v>
      </c>
      <c r="Q3" s="2">
        <f>P3+(M3*N3)+O3</f>
        <v>86.625</v>
      </c>
      <c r="R3">
        <v>0.25</v>
      </c>
      <c r="S3" s="2">
        <v>7</v>
      </c>
      <c r="T3" s="1">
        <v>0</v>
      </c>
      <c r="U3" s="2">
        <f>S3*(1-T3)</f>
        <v>7</v>
      </c>
      <c r="V3">
        <v>0</v>
      </c>
      <c r="W3">
        <v>3</v>
      </c>
      <c r="X3" s="6">
        <v>0.25</v>
      </c>
      <c r="Y3" s="1">
        <v>0.8</v>
      </c>
      <c r="Z3" s="3">
        <f>Y3*X3</f>
        <v>0.2</v>
      </c>
      <c r="AA3" s="3">
        <f>IF(I3&lt;&gt;"",X3/INDEX('energy battery'!$B$3:$D$6,MATCH('vehicles specifications'!$D3,'energy battery'!$A$3:$A$6,0),MATCH('vehicles specifications'!$I3,'energy battery'!$B$2:$D$2,0)),"")</f>
        <v>1.25</v>
      </c>
      <c r="AB3" s="3">
        <f>IF(AA3&lt;&gt;"",0.3*AA3,"")</f>
        <v>0.375</v>
      </c>
      <c r="AC3" s="3">
        <f>IF(AA3&lt;&gt;"",AB3+AA3,"")</f>
        <v>1.625</v>
      </c>
      <c r="AD3">
        <v>0</v>
      </c>
      <c r="AE3">
        <v>0</v>
      </c>
      <c r="AF3">
        <v>0</v>
      </c>
      <c r="AG3">
        <v>0</v>
      </c>
      <c r="AH3">
        <v>0</v>
      </c>
      <c r="AI3">
        <v>0.5</v>
      </c>
      <c r="AJ3">
        <v>1</v>
      </c>
      <c r="AK3">
        <v>0</v>
      </c>
      <c r="AL3">
        <f>0.000537/1000*Q3</f>
        <v>4.6517624999999998E-5</v>
      </c>
      <c r="AM3">
        <v>0</v>
      </c>
      <c r="AN3" s="2">
        <f>U3</f>
        <v>7</v>
      </c>
      <c r="AO3" s="2">
        <f>SUM(V3:W3)</f>
        <v>3</v>
      </c>
      <c r="AP3" s="2">
        <f>AC3</f>
        <v>1.625</v>
      </c>
      <c r="AQ3" s="6" t="s">
        <v>85</v>
      </c>
      <c r="AR3" s="20"/>
      <c r="AS3" s="5">
        <v>8.6126327557294588E-2</v>
      </c>
      <c r="AT3" s="2">
        <f>SUM(Z3,AG3)/(SUM(AQ3,AS3)/3.6)</f>
        <v>8.3598130841121492</v>
      </c>
      <c r="AU3" s="5">
        <v>0</v>
      </c>
      <c r="AV3" s="5">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38">
        <f>VLOOKUP($B3,'abrasion emissions'!$O$7:$R$36,2,FALSE)</f>
        <v>1</v>
      </c>
      <c r="CL3" s="38">
        <f>VLOOKUP($B3,'abrasion emissions'!$O$7:$R$36,3,FALSE)</f>
        <v>0</v>
      </c>
      <c r="CM3" s="38">
        <f>VLOOKUP($B3,'abrasion emissions'!$O$7:$R$36,4,FALSE)</f>
        <v>0</v>
      </c>
      <c r="CN3" s="7">
        <f>((SUMIFS('abrasion emissions'!$M$7:$M$34,'abrasion emissions'!$I$7:$I$34,"PM 2.5",'abrasion emissions'!$J$7:$J$34,"urban",'abrasion emissions'!$K$7:$K$34,"Tyre",'abrasion emissions'!$L$7:$L$34,"b")*POWER(('vehicles specifications'!$Q3/1000),(1/SUMIFS('abrasion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specifications'!$P3/1000),(1/SUMIFS('abrasion emissions'!$M$7:$M$34,'abrasion emissions'!$I$7:$I$34,"PM 10",'abrasion emissions'!$J$7:$J$34,"urban",'abrasion emissions'!$K$7:$K$34,"Tyre",'abrasion emissions'!$L$7:$L$34,"c")))))/1000000</f>
        <v>3.6670377940073381E-6</v>
      </c>
      <c r="CO3" s="7">
        <f>((SUMIFS('abrasion emissions'!$M$7:$M$34,'abrasion emissions'!$I$7:$I$34,"PM 2.5",'abrasion emissions'!$J$7:$J$34,"rural",'abrasion emissions'!$K$7:$K$34,"Tyre",'abrasion emissions'!$L$7:$L$34,"b")*POWER(('vehicles specifications'!$Q3/1000),(1/SUMIFS('abrasion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specifications'!$P3/1000),(1/SUMIFS('abrasion emissions'!$M$7:$M$34,'abrasion emissions'!$I$7:$I$34,"PM 10",'abrasion emissions'!$J$7:$J$34,"rural",'abrasion emissions'!$K$7:$K$34,"Tyre",'abrasion emissions'!$L$7:$L$34,"c")))))/1000000</f>
        <v>2.8582103773939091E-6</v>
      </c>
      <c r="CP3" s="7">
        <f>((SUMIFS('abrasion emissions'!$M$7:$M$34,'abrasion emissions'!$I$7:$I$34,"PM 2.5",'abrasion emissions'!$J$7:$J$34,"motorway",'abrasion emissions'!$K$7:$K$34,"Tyre",'abrasion emissions'!$L$7:$L$34,"b")*POWER(('vehicles specifications'!$Q3/1000),(1/SUMIFS('abrasion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specifications'!$P3/1000),(1/SUMIFS('abrasion emissions'!$M$7:$M$34,'abrasion emissions'!$I$7:$I$34,"PM 10",'abrasion emissions'!$J$7:$J$34,"motorway",'abrasion emissions'!$K$7:$K$34,"Tyre",'abrasion emissions'!$L$7:$L$34,"c")))))/1000000</f>
        <v>2.4465883084015334E-6</v>
      </c>
      <c r="CQ3" s="7">
        <f>((SUMIFS('abrasion emissions'!$M$7:$M$34,'abrasion emissions'!$I$7:$I$34,"PM 2.5",'abrasion emissions'!$J$7:$J$34,"urban",'abrasion emissions'!$K$7:$K$34,"Brake",'abrasion emissions'!$L$7:$L$34,"b")*POWER(('vehicles specifications'!$Q3/1000),(1/SUMIFS('abrasion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specifications'!$P3/1000),(1/SUMIFS('abrasion emissions'!$M$7:$M$34,'abrasion emissions'!$I$7:$I$34,"PM 10",'abrasion emissions'!$J$7:$J$34,"urban",'abrasion emissions'!$K$7:$K$34,"Brake",'abrasion emissions'!$L$7:$L$34,"c")))))/1000000</f>
        <v>3.4384404710387182E-6</v>
      </c>
      <c r="CR3" s="7">
        <f>((SUMIFS('abrasion emissions'!$M$7:$M$34,'abrasion emissions'!$I$7:$I$34,"PM 2.5",'abrasion emissions'!$J$7:$J$34,"rural",'abrasion emissions'!$K$7:$K$34,"Brake",'abrasion emissions'!$L$7:$L$34,"b")*POWER(('vehicles specifications'!$Q3/1000),(1/SUMIFS('abrasion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specifications'!$P3/1000),(1/SUMIFS('abrasion emissions'!$M$7:$M$34,'abrasion emissions'!$I$7:$I$34,"PM 10",'abrasion emissions'!$J$7:$J$34,"rural",'abrasion emissions'!$K$7:$K$34,"Brake",'abrasion emissions'!$L$7:$L$34,"c")))))/1000000</f>
        <v>9.7336825779564538E-7</v>
      </c>
      <c r="CS3" s="7">
        <f>((SUMIFS('abrasion emissions'!$M$7:$M$34,'abrasion emissions'!$I$7:$I$34,"PM 2.5",'abrasion emissions'!$J$7:$J$34,"motorway",'abrasion emissions'!$K$7:$K$34,"Brake",'abrasion emissions'!$L$7:$L$34,"b")*POWER(('vehicles specifications'!$Q3/1000),(1/SUMIFS('abrasion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specifications'!$P3/1000),(1/SUMIFS('abrasion emissions'!$M$7:$M$34,'abrasion emissions'!$I$7:$I$34,"PM 10",'abrasion emissions'!$J$7:$J$34,"motorway",'abrasion emissions'!$K$7:$K$34,"Brake",'abrasion emissions'!$L$7:$L$34,"c")))))/1000000</f>
        <v>1.653347068395517E-7</v>
      </c>
      <c r="CT3" s="7">
        <f>((SUMIFS('abrasion emissions'!$M$7:$M$38,'abrasion emissions'!$I$7:$I$38,"PM 2.5",'abrasion emissions'!$K$7:$K$38,"Re-susp.",'abrasion emissions'!$L$7:$L$38,"b")*POWER(('vehicles specifications'!$Q3/1000),(1/SUMIFS('abrasion emissions'!$M$7:$M$38,'abrasion emissions'!$I$7:$I$38,"PM 2.5",'abrasion emissions'!$K$7:$K$38,"Re-susp.",'abrasion emissions'!$L$7:$L$38,"c"))))+
(SUMIFS('abrasion emissions'!$M$7:$M$38,'abrasion emissions'!$I$7:$I$38,"PM 10",'abrasion emissions'!$K$7:$K$38,"Re-susp.",'abrasion emissions'!$L$7:$L$38,"b")*POWER(('vehicles specifications'!$Q3/1000),(1/SUMIFS('abrasion emissions'!$M$7:$M$38,'abrasion emissions'!$I$7:$I$38,"PM 10",'abrasion emissions'!$K$7:$K$38,"Re-susp.",'abrasion emissions'!$L$7:$L$38,"c")))))/1000000</f>
        <v>1.7744549676753838E-6</v>
      </c>
      <c r="CU3" s="7">
        <f>((SUMIFS('abrasion emissions'!$M$7:$M$38,'abrasion emissions'!$I$7:$I$38,"PM 2.5",'abrasion emissions'!$K$7:$K$38,"Road",'abrasion emissions'!$L$7:$L$38,"b")*POWER(('vehicles specifications'!$Q3/1000),(1/SUMIFS('abrasion emissions'!$M$7:$M$38,'abrasion emissions'!$I$7:$I$38,"PM 2.5",'abrasion emissions'!$K$7:$K$38,"Road",'abrasion emissions'!$L$7:$L$38,"c"))))+
(SUMIFS('abrasion emissions'!$M$7:$M$38,'abrasion emissions'!$I$7:$I$38,"PM 10",'abrasion emissions'!$K$7:$K$38,"Road",'abrasion emissions'!$L$7:$L$38,"b")*POWER(('vehicles specifications'!$Q3/1000),(1/SUMIFS('abrasion emissions'!$M$7:$M$38,'abrasion emissions'!$I$7:$I$38,"PM 10",'abrasion emissions'!$K$7:$K$38,"Road",'abrasion emissions'!$L$7:$L$38,"c")))))/1000000+CT3</f>
        <v>3.7713826473806454E-6</v>
      </c>
      <c r="CV3" s="7">
        <f>(CK3*CN3)+(CL3*CO3)+(CM3*CP3)</f>
        <v>3.6670377940073381E-6</v>
      </c>
      <c r="CW3" s="7">
        <f>(CK3*CQ3)+(CL3*CR3)+(CM3*CS3)</f>
        <v>3.4384404710387182E-6</v>
      </c>
    </row>
    <row r="4" spans="1:101" x14ac:dyDescent="0.2">
      <c r="A4" t="str">
        <f t="shared" ref="A4:A115" si="1">B4&amp;" - "&amp;D4&amp;" - "&amp;IF(I4&lt;&gt;"",I4&amp;" - "&amp;E4,E4)</f>
        <v>Kick Scooter, electric, &lt;1kW - 2030 - NMC - CH</v>
      </c>
      <c r="B4" t="s">
        <v>393</v>
      </c>
      <c r="D4" s="18">
        <v>2030</v>
      </c>
      <c r="E4" t="s">
        <v>37</v>
      </c>
      <c r="F4" t="s">
        <v>138</v>
      </c>
      <c r="G4" t="s">
        <v>39</v>
      </c>
      <c r="H4" t="s">
        <v>32</v>
      </c>
      <c r="I4" t="s">
        <v>43</v>
      </c>
      <c r="J4">
        <v>1785</v>
      </c>
      <c r="K4">
        <v>890</v>
      </c>
      <c r="L4" s="2">
        <f t="shared" ref="L4:L105" si="2">J4/K4</f>
        <v>2.00561797752809</v>
      </c>
      <c r="M4">
        <v>1</v>
      </c>
      <c r="N4">
        <v>75</v>
      </c>
      <c r="O4">
        <v>0</v>
      </c>
      <c r="P4" s="2">
        <f t="shared" si="0"/>
        <v>10.99</v>
      </c>
      <c r="Q4" s="2">
        <f t="shared" ref="Q4:Q105" si="3">P4+(M4*N4)+O4</f>
        <v>85.99</v>
      </c>
      <c r="R4">
        <v>0.25</v>
      </c>
      <c r="S4" s="2">
        <v>7</v>
      </c>
      <c r="T4" s="1">
        <v>0.03</v>
      </c>
      <c r="U4" s="2">
        <f t="shared" ref="U4:U84" si="4">S4*(1-T4)</f>
        <v>6.79</v>
      </c>
      <c r="V4">
        <v>0</v>
      </c>
      <c r="W4">
        <v>2.9</v>
      </c>
      <c r="X4" s="6">
        <v>0.3</v>
      </c>
      <c r="Y4" s="1">
        <v>0.8</v>
      </c>
      <c r="Z4" s="3">
        <f t="shared" ref="Z4:Z105" si="5">Y4*X4</f>
        <v>0.24</v>
      </c>
      <c r="AA4" s="3">
        <f>IF(I4&lt;&gt;"",X4/INDEX('energy battery'!$B$3:$D$6,MATCH('vehicles specifications'!$D4,'energy battery'!$A$3:$A$6,0),MATCH('vehicles specifications'!$I4,'energy battery'!$B$2:$D$2,0)),"")</f>
        <v>1</v>
      </c>
      <c r="AB4" s="3">
        <f t="shared" ref="AB4:AB115" si="6">IF(AA4&lt;&gt;"",0.3*AA4,"")</f>
        <v>0.3</v>
      </c>
      <c r="AC4" s="3">
        <f t="shared" ref="AC4:AC115" si="7">IF(AA4&lt;&gt;"",AB4+AA4,"")</f>
        <v>1.3</v>
      </c>
      <c r="AD4">
        <v>0</v>
      </c>
      <c r="AE4">
        <v>0</v>
      </c>
      <c r="AF4">
        <v>0</v>
      </c>
      <c r="AG4">
        <v>0</v>
      </c>
      <c r="AH4">
        <v>0</v>
      </c>
      <c r="AI4">
        <v>0.5</v>
      </c>
      <c r="AJ4">
        <v>1</v>
      </c>
      <c r="AK4">
        <v>0</v>
      </c>
      <c r="AL4">
        <f t="shared" ref="AL4:AL30" si="8">0.000537/1000*Q4</f>
        <v>4.6176629999999996E-5</v>
      </c>
      <c r="AM4">
        <v>0</v>
      </c>
      <c r="AN4" s="2">
        <f t="shared" ref="AN4:AN105" si="9">U4</f>
        <v>6.79</v>
      </c>
      <c r="AO4" s="2">
        <f t="shared" ref="AO4:AO105" si="10">SUM(V4:W4)</f>
        <v>2.9</v>
      </c>
      <c r="AP4" s="2">
        <f t="shared" ref="AP4:AP105" si="11">AC4</f>
        <v>1.3</v>
      </c>
      <c r="AQ4" s="6" t="s">
        <v>85</v>
      </c>
      <c r="AR4" s="20"/>
      <c r="AS4" s="5">
        <v>8.6126327557294588E-2</v>
      </c>
      <c r="AT4" s="2">
        <f t="shared" ref="AT4:AT67" si="12">SUM(Z4,AG4)/(SUM(AQ4,AS4)/3.6)</f>
        <v>10.031775700934579</v>
      </c>
      <c r="AU4" s="5">
        <v>0</v>
      </c>
      <c r="AV4" s="5">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v>
      </c>
      <c r="BP4" s="7">
        <v>0</v>
      </c>
      <c r="BQ4" s="7">
        <v>0</v>
      </c>
      <c r="BR4" s="7">
        <v>0</v>
      </c>
      <c r="BS4" s="7">
        <v>0</v>
      </c>
      <c r="BT4" s="7">
        <v>0</v>
      </c>
      <c r="BU4" s="7">
        <v>0</v>
      </c>
      <c r="BV4" s="7">
        <v>0</v>
      </c>
      <c r="BW4" s="7">
        <v>0</v>
      </c>
      <c r="BX4" s="7">
        <v>0</v>
      </c>
      <c r="BY4" s="7">
        <v>0</v>
      </c>
      <c r="BZ4" s="7">
        <v>0</v>
      </c>
      <c r="CA4" s="7">
        <v>0</v>
      </c>
      <c r="CB4" s="7">
        <v>0</v>
      </c>
      <c r="CC4" s="7">
        <v>0</v>
      </c>
      <c r="CD4" s="7">
        <v>0</v>
      </c>
      <c r="CE4" s="7">
        <v>0</v>
      </c>
      <c r="CF4" s="7">
        <v>0</v>
      </c>
      <c r="CG4" s="7">
        <v>0</v>
      </c>
      <c r="CH4" s="7">
        <v>0</v>
      </c>
      <c r="CI4" s="7">
        <v>0</v>
      </c>
      <c r="CJ4" s="7">
        <v>0</v>
      </c>
      <c r="CK4" s="38">
        <f>VLOOKUP($B4,'abrasion emissions'!$O$7:$R$36,2,FALSE)</f>
        <v>1</v>
      </c>
      <c r="CL4" s="38">
        <f>VLOOKUP($B4,'abrasion emissions'!$O$7:$R$36,3,FALSE)</f>
        <v>0</v>
      </c>
      <c r="CM4" s="38">
        <f>VLOOKUP($B4,'abrasion emissions'!$O$7:$R$36,4,FALSE)</f>
        <v>0</v>
      </c>
      <c r="CN4" s="7">
        <f>((SUMIFS('abrasion emissions'!$M$7:$M$34,'abrasion emissions'!$I$7:$I$34,"PM 2.5",'abrasion emissions'!$J$7:$J$34,"urban",'abrasion emissions'!$K$7:$K$34,"Tyre",'abrasion emissions'!$L$7:$L$34,"b")*POWER(('vehicles specifications'!$Q4/1000),(1/SUMIFS('abrasion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specifications'!$P4/1000),(1/SUMIFS('abrasion emissions'!$M$7:$M$34,'abrasion emissions'!$I$7:$I$34,"PM 10",'abrasion emissions'!$J$7:$J$34,"urban",'abrasion emissions'!$K$7:$K$34,"Tyre",'abrasion emissions'!$L$7:$L$34,"c")))))/1000000</f>
        <v>3.6378224682804953E-6</v>
      </c>
      <c r="CO4" s="7">
        <f>((SUMIFS('abrasion emissions'!$M$7:$M$34,'abrasion emissions'!$I$7:$I$34,"PM 2.5",'abrasion emissions'!$J$7:$J$34,"rural",'abrasion emissions'!$K$7:$K$34,"Tyre",'abrasion emissions'!$L$7:$L$34,"b")*POWER(('vehicles specifications'!$Q4/1000),(1/SUMIFS('abrasion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specifications'!$P4/1000),(1/SUMIFS('abrasion emissions'!$M$7:$M$34,'abrasion emissions'!$I$7:$I$34,"PM 10",'abrasion emissions'!$J$7:$J$34,"rural",'abrasion emissions'!$K$7:$K$34,"Tyre",'abrasion emissions'!$L$7:$L$34,"c")))))/1000000</f>
        <v>2.835501492280302E-6</v>
      </c>
      <c r="CP4" s="7">
        <f>((SUMIFS('abrasion emissions'!$M$7:$M$34,'abrasion emissions'!$I$7:$I$34,"PM 2.5",'abrasion emissions'!$J$7:$J$34,"motorway",'abrasion emissions'!$K$7:$K$34,"Tyre",'abrasion emissions'!$L$7:$L$34,"b")*POWER(('vehicles specifications'!$Q4/1000),(1/SUMIFS('abrasion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specifications'!$P4/1000),(1/SUMIFS('abrasion emissions'!$M$7:$M$34,'abrasion emissions'!$I$7:$I$34,"PM 10",'abrasion emissions'!$J$7:$J$34,"motorway",'abrasion emissions'!$K$7:$K$34,"Tyre",'abrasion emissions'!$L$7:$L$34,"c")))))/1000000</f>
        <v>2.4273065587582286E-6</v>
      </c>
      <c r="CQ4" s="7">
        <f>((SUMIFS('abrasion emissions'!$M$7:$M$34,'abrasion emissions'!$I$7:$I$34,"PM 2.5",'abrasion emissions'!$J$7:$J$34,"urban",'abrasion emissions'!$K$7:$K$34,"Brake",'abrasion emissions'!$L$7:$L$34,"b")*POWER(('vehicles specifications'!$Q4/1000),(1/SUMIFS('abrasion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specifications'!$P4/1000),(1/SUMIFS('abrasion emissions'!$M$7:$M$34,'abrasion emissions'!$I$7:$I$34,"PM 10",'abrasion emissions'!$J$7:$J$34,"urban",'abrasion emissions'!$K$7:$K$34,"Brake",'abrasion emissions'!$L$7:$L$34,"c")))))/1000000</f>
        <v>3.4149752509675722E-6</v>
      </c>
      <c r="CR4" s="7">
        <f>((SUMIFS('abrasion emissions'!$M$7:$M$34,'abrasion emissions'!$I$7:$I$34,"PM 2.5",'abrasion emissions'!$J$7:$J$34,"rural",'abrasion emissions'!$K$7:$K$34,"Brake",'abrasion emissions'!$L$7:$L$34,"b")*POWER(('vehicles specifications'!$Q4/1000),(1/SUMIFS('abrasion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specifications'!$P4/1000),(1/SUMIFS('abrasion emissions'!$M$7:$M$34,'abrasion emissions'!$I$7:$I$34,"PM 10",'abrasion emissions'!$J$7:$J$34,"rural",'abrasion emissions'!$K$7:$K$34,"Brake",'abrasion emissions'!$L$7:$L$34,"c")))))/1000000</f>
        <v>9.6566243305818366E-7</v>
      </c>
      <c r="CS4" s="7">
        <f>((SUMIFS('abrasion emissions'!$M$7:$M$34,'abrasion emissions'!$I$7:$I$34,"PM 2.5",'abrasion emissions'!$J$7:$J$34,"motorway",'abrasion emissions'!$K$7:$K$34,"Brake",'abrasion emissions'!$L$7:$L$34,"b")*POWER(('vehicles specifications'!$Q4/1000),(1/SUMIFS('abrasion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specifications'!$P4/1000),(1/SUMIFS('abrasion emissions'!$M$7:$M$34,'abrasion emissions'!$I$7:$I$34,"PM 10",'abrasion emissions'!$J$7:$J$34,"motorway",'abrasion emissions'!$K$7:$K$34,"Brake",'abrasion emissions'!$L$7:$L$34,"c")))))/1000000</f>
        <v>1.6392528011531908E-7</v>
      </c>
      <c r="CT4" s="7">
        <f>((SUMIFS('abrasion emissions'!$M$7:$M$38,'abrasion emissions'!$I$7:$I$38,"PM 2.5",'abrasion emissions'!$K$7:$K$38,"Re-susp.",'abrasion emissions'!$L$7:$L$38,"b")*POWER(('vehicles specifications'!$Q4/1000),(1/SUMIFS('abrasion emissions'!$M$7:$M$38,'abrasion emissions'!$I$7:$I$38,"PM 2.5",'abrasion emissions'!$K$7:$K$38,"Re-susp.",'abrasion emissions'!$L$7:$L$38,"c"))))+
(SUMIFS('abrasion emissions'!$M$7:$M$38,'abrasion emissions'!$I$7:$I$38,"PM 10",'abrasion emissions'!$K$7:$K$38,"Re-susp.",'abrasion emissions'!$L$7:$L$38,"b")*POWER(('vehicles specifications'!$Q4/1000),(1/SUMIFS('abrasion emissions'!$M$7:$M$38,'abrasion emissions'!$I$7:$I$38,"PM 10",'abrasion emissions'!$K$7:$K$38,"Re-susp.",'abrasion emissions'!$L$7:$L$38,"c")))))/1000000</f>
        <v>1.7626259727466223E-6</v>
      </c>
      <c r="CU4" s="7">
        <f>((SUMIFS('abrasion emissions'!$M$7:$M$38,'abrasion emissions'!$I$7:$I$38,"PM 2.5",'abrasion emissions'!$K$7:$K$38,"Road",'abrasion emissions'!$L$7:$L$38,"b")*POWER(('vehicles specifications'!$Q4/1000),(1/SUMIFS('abrasion emissions'!$M$7:$M$38,'abrasion emissions'!$I$7:$I$38,"PM 2.5",'abrasion emissions'!$K$7:$K$38,"Road",'abrasion emissions'!$L$7:$L$38,"c"))))+
(SUMIFS('abrasion emissions'!$M$7:$M$38,'abrasion emissions'!$I$7:$I$38,"PM 10",'abrasion emissions'!$K$7:$K$38,"Road",'abrasion emissions'!$L$7:$L$38,"b")*POWER(('vehicles specifications'!$Q4/1000),(1/SUMIFS('abrasion emissions'!$M$7:$M$38,'abrasion emissions'!$I$7:$I$38,"PM 10",'abrasion emissions'!$K$7:$K$38,"Road",'abrasion emissions'!$L$7:$L$38,"c")))))/1000000+CT4</f>
        <v>3.7497827751187205E-6</v>
      </c>
      <c r="CV4" s="7">
        <f t="shared" ref="CV4:CV67" si="13">(CK4*CN4)+(CL4*CO4)+(CM4*CP4)</f>
        <v>3.6378224682804953E-6</v>
      </c>
      <c r="CW4" s="7">
        <f t="shared" ref="CW4:CW67" si="14">(CK4*CQ4)+(CL4*CR4)+(CM4*CS4)</f>
        <v>3.4149752509675722E-6</v>
      </c>
    </row>
    <row r="5" spans="1:101" x14ac:dyDescent="0.2">
      <c r="A5" t="str">
        <f t="shared" si="1"/>
        <v>Kick Scooter, electric, &lt;1kW - 2040 - NMC - CH</v>
      </c>
      <c r="B5" t="s">
        <v>393</v>
      </c>
      <c r="D5" s="18">
        <v>2040</v>
      </c>
      <c r="E5" t="s">
        <v>37</v>
      </c>
      <c r="F5" t="s">
        <v>138</v>
      </c>
      <c r="G5" t="s">
        <v>39</v>
      </c>
      <c r="H5" t="s">
        <v>32</v>
      </c>
      <c r="I5" t="s">
        <v>43</v>
      </c>
      <c r="J5">
        <v>1785</v>
      </c>
      <c r="K5">
        <v>890</v>
      </c>
      <c r="L5" s="2">
        <f t="shared" si="2"/>
        <v>2.00561797752809</v>
      </c>
      <c r="M5">
        <v>1</v>
      </c>
      <c r="N5">
        <v>75</v>
      </c>
      <c r="O5">
        <v>0</v>
      </c>
      <c r="P5" s="2">
        <f t="shared" si="0"/>
        <v>10.75</v>
      </c>
      <c r="Q5" s="2">
        <f t="shared" si="3"/>
        <v>85.75</v>
      </c>
      <c r="R5">
        <v>0.25</v>
      </c>
      <c r="S5" s="2">
        <v>7</v>
      </c>
      <c r="T5" s="1">
        <v>0.05</v>
      </c>
      <c r="U5" s="2">
        <f t="shared" si="4"/>
        <v>6.6499999999999995</v>
      </c>
      <c r="V5">
        <v>0</v>
      </c>
      <c r="W5">
        <v>2.8</v>
      </c>
      <c r="X5" s="6">
        <v>0.4</v>
      </c>
      <c r="Y5" s="1">
        <v>0.8</v>
      </c>
      <c r="Z5" s="3">
        <f t="shared" si="5"/>
        <v>0.32000000000000006</v>
      </c>
      <c r="AA5" s="3">
        <f>IF(I5&lt;&gt;"",X5/INDEX('energy battery'!$B$3:$D$6,MATCH('vehicles specifications'!$D5,'energy battery'!$A$3:$A$6,0),MATCH('vehicles specifications'!$I5,'energy battery'!$B$2:$D$2,0)),"")</f>
        <v>1</v>
      </c>
      <c r="AB5" s="3">
        <f t="shared" si="6"/>
        <v>0.3</v>
      </c>
      <c r="AC5" s="3">
        <f t="shared" si="7"/>
        <v>1.3</v>
      </c>
      <c r="AD5">
        <v>0</v>
      </c>
      <c r="AE5">
        <v>0</v>
      </c>
      <c r="AF5">
        <v>0</v>
      </c>
      <c r="AG5">
        <v>0</v>
      </c>
      <c r="AH5">
        <v>0</v>
      </c>
      <c r="AI5">
        <v>0.5</v>
      </c>
      <c r="AJ5">
        <v>1</v>
      </c>
      <c r="AK5">
        <v>0</v>
      </c>
      <c r="AL5">
        <f t="shared" si="8"/>
        <v>4.604775E-5</v>
      </c>
      <c r="AM5">
        <v>0</v>
      </c>
      <c r="AN5" s="2">
        <f t="shared" si="9"/>
        <v>6.6499999999999995</v>
      </c>
      <c r="AO5" s="2">
        <f t="shared" si="10"/>
        <v>2.8</v>
      </c>
      <c r="AP5" s="2">
        <f t="shared" si="11"/>
        <v>1.3</v>
      </c>
      <c r="AQ5" s="6" t="s">
        <v>85</v>
      </c>
      <c r="AR5" s="20"/>
      <c r="AS5" s="5">
        <v>8.6126327557294588E-2</v>
      </c>
      <c r="AT5" s="2">
        <f t="shared" si="12"/>
        <v>13.375700934579442</v>
      </c>
      <c r="AU5" s="5">
        <v>0</v>
      </c>
      <c r="AV5" s="5">
        <v>0</v>
      </c>
      <c r="AW5" s="7">
        <v>0</v>
      </c>
      <c r="AX5" s="7">
        <v>0</v>
      </c>
      <c r="AY5" s="7">
        <v>0</v>
      </c>
      <c r="AZ5" s="7">
        <v>0</v>
      </c>
      <c r="BA5" s="7">
        <v>0</v>
      </c>
      <c r="BB5" s="7">
        <v>0</v>
      </c>
      <c r="BC5" s="7">
        <v>0</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7">
        <v>0</v>
      </c>
      <c r="BY5" s="7">
        <v>0</v>
      </c>
      <c r="BZ5" s="7">
        <v>0</v>
      </c>
      <c r="CA5" s="7">
        <v>0</v>
      </c>
      <c r="CB5" s="7">
        <v>0</v>
      </c>
      <c r="CC5" s="7">
        <v>0</v>
      </c>
      <c r="CD5" s="7">
        <v>0</v>
      </c>
      <c r="CE5" s="7">
        <v>0</v>
      </c>
      <c r="CF5" s="7">
        <v>0</v>
      </c>
      <c r="CG5" s="7">
        <v>0</v>
      </c>
      <c r="CH5" s="7">
        <v>0</v>
      </c>
      <c r="CI5" s="7">
        <v>0</v>
      </c>
      <c r="CJ5" s="7">
        <v>0</v>
      </c>
      <c r="CK5" s="38">
        <f>VLOOKUP($B5,'abrasion emissions'!$O$7:$R$36,2,FALSE)</f>
        <v>1</v>
      </c>
      <c r="CL5" s="38">
        <f>VLOOKUP($B5,'abrasion emissions'!$O$7:$R$36,3,FALSE)</f>
        <v>0</v>
      </c>
      <c r="CM5" s="38">
        <f>VLOOKUP($B5,'abrasion emissions'!$O$7:$R$36,4,FALSE)</f>
        <v>0</v>
      </c>
      <c r="CN5" s="7">
        <f>((SUMIFS('abrasion emissions'!$M$7:$M$34,'abrasion emissions'!$I$7:$I$34,"PM 2.5",'abrasion emissions'!$J$7:$J$34,"urban",'abrasion emissions'!$K$7:$K$34,"Tyre",'abrasion emissions'!$L$7:$L$34,"b")*POWER(('vehicles specifications'!$Q5/1000),(1/SUMIFS('abrasion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specifications'!$P5/1000),(1/SUMIFS('abrasion emissions'!$M$7:$M$34,'abrasion emissions'!$I$7:$I$34,"PM 10",'abrasion emissions'!$J$7:$J$34,"urban",'abrasion emissions'!$K$7:$K$34,"Tyre",'abrasion emissions'!$L$7:$L$34,"c")))))/1000000</f>
        <v>3.6265994283366797E-6</v>
      </c>
      <c r="CO5" s="7">
        <f>((SUMIFS('abrasion emissions'!$M$7:$M$34,'abrasion emissions'!$I$7:$I$34,"PM 2.5",'abrasion emissions'!$J$7:$J$34,"rural",'abrasion emissions'!$K$7:$K$34,"Tyre",'abrasion emissions'!$L$7:$L$34,"b")*POWER(('vehicles specifications'!$Q5/1000),(1/SUMIFS('abrasion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specifications'!$P5/1000),(1/SUMIFS('abrasion emissions'!$M$7:$M$34,'abrasion emissions'!$I$7:$I$34,"PM 10",'abrasion emissions'!$J$7:$J$34,"rural",'abrasion emissions'!$K$7:$K$34,"Tyre",'abrasion emissions'!$L$7:$L$34,"c")))))/1000000</f>
        <v>2.826778109088605E-6</v>
      </c>
      <c r="CP5" s="7">
        <f>((SUMIFS('abrasion emissions'!$M$7:$M$34,'abrasion emissions'!$I$7:$I$34,"PM 2.5",'abrasion emissions'!$J$7:$J$34,"motorway",'abrasion emissions'!$K$7:$K$34,"Tyre",'abrasion emissions'!$L$7:$L$34,"b")*POWER(('vehicles specifications'!$Q5/1000),(1/SUMIFS('abrasion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specifications'!$P5/1000),(1/SUMIFS('abrasion emissions'!$M$7:$M$34,'abrasion emissions'!$I$7:$I$34,"PM 10",'abrasion emissions'!$J$7:$J$34,"motorway",'abrasion emissions'!$K$7:$K$34,"Tyre",'abrasion emissions'!$L$7:$L$34,"c")))))/1000000</f>
        <v>2.4199002115490691E-6</v>
      </c>
      <c r="CQ5" s="7">
        <f>((SUMIFS('abrasion emissions'!$M$7:$M$34,'abrasion emissions'!$I$7:$I$34,"PM 2.5",'abrasion emissions'!$J$7:$J$34,"urban",'abrasion emissions'!$K$7:$K$34,"Brake",'abrasion emissions'!$L$7:$L$34,"b")*POWER(('vehicles specifications'!$Q5/1000),(1/SUMIFS('abrasion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specifications'!$P5/1000),(1/SUMIFS('abrasion emissions'!$M$7:$M$34,'abrasion emissions'!$I$7:$I$34,"PM 10",'abrasion emissions'!$J$7:$J$34,"urban",'abrasion emissions'!$K$7:$K$34,"Brake",'abrasion emissions'!$L$7:$L$34,"c")))))/1000000</f>
        <v>3.4060125107571902E-6</v>
      </c>
      <c r="CR5" s="7">
        <f>((SUMIFS('abrasion emissions'!$M$7:$M$34,'abrasion emissions'!$I$7:$I$34,"PM 2.5",'abrasion emissions'!$J$7:$J$34,"rural",'abrasion emissions'!$K$7:$K$34,"Brake",'abrasion emissions'!$L$7:$L$34,"b")*POWER(('vehicles specifications'!$Q5/1000),(1/SUMIFS('abrasion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specifications'!$P5/1000),(1/SUMIFS('abrasion emissions'!$M$7:$M$34,'abrasion emissions'!$I$7:$I$34,"PM 10",'abrasion emissions'!$J$7:$J$34,"rural",'abrasion emissions'!$K$7:$K$34,"Brake",'abrasion emissions'!$L$7:$L$34,"c")))))/1000000</f>
        <v>9.6273030903555574E-7</v>
      </c>
      <c r="CS5" s="7">
        <f>((SUMIFS('abrasion emissions'!$M$7:$M$34,'abrasion emissions'!$I$7:$I$34,"PM 2.5",'abrasion emissions'!$J$7:$J$34,"motorway",'abrasion emissions'!$K$7:$K$34,"Brake",'abrasion emissions'!$L$7:$L$34,"b")*POWER(('vehicles specifications'!$Q5/1000),(1/SUMIFS('abrasion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specifications'!$P5/1000),(1/SUMIFS('abrasion emissions'!$M$7:$M$34,'abrasion emissions'!$I$7:$I$34,"PM 10",'abrasion emissions'!$J$7:$J$34,"motorway",'abrasion emissions'!$K$7:$K$34,"Brake",'abrasion emissions'!$L$7:$L$34,"c")))))/1000000</f>
        <v>1.6339030836720791E-7</v>
      </c>
      <c r="CT5" s="7">
        <f>((SUMIFS('abrasion emissions'!$M$7:$M$38,'abrasion emissions'!$I$7:$I$38,"PM 2.5",'abrasion emissions'!$K$7:$K$38,"Re-susp.",'abrasion emissions'!$L$7:$L$38,"b")*POWER(('vehicles specifications'!$Q5/1000),(1/SUMIFS('abrasion emissions'!$M$7:$M$38,'abrasion emissions'!$I$7:$I$38,"PM 2.5",'abrasion emissions'!$K$7:$K$38,"Re-susp.",'abrasion emissions'!$L$7:$L$38,"c"))))+
(SUMIFS('abrasion emissions'!$M$7:$M$38,'abrasion emissions'!$I$7:$I$38,"PM 10",'abrasion emissions'!$K$7:$K$38,"Re-susp.",'abrasion emissions'!$L$7:$L$38,"b")*POWER(('vehicles specifications'!$Q5/1000),(1/SUMIFS('abrasion emissions'!$M$7:$M$38,'abrasion emissions'!$I$7:$I$38,"PM 10",'abrasion emissions'!$K$7:$K$38,"Re-susp.",'abrasion emissions'!$L$7:$L$38,"c")))))/1000000</f>
        <v>1.7581531063923127E-6</v>
      </c>
      <c r="CU5" s="7">
        <f>((SUMIFS('abrasion emissions'!$M$7:$M$38,'abrasion emissions'!$I$7:$I$38,"PM 2.5",'abrasion emissions'!$K$7:$K$38,"Road",'abrasion emissions'!$L$7:$L$38,"b")*POWER(('vehicles specifications'!$Q5/1000),(1/SUMIFS('abrasion emissions'!$M$7:$M$38,'abrasion emissions'!$I$7:$I$38,"PM 2.5",'abrasion emissions'!$K$7:$K$38,"Road",'abrasion emissions'!$L$7:$L$38,"c"))))+
(SUMIFS('abrasion emissions'!$M$7:$M$38,'abrasion emissions'!$I$7:$I$38,"PM 10",'abrasion emissions'!$K$7:$K$38,"Road",'abrasion emissions'!$L$7:$L$38,"b")*POWER(('vehicles specifications'!$Q5/1000),(1/SUMIFS('abrasion emissions'!$M$7:$M$38,'abrasion emissions'!$I$7:$I$38,"PM 10",'abrasion emissions'!$K$7:$K$38,"Road",'abrasion emissions'!$L$7:$L$38,"c")))))/1000000+CT5</f>
        <v>3.7416107208265778E-6</v>
      </c>
      <c r="CV5" s="7">
        <f t="shared" si="13"/>
        <v>3.6265994283366797E-6</v>
      </c>
      <c r="CW5" s="7">
        <f t="shared" si="14"/>
        <v>3.4060125107571902E-6</v>
      </c>
    </row>
    <row r="6" spans="1:101" x14ac:dyDescent="0.2">
      <c r="A6" t="str">
        <f t="shared" si="1"/>
        <v>Kick Scooter, electric, &lt;1kW - 2050 - NMC - CH</v>
      </c>
      <c r="B6" t="s">
        <v>393</v>
      </c>
      <c r="D6" s="18">
        <v>2050</v>
      </c>
      <c r="E6" t="s">
        <v>37</v>
      </c>
      <c r="F6" t="s">
        <v>138</v>
      </c>
      <c r="G6" t="s">
        <v>39</v>
      </c>
      <c r="H6" t="s">
        <v>32</v>
      </c>
      <c r="I6" t="s">
        <v>43</v>
      </c>
      <c r="J6">
        <v>1785</v>
      </c>
      <c r="K6">
        <v>890</v>
      </c>
      <c r="L6" s="2">
        <f t="shared" si="2"/>
        <v>2.00561797752809</v>
      </c>
      <c r="M6">
        <v>1</v>
      </c>
      <c r="N6">
        <v>75</v>
      </c>
      <c r="O6">
        <v>0</v>
      </c>
      <c r="P6" s="2">
        <f t="shared" si="0"/>
        <v>10.510000000000002</v>
      </c>
      <c r="Q6" s="2">
        <f t="shared" si="3"/>
        <v>85.51</v>
      </c>
      <c r="R6">
        <v>0.25</v>
      </c>
      <c r="S6" s="2">
        <v>7</v>
      </c>
      <c r="T6" s="1">
        <v>7.0000000000000007E-2</v>
      </c>
      <c r="U6" s="2">
        <f t="shared" si="4"/>
        <v>6.51</v>
      </c>
      <c r="V6">
        <v>0</v>
      </c>
      <c r="W6">
        <v>2.7</v>
      </c>
      <c r="X6" s="6">
        <v>0.5</v>
      </c>
      <c r="Y6" s="1">
        <v>0.8</v>
      </c>
      <c r="Z6" s="3">
        <f t="shared" si="5"/>
        <v>0.4</v>
      </c>
      <c r="AA6" s="3">
        <f>IF(I6&lt;&gt;"",X6/INDEX('energy battery'!$B$3:$D$6,MATCH('vehicles specifications'!$D6,'energy battery'!$A$3:$A$6,0),MATCH('vehicles specifications'!$I6,'energy battery'!$B$2:$D$2,0)),"")</f>
        <v>1</v>
      </c>
      <c r="AB6" s="3">
        <f t="shared" si="6"/>
        <v>0.3</v>
      </c>
      <c r="AC6" s="3">
        <f t="shared" si="7"/>
        <v>1.3</v>
      </c>
      <c r="AD6">
        <v>0</v>
      </c>
      <c r="AE6">
        <v>0</v>
      </c>
      <c r="AF6">
        <v>0</v>
      </c>
      <c r="AG6">
        <v>0</v>
      </c>
      <c r="AH6">
        <v>0</v>
      </c>
      <c r="AI6">
        <v>0.5</v>
      </c>
      <c r="AJ6">
        <v>1</v>
      </c>
      <c r="AK6">
        <v>0</v>
      </c>
      <c r="AL6">
        <f t="shared" si="8"/>
        <v>4.5918870000000003E-5</v>
      </c>
      <c r="AM6">
        <v>0</v>
      </c>
      <c r="AN6" s="2">
        <f t="shared" si="9"/>
        <v>6.51</v>
      </c>
      <c r="AO6" s="2">
        <f t="shared" si="10"/>
        <v>2.7</v>
      </c>
      <c r="AP6" s="2">
        <f t="shared" si="11"/>
        <v>1.3</v>
      </c>
      <c r="AQ6" s="6" t="s">
        <v>85</v>
      </c>
      <c r="AR6" s="20"/>
      <c r="AS6" s="5">
        <v>8.6126327557294588E-2</v>
      </c>
      <c r="AT6" s="2">
        <f t="shared" si="12"/>
        <v>16.719626168224298</v>
      </c>
      <c r="AU6" s="5">
        <v>0</v>
      </c>
      <c r="AV6" s="5">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7">
        <v>0</v>
      </c>
      <c r="BY6" s="7">
        <v>0</v>
      </c>
      <c r="BZ6" s="7">
        <v>0</v>
      </c>
      <c r="CA6" s="7">
        <v>0</v>
      </c>
      <c r="CB6" s="7">
        <v>0</v>
      </c>
      <c r="CC6" s="7">
        <v>0</v>
      </c>
      <c r="CD6" s="7">
        <v>0</v>
      </c>
      <c r="CE6" s="7">
        <v>0</v>
      </c>
      <c r="CF6" s="7">
        <v>0</v>
      </c>
      <c r="CG6" s="7">
        <v>0</v>
      </c>
      <c r="CH6" s="7">
        <v>0</v>
      </c>
      <c r="CI6" s="7">
        <v>0</v>
      </c>
      <c r="CJ6" s="7">
        <v>0</v>
      </c>
      <c r="CK6" s="38">
        <f>VLOOKUP($B6,'abrasion emissions'!$O$7:$R$36,2,FALSE)</f>
        <v>1</v>
      </c>
      <c r="CL6" s="38">
        <f>VLOOKUP($B6,'abrasion emissions'!$O$7:$R$36,3,FALSE)</f>
        <v>0</v>
      </c>
      <c r="CM6" s="38">
        <f>VLOOKUP($B6,'abrasion emissions'!$O$7:$R$36,4,FALSE)</f>
        <v>0</v>
      </c>
      <c r="CN6" s="7">
        <f>((SUMIFS('abrasion emissions'!$M$7:$M$34,'abrasion emissions'!$I$7:$I$34,"PM 2.5",'abrasion emissions'!$J$7:$J$34,"urban",'abrasion emissions'!$K$7:$K$34,"Tyre",'abrasion emissions'!$L$7:$L$34,"b")*POWER(('vehicles specifications'!$Q6/1000),(1/SUMIFS('abrasion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specifications'!$P6/1000),(1/SUMIFS('abrasion emissions'!$M$7:$M$34,'abrasion emissions'!$I$7:$I$34,"PM 10",'abrasion emissions'!$J$7:$J$34,"urban",'abrasion emissions'!$K$7:$K$34,"Tyre",'abrasion emissions'!$L$7:$L$34,"c")))))/1000000</f>
        <v>3.6152719516232798E-6</v>
      </c>
      <c r="CO6" s="7">
        <f>((SUMIFS('abrasion emissions'!$M$7:$M$34,'abrasion emissions'!$I$7:$I$34,"PM 2.5",'abrasion emissions'!$J$7:$J$34,"rural",'abrasion emissions'!$K$7:$K$34,"Tyre",'abrasion emissions'!$L$7:$L$34,"b")*POWER(('vehicles specifications'!$Q6/1000),(1/SUMIFS('abrasion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specifications'!$P6/1000),(1/SUMIFS('abrasion emissions'!$M$7:$M$34,'abrasion emissions'!$I$7:$I$34,"PM 10",'abrasion emissions'!$J$7:$J$34,"rural",'abrasion emissions'!$K$7:$K$34,"Tyre",'abrasion emissions'!$L$7:$L$34,"c")))))/1000000</f>
        <v>2.8179736722715119E-6</v>
      </c>
      <c r="CP6" s="7">
        <f>((SUMIFS('abrasion emissions'!$M$7:$M$34,'abrasion emissions'!$I$7:$I$34,"PM 2.5",'abrasion emissions'!$J$7:$J$34,"motorway",'abrasion emissions'!$K$7:$K$34,"Tyre",'abrasion emissions'!$L$7:$L$34,"b")*POWER(('vehicles specifications'!$Q6/1000),(1/SUMIFS('abrasion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specifications'!$P6/1000),(1/SUMIFS('abrasion emissions'!$M$7:$M$34,'abrasion emissions'!$I$7:$I$34,"PM 10",'abrasion emissions'!$J$7:$J$34,"motorway",'abrasion emissions'!$K$7:$K$34,"Tyre",'abrasion emissions'!$L$7:$L$34,"c")))))/1000000</f>
        <v>2.4124253558314015E-6</v>
      </c>
      <c r="CQ6" s="7">
        <f>((SUMIFS('abrasion emissions'!$M$7:$M$34,'abrasion emissions'!$I$7:$I$34,"PM 2.5",'abrasion emissions'!$J$7:$J$34,"urban",'abrasion emissions'!$K$7:$K$34,"Brake",'abrasion emissions'!$L$7:$L$34,"b")*POWER(('vehicles specifications'!$Q6/1000),(1/SUMIFS('abrasion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specifications'!$P6/1000),(1/SUMIFS('abrasion emissions'!$M$7:$M$34,'abrasion emissions'!$I$7:$I$34,"PM 10",'abrasion emissions'!$J$7:$J$34,"urban",'abrasion emissions'!$K$7:$K$34,"Brake",'abrasion emissions'!$L$7:$L$34,"c")))))/1000000</f>
        <v>3.3969958388919805E-6</v>
      </c>
      <c r="CR6" s="7">
        <f>((SUMIFS('abrasion emissions'!$M$7:$M$34,'abrasion emissions'!$I$7:$I$34,"PM 2.5",'abrasion emissions'!$J$7:$J$34,"rural",'abrasion emissions'!$K$7:$K$34,"Brake",'abrasion emissions'!$L$7:$L$34,"b")*POWER(('vehicles specifications'!$Q6/1000),(1/SUMIFS('abrasion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specifications'!$P6/1000),(1/SUMIFS('abrasion emissions'!$M$7:$M$34,'abrasion emissions'!$I$7:$I$34,"PM 10",'abrasion emissions'!$J$7:$J$34,"rural",'abrasion emissions'!$K$7:$K$34,"Brake",'abrasion emissions'!$L$7:$L$34,"c")))))/1000000</f>
        <v>9.5978694932253584E-7</v>
      </c>
      <c r="CS6" s="7">
        <f>((SUMIFS('abrasion emissions'!$M$7:$M$34,'abrasion emissions'!$I$7:$I$34,"PM 2.5",'abrasion emissions'!$J$7:$J$34,"motorway",'abrasion emissions'!$K$7:$K$34,"Brake",'abrasion emissions'!$L$7:$L$34,"b")*POWER(('vehicles specifications'!$Q6/1000),(1/SUMIFS('abrasion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specifications'!$P6/1000),(1/SUMIFS('abrasion emissions'!$M$7:$M$34,'abrasion emissions'!$I$7:$I$34,"PM 10",'abrasion emissions'!$J$7:$J$34,"motorway",'abrasion emissions'!$K$7:$K$34,"Brake",'abrasion emissions'!$L$7:$L$34,"c")))))/1000000</f>
        <v>1.6285404338486507E-7</v>
      </c>
      <c r="CT6" s="7">
        <f>((SUMIFS('abrasion emissions'!$M$7:$M$38,'abrasion emissions'!$I$7:$I$38,"PM 2.5",'abrasion emissions'!$K$7:$K$38,"Re-susp.",'abrasion emissions'!$L$7:$L$38,"b")*POWER(('vehicles specifications'!$Q6/1000),(1/SUMIFS('abrasion emissions'!$M$7:$M$38,'abrasion emissions'!$I$7:$I$38,"PM 2.5",'abrasion emissions'!$K$7:$K$38,"Re-susp.",'abrasion emissions'!$L$7:$L$38,"c"))))+
(SUMIFS('abrasion emissions'!$M$7:$M$38,'abrasion emissions'!$I$7:$I$38,"PM 10",'abrasion emissions'!$K$7:$K$38,"Re-susp.",'abrasion emissions'!$L$7:$L$38,"b")*POWER(('vehicles specifications'!$Q6/1000),(1/SUMIFS('abrasion emissions'!$M$7:$M$38,'abrasion emissions'!$I$7:$I$38,"PM 10",'abrasion emissions'!$K$7:$K$38,"Re-susp.",'abrasion emissions'!$L$7:$L$38,"c")))))/1000000</f>
        <v>1.7536791018180504E-6</v>
      </c>
      <c r="CU6" s="7">
        <f>((SUMIFS('abrasion emissions'!$M$7:$M$38,'abrasion emissions'!$I$7:$I$38,"PM 2.5",'abrasion emissions'!$K$7:$K$38,"Road",'abrasion emissions'!$L$7:$L$38,"b")*POWER(('vehicles specifications'!$Q6/1000),(1/SUMIFS('abrasion emissions'!$M$7:$M$38,'abrasion emissions'!$I$7:$I$38,"PM 2.5",'abrasion emissions'!$K$7:$K$38,"Road",'abrasion emissions'!$L$7:$L$38,"c"))))+
(SUMIFS('abrasion emissions'!$M$7:$M$38,'abrasion emissions'!$I$7:$I$38,"PM 10",'abrasion emissions'!$K$7:$K$38,"Road",'abrasion emissions'!$L$7:$L$38,"b")*POWER(('vehicles specifications'!$Q6/1000),(1/SUMIFS('abrasion emissions'!$M$7:$M$38,'abrasion emissions'!$I$7:$I$38,"PM 10",'abrasion emissions'!$K$7:$K$38,"Road",'abrasion emissions'!$L$7:$L$38,"c")))))/1000000+CT6</f>
        <v>3.733434075561425E-6</v>
      </c>
      <c r="CV6" s="7">
        <f t="shared" si="13"/>
        <v>3.6152719516232798E-6</v>
      </c>
      <c r="CW6" s="7">
        <f t="shared" si="14"/>
        <v>3.3969958388919805E-6</v>
      </c>
    </row>
    <row r="7" spans="1:101" x14ac:dyDescent="0.2">
      <c r="A7" t="str">
        <f>B7&amp;" - "&amp;D7&amp;" - "&amp;IF(I7&lt;&gt;"",I7&amp;" - "&amp;E7,E7)</f>
        <v>Kick Scooter, electric, &lt;1kW - 2020 - LFP - CH</v>
      </c>
      <c r="B7" t="s">
        <v>393</v>
      </c>
      <c r="D7" s="18">
        <v>2020</v>
      </c>
      <c r="E7" t="s">
        <v>37</v>
      </c>
      <c r="F7" t="s">
        <v>138</v>
      </c>
      <c r="G7" t="s">
        <v>39</v>
      </c>
      <c r="H7" t="s">
        <v>32</v>
      </c>
      <c r="I7" t="s">
        <v>44</v>
      </c>
      <c r="J7">
        <v>1785</v>
      </c>
      <c r="K7">
        <v>890</v>
      </c>
      <c r="L7" s="2">
        <f>J7/K7</f>
        <v>2.00561797752809</v>
      </c>
      <c r="M7">
        <v>1</v>
      </c>
      <c r="N7">
        <v>75</v>
      </c>
      <c r="O7">
        <v>0</v>
      </c>
      <c r="P7" s="2">
        <f t="shared" ref="P7:P10" si="15">SUM(U7,V7,W7,AC7,AF7,AH7)</f>
        <v>12</v>
      </c>
      <c r="Q7" s="2">
        <f>P7+(M7*N7)+O7</f>
        <v>87</v>
      </c>
      <c r="R7">
        <v>0.25</v>
      </c>
      <c r="S7" s="2">
        <v>7</v>
      </c>
      <c r="T7" s="1">
        <v>0</v>
      </c>
      <c r="U7" s="2">
        <f>S7*(1-T7)</f>
        <v>7</v>
      </c>
      <c r="V7">
        <v>0</v>
      </c>
      <c r="W7">
        <v>3</v>
      </c>
      <c r="X7" s="6">
        <v>0.25</v>
      </c>
      <c r="Y7" s="1">
        <v>0.8</v>
      </c>
      <c r="Z7" s="3">
        <f>Y7*X7</f>
        <v>0.2</v>
      </c>
      <c r="AA7" s="3">
        <f>IF(I7&lt;&gt;"",X7/INDEX('energy battery'!$B$3:$D$6,MATCH('vehicles specifications'!$D7,'energy battery'!$A$3:$A$6,0),MATCH('vehicles specifications'!$I7,'energy battery'!$B$2:$D$2,0)),"")</f>
        <v>1.6666666666666667</v>
      </c>
      <c r="AB7" s="3">
        <f>IF(AA7&lt;&gt;"",0.2*AA7,"")</f>
        <v>0.33333333333333337</v>
      </c>
      <c r="AC7" s="3">
        <f>IF(AA7&lt;&gt;"",AB7+AA7,"")</f>
        <v>2</v>
      </c>
      <c r="AD7">
        <v>0</v>
      </c>
      <c r="AE7">
        <v>0</v>
      </c>
      <c r="AF7">
        <v>0</v>
      </c>
      <c r="AG7">
        <v>0</v>
      </c>
      <c r="AH7">
        <v>0</v>
      </c>
      <c r="AI7">
        <v>0.5</v>
      </c>
      <c r="AJ7">
        <v>1</v>
      </c>
      <c r="AK7">
        <v>0</v>
      </c>
      <c r="AL7">
        <f>0.000537/1000*Q7</f>
        <v>4.6718999999999998E-5</v>
      </c>
      <c r="AM7">
        <v>0</v>
      </c>
      <c r="AN7" s="2">
        <f>U7</f>
        <v>7</v>
      </c>
      <c r="AO7" s="2">
        <f>SUM(V7:W7)</f>
        <v>3</v>
      </c>
      <c r="AP7" s="2">
        <f>AC7</f>
        <v>2</v>
      </c>
      <c r="AQ7" s="6" t="s">
        <v>85</v>
      </c>
      <c r="AR7" s="20"/>
      <c r="AS7" s="5">
        <v>8.6126327557294588E-2</v>
      </c>
      <c r="AT7" s="2">
        <f t="shared" si="12"/>
        <v>8.3598130841121492</v>
      </c>
      <c r="AU7" s="5">
        <v>0</v>
      </c>
      <c r="AV7" s="5">
        <v>0</v>
      </c>
      <c r="AW7" s="7">
        <v>0</v>
      </c>
      <c r="AX7" s="7">
        <v>0</v>
      </c>
      <c r="AY7" s="7">
        <v>0</v>
      </c>
      <c r="AZ7" s="7">
        <v>0</v>
      </c>
      <c r="BA7" s="7">
        <v>0</v>
      </c>
      <c r="BB7" s="7">
        <v>0</v>
      </c>
      <c r="BC7" s="7">
        <v>0</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7">
        <v>0</v>
      </c>
      <c r="BY7" s="7">
        <v>0</v>
      </c>
      <c r="BZ7" s="7">
        <v>0</v>
      </c>
      <c r="CA7" s="7">
        <v>0</v>
      </c>
      <c r="CB7" s="7">
        <v>0</v>
      </c>
      <c r="CC7" s="7">
        <v>0</v>
      </c>
      <c r="CD7" s="7">
        <v>0</v>
      </c>
      <c r="CE7" s="7">
        <v>0</v>
      </c>
      <c r="CF7" s="7">
        <v>0</v>
      </c>
      <c r="CG7" s="7">
        <v>0</v>
      </c>
      <c r="CH7" s="7">
        <v>0</v>
      </c>
      <c r="CI7" s="7">
        <v>0</v>
      </c>
      <c r="CJ7" s="7">
        <v>0</v>
      </c>
      <c r="CK7" s="38">
        <f>VLOOKUP($B7,'abrasion emissions'!$O$7:$R$36,2,FALSE)</f>
        <v>1</v>
      </c>
      <c r="CL7" s="38">
        <f>VLOOKUP($B7,'abrasion emissions'!$O$7:$R$36,3,FALSE)</f>
        <v>0</v>
      </c>
      <c r="CM7" s="38">
        <f>VLOOKUP($B7,'abrasion emissions'!$O$7:$R$36,4,FALSE)</f>
        <v>0</v>
      </c>
      <c r="CN7" s="7">
        <f>((SUMIFS('abrasion emissions'!$M$7:$M$34,'abrasion emissions'!$I$7:$I$34,"PM 2.5",'abrasion emissions'!$J$7:$J$34,"urban",'abrasion emissions'!$K$7:$K$34,"Tyre",'abrasion emissions'!$L$7:$L$34,"b")*POWER(('vehicles specifications'!$Q7/1000),(1/SUMIFS('abrasion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specifications'!$P7/1000),(1/SUMIFS('abrasion emissions'!$M$7:$M$34,'abrasion emissions'!$I$7:$I$34,"PM 10",'abrasion emissions'!$J$7:$J$34,"urban",'abrasion emissions'!$K$7:$K$34,"Tyre",'abrasion emissions'!$L$7:$L$34,"c")))))/1000000</f>
        <v>3.6839818188838036E-6</v>
      </c>
      <c r="CO7" s="7">
        <f>((SUMIFS('abrasion emissions'!$M$7:$M$34,'abrasion emissions'!$I$7:$I$34,"PM 2.5",'abrasion emissions'!$J$7:$J$34,"rural",'abrasion emissions'!$K$7:$K$34,"Tyre",'abrasion emissions'!$L$7:$L$34,"b")*POWER(('vehicles specifications'!$Q7/1000),(1/SUMIFS('abrasion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specifications'!$P7/1000),(1/SUMIFS('abrasion emissions'!$M$7:$M$34,'abrasion emissions'!$I$7:$I$34,"PM 10",'abrasion emissions'!$J$7:$J$34,"rural",'abrasion emissions'!$K$7:$K$34,"Tyre",'abrasion emissions'!$L$7:$L$34,"c")))))/1000000</f>
        <v>2.8713812203109511E-6</v>
      </c>
      <c r="CP7" s="7">
        <f>((SUMIFS('abrasion emissions'!$M$7:$M$34,'abrasion emissions'!$I$7:$I$34,"PM 2.5",'abrasion emissions'!$J$7:$J$34,"motorway",'abrasion emissions'!$K$7:$K$34,"Tyre",'abrasion emissions'!$L$7:$L$34,"b")*POWER(('vehicles specifications'!$Q7/1000),(1/SUMIFS('abrasion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specifications'!$P7/1000),(1/SUMIFS('abrasion emissions'!$M$7:$M$34,'abrasion emissions'!$I$7:$I$34,"PM 10",'abrasion emissions'!$J$7:$J$34,"motorway",'abrasion emissions'!$K$7:$K$34,"Tyre",'abrasion emissions'!$L$7:$L$34,"c")))))/1000000</f>
        <v>2.4577723677730355E-6</v>
      </c>
      <c r="CQ7" s="7">
        <f>((SUMIFS('abrasion emissions'!$M$7:$M$34,'abrasion emissions'!$I$7:$I$34,"PM 2.5",'abrasion emissions'!$J$7:$J$34,"urban",'abrasion emissions'!$K$7:$K$34,"Brake",'abrasion emissions'!$L$7:$L$34,"b")*POWER(('vehicles specifications'!$Q7/1000),(1/SUMIFS('abrasion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specifications'!$P7/1000),(1/SUMIFS('abrasion emissions'!$M$7:$M$34,'abrasion emissions'!$I$7:$I$34,"PM 10",'abrasion emissions'!$J$7:$J$34,"urban",'abrasion emissions'!$K$7:$K$34,"Brake",'abrasion emissions'!$L$7:$L$34,"c")))))/1000000</f>
        <v>3.452136406679805E-6</v>
      </c>
      <c r="CR7" s="7">
        <f>((SUMIFS('abrasion emissions'!$M$7:$M$34,'abrasion emissions'!$I$7:$I$34,"PM 2.5",'abrasion emissions'!$J$7:$J$34,"rural",'abrasion emissions'!$K$7:$K$34,"Brake",'abrasion emissions'!$L$7:$L$34,"b")*POWER(('vehicles specifications'!$Q7/1000),(1/SUMIFS('abrasion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specifications'!$P7/1000),(1/SUMIFS('abrasion emissions'!$M$7:$M$34,'abrasion emissions'!$I$7:$I$34,"PM 10",'abrasion emissions'!$J$7:$J$34,"rural",'abrasion emissions'!$K$7:$K$34,"Brake",'abrasion emissions'!$L$7:$L$34,"c")))))/1000000</f>
        <v>9.7788492634877698E-7</v>
      </c>
      <c r="CS7" s="7">
        <f>((SUMIFS('abrasion emissions'!$M$7:$M$34,'abrasion emissions'!$I$7:$I$34,"PM 2.5",'abrasion emissions'!$J$7:$J$34,"motorway",'abrasion emissions'!$K$7:$K$34,"Brake",'abrasion emissions'!$L$7:$L$34,"b")*POWER(('vehicles specifications'!$Q7/1000),(1/SUMIFS('abrasion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specifications'!$P7/1000),(1/SUMIFS('abrasion emissions'!$M$7:$M$34,'abrasion emissions'!$I$7:$I$34,"PM 10",'abrasion emissions'!$J$7:$J$34,"motorway",'abrasion emissions'!$K$7:$K$34,"Brake",'abrasion emissions'!$L$7:$L$34,"c")))))/1000000</f>
        <v>1.6616309727408126E-7</v>
      </c>
      <c r="CT7" s="7">
        <f>((SUMIFS('abrasion emissions'!$M$7:$M$38,'abrasion emissions'!$I$7:$I$38,"PM 2.5",'abrasion emissions'!$K$7:$K$38,"Re-susp.",'abrasion emissions'!$L$7:$L$38,"b")*POWER(('vehicles specifications'!$Q7/1000),(1/SUMIFS('abrasion emissions'!$M$7:$M$38,'abrasion emissions'!$I$7:$I$38,"PM 2.5",'abrasion emissions'!$K$7:$K$38,"Re-susp.",'abrasion emissions'!$L$7:$L$38,"c"))))+
(SUMIFS('abrasion emissions'!$M$7:$M$38,'abrasion emissions'!$I$7:$I$38,"PM 10",'abrasion emissions'!$K$7:$K$38,"Re-susp.",'abrasion emissions'!$L$7:$L$38,"b")*POWER(('vehicles specifications'!$Q7/1000),(1/SUMIFS('abrasion emissions'!$M$7:$M$38,'abrasion emissions'!$I$7:$I$38,"PM 10",'abrasion emissions'!$K$7:$K$38,"Re-susp.",'abrasion emissions'!$L$7:$L$38,"c")))))/1000000</f>
        <v>1.7814368895620092E-6</v>
      </c>
      <c r="CU7" s="7">
        <f>((SUMIFS('abrasion emissions'!$M$7:$M$38,'abrasion emissions'!$I$7:$I$38,"PM 2.5",'abrasion emissions'!$K$7:$K$38,"Road",'abrasion emissions'!$L$7:$L$38,"b")*POWER(('vehicles specifications'!$Q7/1000),(1/SUMIFS('abrasion emissions'!$M$7:$M$38,'abrasion emissions'!$I$7:$I$38,"PM 2.5",'abrasion emissions'!$K$7:$K$38,"Road",'abrasion emissions'!$L$7:$L$38,"c"))))+
(SUMIFS('abrasion emissions'!$M$7:$M$38,'abrasion emissions'!$I$7:$I$38,"PM 10",'abrasion emissions'!$K$7:$K$38,"Road",'abrasion emissions'!$L$7:$L$38,"b")*POWER(('vehicles specifications'!$Q7/1000),(1/SUMIFS('abrasion emissions'!$M$7:$M$38,'abrasion emissions'!$I$7:$I$38,"PM 10",'abrasion emissions'!$K$7:$K$38,"Road",'abrasion emissions'!$L$7:$L$38,"c")))))/1000000+CT7</f>
        <v>3.7841235581851242E-6</v>
      </c>
      <c r="CV7" s="7">
        <f t="shared" si="13"/>
        <v>3.6839818188838036E-6</v>
      </c>
      <c r="CW7" s="7">
        <f t="shared" si="14"/>
        <v>3.452136406679805E-6</v>
      </c>
    </row>
    <row r="8" spans="1:101" x14ac:dyDescent="0.2">
      <c r="A8" t="str">
        <f t="shared" ref="A8:A10" si="16">B8&amp;" - "&amp;D8&amp;" - "&amp;IF(I8&lt;&gt;"",I8&amp;" - "&amp;E8,E8)</f>
        <v>Kick Scooter, electric, &lt;1kW - 2030 - LFP - CH</v>
      </c>
      <c r="B8" t="s">
        <v>393</v>
      </c>
      <c r="D8" s="18">
        <v>2030</v>
      </c>
      <c r="E8" t="s">
        <v>37</v>
      </c>
      <c r="F8" t="s">
        <v>138</v>
      </c>
      <c r="G8" t="s">
        <v>39</v>
      </c>
      <c r="H8" t="s">
        <v>32</v>
      </c>
      <c r="I8" t="s">
        <v>44</v>
      </c>
      <c r="J8">
        <v>1785</v>
      </c>
      <c r="K8">
        <v>890</v>
      </c>
      <c r="L8" s="2">
        <f t="shared" ref="L8:L10" si="17">J8/K8</f>
        <v>2.00561797752809</v>
      </c>
      <c r="M8">
        <v>1</v>
      </c>
      <c r="N8">
        <v>75</v>
      </c>
      <c r="O8">
        <v>0</v>
      </c>
      <c r="P8" s="2">
        <f t="shared" si="15"/>
        <v>11.69</v>
      </c>
      <c r="Q8" s="2">
        <f t="shared" ref="Q8:Q10" si="18">P8+(M8*N8)+O8</f>
        <v>86.69</v>
      </c>
      <c r="R8">
        <v>0.25</v>
      </c>
      <c r="S8" s="2">
        <v>7</v>
      </c>
      <c r="T8" s="1">
        <v>0.03</v>
      </c>
      <c r="U8" s="2">
        <f t="shared" ref="U8:U10" si="19">S8*(1-T8)</f>
        <v>6.79</v>
      </c>
      <c r="V8">
        <v>0</v>
      </c>
      <c r="W8">
        <v>2.9</v>
      </c>
      <c r="X8" s="6">
        <v>0.3</v>
      </c>
      <c r="Y8" s="1">
        <v>0.8</v>
      </c>
      <c r="Z8" s="3">
        <f t="shared" ref="Z8:Z10" si="20">Y8*X8</f>
        <v>0.24</v>
      </c>
      <c r="AA8" s="3">
        <f>IF(I8&lt;&gt;"",X8/INDEX('energy battery'!$B$3:$D$6,MATCH('vehicles specifications'!$D8,'energy battery'!$A$3:$A$6,0),MATCH('vehicles specifications'!$I8,'energy battery'!$B$2:$D$2,0)),"")</f>
        <v>1.6666666666666667</v>
      </c>
      <c r="AB8" s="3">
        <f t="shared" ref="AB8:AB10" si="21">IF(AA8&lt;&gt;"",0.2*AA8,"")</f>
        <v>0.33333333333333337</v>
      </c>
      <c r="AC8" s="3">
        <f t="shared" ref="AC8:AC10" si="22">IF(AA8&lt;&gt;"",AB8+AA8,"")</f>
        <v>2</v>
      </c>
      <c r="AD8">
        <v>0</v>
      </c>
      <c r="AE8">
        <v>0</v>
      </c>
      <c r="AF8">
        <v>0</v>
      </c>
      <c r="AG8">
        <v>0</v>
      </c>
      <c r="AH8">
        <v>0</v>
      </c>
      <c r="AI8">
        <v>0.5</v>
      </c>
      <c r="AJ8">
        <v>1</v>
      </c>
      <c r="AK8">
        <v>0</v>
      </c>
      <c r="AL8">
        <f t="shared" ref="AL8:AL10" si="23">0.000537/1000*Q8</f>
        <v>4.6552530000000001E-5</v>
      </c>
      <c r="AM8">
        <v>0</v>
      </c>
      <c r="AN8" s="2">
        <f t="shared" ref="AN8:AN10" si="24">U8</f>
        <v>6.79</v>
      </c>
      <c r="AO8" s="2">
        <f t="shared" ref="AO8:AO10" si="25">SUM(V8:W8)</f>
        <v>2.9</v>
      </c>
      <c r="AP8" s="2">
        <f t="shared" ref="AP8:AP10" si="26">AC8</f>
        <v>2</v>
      </c>
      <c r="AQ8" s="6" t="s">
        <v>85</v>
      </c>
      <c r="AR8" s="20"/>
      <c r="AS8" s="5">
        <v>8.6126327557294588E-2</v>
      </c>
      <c r="AT8" s="2">
        <f t="shared" si="12"/>
        <v>10.031775700934579</v>
      </c>
      <c r="AU8" s="5">
        <v>0</v>
      </c>
      <c r="AV8" s="5">
        <v>0</v>
      </c>
      <c r="AW8" s="7">
        <v>0</v>
      </c>
      <c r="AX8" s="7">
        <v>0</v>
      </c>
      <c r="AY8" s="7">
        <v>0</v>
      </c>
      <c r="AZ8" s="7">
        <v>0</v>
      </c>
      <c r="BA8" s="7">
        <v>0</v>
      </c>
      <c r="BB8" s="7">
        <v>0</v>
      </c>
      <c r="BC8" s="7">
        <v>0</v>
      </c>
      <c r="BD8" s="7">
        <v>0</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7">
        <v>0</v>
      </c>
      <c r="BY8" s="7">
        <v>0</v>
      </c>
      <c r="BZ8" s="7">
        <v>0</v>
      </c>
      <c r="CA8" s="7">
        <v>0</v>
      </c>
      <c r="CB8" s="7">
        <v>0</v>
      </c>
      <c r="CC8" s="7">
        <v>0</v>
      </c>
      <c r="CD8" s="7">
        <v>0</v>
      </c>
      <c r="CE8" s="7">
        <v>0</v>
      </c>
      <c r="CF8" s="7">
        <v>0</v>
      </c>
      <c r="CG8" s="7">
        <v>0</v>
      </c>
      <c r="CH8" s="7">
        <v>0</v>
      </c>
      <c r="CI8" s="7">
        <v>0</v>
      </c>
      <c r="CJ8" s="7">
        <v>0</v>
      </c>
      <c r="CK8" s="38">
        <f>VLOOKUP($B8,'abrasion emissions'!$O$7:$R$36,2,FALSE)</f>
        <v>1</v>
      </c>
      <c r="CL8" s="38">
        <f>VLOOKUP($B8,'abrasion emissions'!$O$7:$R$36,3,FALSE)</f>
        <v>0</v>
      </c>
      <c r="CM8" s="38">
        <f>VLOOKUP($B8,'abrasion emissions'!$O$7:$R$36,4,FALSE)</f>
        <v>0</v>
      </c>
      <c r="CN8" s="7">
        <f>((SUMIFS('abrasion emissions'!$M$7:$M$34,'abrasion emissions'!$I$7:$I$34,"PM 2.5",'abrasion emissions'!$J$7:$J$34,"urban",'abrasion emissions'!$K$7:$K$34,"Tyre",'abrasion emissions'!$L$7:$L$34,"b")*POWER(('vehicles specifications'!$Q8/1000),(1/SUMIFS('abrasion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specifications'!$P8/1000),(1/SUMIFS('abrasion emissions'!$M$7:$M$34,'abrasion emissions'!$I$7:$I$34,"PM 10",'abrasion emissions'!$J$7:$J$34,"urban",'abrasion emissions'!$K$7:$K$34,"Tyre",'abrasion emissions'!$L$7:$L$34,"c")))))/1000000</f>
        <v>3.6699907130296717E-6</v>
      </c>
      <c r="CO8" s="7">
        <f>((SUMIFS('abrasion emissions'!$M$7:$M$34,'abrasion emissions'!$I$7:$I$34,"PM 2.5",'abrasion emissions'!$J$7:$J$34,"rural",'abrasion emissions'!$K$7:$K$34,"Tyre",'abrasion emissions'!$L$7:$L$34,"b")*POWER(('vehicles specifications'!$Q8/1000),(1/SUMIFS('abrasion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specifications'!$P8/1000),(1/SUMIFS('abrasion emissions'!$M$7:$M$34,'abrasion emissions'!$I$7:$I$34,"PM 10",'abrasion emissions'!$J$7:$J$34,"rural",'abrasion emissions'!$K$7:$K$34,"Tyre",'abrasion emissions'!$L$7:$L$34,"c")))))/1000000</f>
        <v>2.8605057064633691E-6</v>
      </c>
      <c r="CP8" s="7">
        <f>((SUMIFS('abrasion emissions'!$M$7:$M$34,'abrasion emissions'!$I$7:$I$34,"PM 2.5",'abrasion emissions'!$J$7:$J$34,"motorway",'abrasion emissions'!$K$7:$K$34,"Tyre",'abrasion emissions'!$L$7:$L$34,"b")*POWER(('vehicles specifications'!$Q8/1000),(1/SUMIFS('abrasion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specifications'!$P8/1000),(1/SUMIFS('abrasion emissions'!$M$7:$M$34,'abrasion emissions'!$I$7:$I$34,"PM 10",'abrasion emissions'!$J$7:$J$34,"motorway",'abrasion emissions'!$K$7:$K$34,"Tyre",'abrasion emissions'!$L$7:$L$34,"c")))))/1000000</f>
        <v>2.4485373462733372E-6</v>
      </c>
      <c r="CQ8" s="7">
        <f>((SUMIFS('abrasion emissions'!$M$7:$M$34,'abrasion emissions'!$I$7:$I$34,"PM 2.5",'abrasion emissions'!$J$7:$J$34,"urban",'abrasion emissions'!$K$7:$K$34,"Brake",'abrasion emissions'!$L$7:$L$34,"b")*POWER(('vehicles specifications'!$Q8/1000),(1/SUMIFS('abrasion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specifications'!$P8/1000),(1/SUMIFS('abrasion emissions'!$M$7:$M$34,'abrasion emissions'!$I$7:$I$34,"PM 10",'abrasion emissions'!$J$7:$J$34,"urban",'abrasion emissions'!$K$7:$K$34,"Brake",'abrasion emissions'!$L$7:$L$34,"c")))))/1000000</f>
        <v>3.4408227960791771E-6</v>
      </c>
      <c r="CR8" s="7">
        <f>((SUMIFS('abrasion emissions'!$M$7:$M$34,'abrasion emissions'!$I$7:$I$34,"PM 2.5",'abrasion emissions'!$J$7:$J$34,"rural",'abrasion emissions'!$K$7:$K$34,"Brake",'abrasion emissions'!$L$7:$L$34,"b")*POWER(('vehicles specifications'!$Q8/1000),(1/SUMIFS('abrasion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specifications'!$P8/1000),(1/SUMIFS('abrasion emissions'!$M$7:$M$34,'abrasion emissions'!$I$7:$I$34,"PM 10",'abrasion emissions'!$J$7:$J$34,"rural",'abrasion emissions'!$K$7:$K$34,"Brake",'abrasion emissions'!$L$7:$L$34,"c")))))/1000000</f>
        <v>9.7415291433666956E-7</v>
      </c>
      <c r="CS8" s="7">
        <f>((SUMIFS('abrasion emissions'!$M$7:$M$34,'abrasion emissions'!$I$7:$I$34,"PM 2.5",'abrasion emissions'!$J$7:$J$34,"motorway",'abrasion emissions'!$K$7:$K$34,"Brake",'abrasion emissions'!$L$7:$L$34,"b")*POWER(('vehicles specifications'!$Q8/1000),(1/SUMIFS('abrasion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specifications'!$P8/1000),(1/SUMIFS('abrasion emissions'!$M$7:$M$34,'abrasion emissions'!$I$7:$I$34,"PM 10",'abrasion emissions'!$J$7:$J$34,"motorway",'abrasion emissions'!$K$7:$K$34,"Brake",'abrasion emissions'!$L$7:$L$34,"c")))))/1000000</f>
        <v>1.654785001500218E-7</v>
      </c>
      <c r="CT8" s="7">
        <f>((SUMIFS('abrasion emissions'!$M$7:$M$38,'abrasion emissions'!$I$7:$I$38,"PM 2.5",'abrasion emissions'!$K$7:$K$38,"Re-susp.",'abrasion emissions'!$L$7:$L$38,"b")*POWER(('vehicles specifications'!$Q8/1000),(1/SUMIFS('abrasion emissions'!$M$7:$M$38,'abrasion emissions'!$I$7:$I$38,"PM 2.5",'abrasion emissions'!$K$7:$K$38,"Re-susp.",'abrasion emissions'!$L$7:$L$38,"c"))))+
(SUMIFS('abrasion emissions'!$M$7:$M$38,'abrasion emissions'!$I$7:$I$38,"PM 10",'abrasion emissions'!$K$7:$K$38,"Re-susp.",'abrasion emissions'!$L$7:$L$38,"b")*POWER(('vehicles specifications'!$Q8/1000),(1/SUMIFS('abrasion emissions'!$M$7:$M$38,'abrasion emissions'!$I$7:$I$38,"PM 10",'abrasion emissions'!$K$7:$K$38,"Re-susp.",'abrasion emissions'!$L$7:$L$38,"c")))))/1000000</f>
        <v>1.7756653640028102E-6</v>
      </c>
      <c r="CU8" s="7">
        <f>((SUMIFS('abrasion emissions'!$M$7:$M$38,'abrasion emissions'!$I$7:$I$38,"PM 2.5",'abrasion emissions'!$K$7:$K$38,"Road",'abrasion emissions'!$L$7:$L$38,"b")*POWER(('vehicles specifications'!$Q8/1000),(1/SUMIFS('abrasion emissions'!$M$7:$M$38,'abrasion emissions'!$I$7:$I$38,"PM 2.5",'abrasion emissions'!$K$7:$K$38,"Road",'abrasion emissions'!$L$7:$L$38,"c"))))+
(SUMIFS('abrasion emissions'!$M$7:$M$38,'abrasion emissions'!$I$7:$I$38,"PM 10",'abrasion emissions'!$K$7:$K$38,"Road",'abrasion emissions'!$L$7:$L$38,"b")*POWER(('vehicles specifications'!$Q8/1000),(1/SUMIFS('abrasion emissions'!$M$7:$M$38,'abrasion emissions'!$I$7:$I$38,"PM 10",'abrasion emissions'!$K$7:$K$38,"Road",'abrasion emissions'!$L$7:$L$38,"c")))))/1000000+CT8</f>
        <v>3.7735918629230822E-6</v>
      </c>
      <c r="CV8" s="7">
        <f t="shared" si="13"/>
        <v>3.6699907130296717E-6</v>
      </c>
      <c r="CW8" s="7">
        <f t="shared" si="14"/>
        <v>3.4408227960791771E-6</v>
      </c>
    </row>
    <row r="9" spans="1:101" x14ac:dyDescent="0.2">
      <c r="A9" t="str">
        <f t="shared" si="16"/>
        <v>Kick Scooter, electric, &lt;1kW - 2040 - LFP - CH</v>
      </c>
      <c r="B9" t="s">
        <v>393</v>
      </c>
      <c r="D9" s="18">
        <v>2040</v>
      </c>
      <c r="E9" t="s">
        <v>37</v>
      </c>
      <c r="F9" t="s">
        <v>138</v>
      </c>
      <c r="G9" t="s">
        <v>39</v>
      </c>
      <c r="H9" t="s">
        <v>32</v>
      </c>
      <c r="I9" t="s">
        <v>44</v>
      </c>
      <c r="J9">
        <v>1785</v>
      </c>
      <c r="K9">
        <v>890</v>
      </c>
      <c r="L9" s="2">
        <f t="shared" si="17"/>
        <v>2.00561797752809</v>
      </c>
      <c r="M9">
        <v>1</v>
      </c>
      <c r="N9">
        <v>75</v>
      </c>
      <c r="O9">
        <v>0</v>
      </c>
      <c r="P9" s="2">
        <f t="shared" si="15"/>
        <v>12.116666666666667</v>
      </c>
      <c r="Q9" s="2">
        <f t="shared" si="18"/>
        <v>87.116666666666674</v>
      </c>
      <c r="R9">
        <v>0.25</v>
      </c>
      <c r="S9" s="2">
        <v>7</v>
      </c>
      <c r="T9" s="1">
        <v>0.05</v>
      </c>
      <c r="U9" s="2">
        <f t="shared" si="19"/>
        <v>6.6499999999999995</v>
      </c>
      <c r="V9">
        <v>0</v>
      </c>
      <c r="W9">
        <v>2.8</v>
      </c>
      <c r="X9" s="6">
        <v>0.4</v>
      </c>
      <c r="Y9" s="1">
        <v>0.8</v>
      </c>
      <c r="Z9" s="3">
        <f t="shared" si="20"/>
        <v>0.32000000000000006</v>
      </c>
      <c r="AA9" s="3">
        <f>IF(I9&lt;&gt;"",X9/INDEX('energy battery'!$B$3:$D$6,MATCH('vehicles specifications'!$D9,'energy battery'!$A$3:$A$6,0),MATCH('vehicles specifications'!$I9,'energy battery'!$B$2:$D$2,0)),"")</f>
        <v>2.2222222222222223</v>
      </c>
      <c r="AB9" s="3">
        <f t="shared" si="21"/>
        <v>0.44444444444444448</v>
      </c>
      <c r="AC9" s="3">
        <f t="shared" si="22"/>
        <v>2.666666666666667</v>
      </c>
      <c r="AD9">
        <v>0</v>
      </c>
      <c r="AE9">
        <v>0</v>
      </c>
      <c r="AF9">
        <v>0</v>
      </c>
      <c r="AG9">
        <v>0</v>
      </c>
      <c r="AH9">
        <v>0</v>
      </c>
      <c r="AI9">
        <v>0.5</v>
      </c>
      <c r="AJ9">
        <v>1</v>
      </c>
      <c r="AK9">
        <v>0</v>
      </c>
      <c r="AL9">
        <f t="shared" si="23"/>
        <v>4.6781650000000003E-5</v>
      </c>
      <c r="AM9">
        <v>0</v>
      </c>
      <c r="AN9" s="2">
        <f t="shared" si="24"/>
        <v>6.6499999999999995</v>
      </c>
      <c r="AO9" s="2">
        <f t="shared" si="25"/>
        <v>2.8</v>
      </c>
      <c r="AP9" s="2">
        <f t="shared" si="26"/>
        <v>2.666666666666667</v>
      </c>
      <c r="AQ9" s="6" t="s">
        <v>85</v>
      </c>
      <c r="AR9" s="20"/>
      <c r="AS9" s="5">
        <v>8.6126327557294588E-2</v>
      </c>
      <c r="AT9" s="2">
        <f t="shared" si="12"/>
        <v>13.375700934579442</v>
      </c>
      <c r="AU9" s="5">
        <v>0</v>
      </c>
      <c r="AV9" s="5">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v>0</v>
      </c>
      <c r="CJ9" s="7">
        <v>0</v>
      </c>
      <c r="CK9" s="38">
        <f>VLOOKUP($B9,'abrasion emissions'!$O$7:$R$36,2,FALSE)</f>
        <v>1</v>
      </c>
      <c r="CL9" s="38">
        <f>VLOOKUP($B9,'abrasion emissions'!$O$7:$R$36,3,FALSE)</f>
        <v>0</v>
      </c>
      <c r="CM9" s="38">
        <f>VLOOKUP($B9,'abrasion emissions'!$O$7:$R$36,4,FALSE)</f>
        <v>0</v>
      </c>
      <c r="CN9" s="7">
        <f>((SUMIFS('abrasion emissions'!$M$7:$M$34,'abrasion emissions'!$I$7:$I$34,"PM 2.5",'abrasion emissions'!$J$7:$J$34,"urban",'abrasion emissions'!$K$7:$K$34,"Tyre",'abrasion emissions'!$L$7:$L$34,"b")*POWER(('vehicles specifications'!$Q9/1000),(1/SUMIFS('abrasion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specifications'!$P9/1000),(1/SUMIFS('abrasion emissions'!$M$7:$M$34,'abrasion emissions'!$I$7:$I$34,"PM 10",'abrasion emissions'!$J$7:$J$34,"urban",'abrasion emissions'!$K$7:$K$34,"Tyre",'abrasion emissions'!$L$7:$L$34,"c")))))/1000000</f>
        <v>3.68920867559289E-6</v>
      </c>
      <c r="CO9" s="7">
        <f>((SUMIFS('abrasion emissions'!$M$7:$M$34,'abrasion emissions'!$I$7:$I$34,"PM 2.5",'abrasion emissions'!$J$7:$J$34,"rural",'abrasion emissions'!$K$7:$K$34,"Tyre",'abrasion emissions'!$L$7:$L$34,"b")*POWER(('vehicles specifications'!$Q9/1000),(1/SUMIFS('abrasion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specifications'!$P9/1000),(1/SUMIFS('abrasion emissions'!$M$7:$M$34,'abrasion emissions'!$I$7:$I$34,"PM 10",'abrasion emissions'!$J$7:$J$34,"rural",'abrasion emissions'!$K$7:$K$34,"Tyre",'abrasion emissions'!$L$7:$L$34,"c")))))/1000000</f>
        <v>2.8754441864708364E-6</v>
      </c>
      <c r="CP9" s="7">
        <f>((SUMIFS('abrasion emissions'!$M$7:$M$34,'abrasion emissions'!$I$7:$I$34,"PM 2.5",'abrasion emissions'!$J$7:$J$34,"motorway",'abrasion emissions'!$K$7:$K$34,"Tyre",'abrasion emissions'!$L$7:$L$34,"b")*POWER(('vehicles specifications'!$Q9/1000),(1/SUMIFS('abrasion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specifications'!$P9/1000),(1/SUMIFS('abrasion emissions'!$M$7:$M$34,'abrasion emissions'!$I$7:$I$34,"PM 10",'abrasion emissions'!$J$7:$J$34,"motorway",'abrasion emissions'!$K$7:$K$34,"Tyre",'abrasion emissions'!$L$7:$L$34,"c")))))/1000000</f>
        <v>2.4612225794703465E-6</v>
      </c>
      <c r="CQ9" s="7">
        <f>((SUMIFS('abrasion emissions'!$M$7:$M$34,'abrasion emissions'!$I$7:$I$34,"PM 2.5",'abrasion emissions'!$J$7:$J$34,"urban",'abrasion emissions'!$K$7:$K$34,"Brake",'abrasion emissions'!$L$7:$L$34,"b")*POWER(('vehicles specifications'!$Q9/1000),(1/SUMIFS('abrasion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specifications'!$P9/1000),(1/SUMIFS('abrasion emissions'!$M$7:$M$34,'abrasion emissions'!$I$7:$I$34,"PM 10",'abrasion emissions'!$J$7:$J$34,"urban",'abrasion emissions'!$K$7:$K$34,"Brake",'abrasion emissions'!$L$7:$L$34,"c")))))/1000000</f>
        <v>3.4563739306729263E-6</v>
      </c>
      <c r="CR9" s="7">
        <f>((SUMIFS('abrasion emissions'!$M$7:$M$34,'abrasion emissions'!$I$7:$I$34,"PM 2.5",'abrasion emissions'!$J$7:$J$34,"rural",'abrasion emissions'!$K$7:$K$34,"Brake",'abrasion emissions'!$L$7:$L$34,"b")*POWER(('vehicles specifications'!$Q9/1000),(1/SUMIFS('abrasion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specifications'!$P9/1000),(1/SUMIFS('abrasion emissions'!$M$7:$M$34,'abrasion emissions'!$I$7:$I$34,"PM 10",'abrasion emissions'!$J$7:$J$34,"rural",'abrasion emissions'!$K$7:$K$34,"Brake",'abrasion emissions'!$L$7:$L$34,"c")))))/1000000</f>
        <v>9.7928515055833216E-7</v>
      </c>
      <c r="CS9" s="7">
        <f>((SUMIFS('abrasion emissions'!$M$7:$M$34,'abrasion emissions'!$I$7:$I$34,"PM 2.5",'abrasion emissions'!$J$7:$J$34,"motorway",'abrasion emissions'!$K$7:$K$34,"Brake",'abrasion emissions'!$L$7:$L$34,"b")*POWER(('vehicles specifications'!$Q9/1000),(1/SUMIFS('abrasion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specifications'!$P9/1000),(1/SUMIFS('abrasion emissions'!$M$7:$M$34,'abrasion emissions'!$I$7:$I$34,"PM 10",'abrasion emissions'!$J$7:$J$34,"motorway",'abrasion emissions'!$K$7:$K$34,"Brake",'abrasion emissions'!$L$7:$L$34,"c")))))/1000000</f>
        <v>1.6642024062361562E-7</v>
      </c>
      <c r="CT9" s="7">
        <f>((SUMIFS('abrasion emissions'!$M$7:$M$38,'abrasion emissions'!$I$7:$I$38,"PM 2.5",'abrasion emissions'!$K$7:$K$38,"Re-susp.",'abrasion emissions'!$L$7:$L$38,"b")*POWER(('vehicles specifications'!$Q9/1000),(1/SUMIFS('abrasion emissions'!$M$7:$M$38,'abrasion emissions'!$I$7:$I$38,"PM 2.5",'abrasion emissions'!$K$7:$K$38,"Re-susp.",'abrasion emissions'!$L$7:$L$38,"c"))))+
(SUMIFS('abrasion emissions'!$M$7:$M$38,'abrasion emissions'!$I$7:$I$38,"PM 10",'abrasion emissions'!$K$7:$K$38,"Re-susp.",'abrasion emissions'!$L$7:$L$38,"b")*POWER(('vehicles specifications'!$Q9/1000),(1/SUMIFS('abrasion emissions'!$M$7:$M$38,'abrasion emissions'!$I$7:$I$38,"PM 10",'abrasion emissions'!$K$7:$K$38,"Re-susp.",'abrasion emissions'!$L$7:$L$38,"c")))))/1000000</f>
        <v>1.7836084845624911E-6</v>
      </c>
      <c r="CU9" s="7">
        <f>((SUMIFS('abrasion emissions'!$M$7:$M$38,'abrasion emissions'!$I$7:$I$38,"PM 2.5",'abrasion emissions'!$K$7:$K$38,"Road",'abrasion emissions'!$L$7:$L$38,"b")*POWER(('vehicles specifications'!$Q9/1000),(1/SUMIFS('abrasion emissions'!$M$7:$M$38,'abrasion emissions'!$I$7:$I$38,"PM 2.5",'abrasion emissions'!$K$7:$K$38,"Road",'abrasion emissions'!$L$7:$L$38,"c"))))+
(SUMIFS('abrasion emissions'!$M$7:$M$38,'abrasion emissions'!$I$7:$I$38,"PM 10",'abrasion emissions'!$K$7:$K$38,"Road",'abrasion emissions'!$L$7:$L$38,"b")*POWER(('vehicles specifications'!$Q9/1000),(1/SUMIFS('abrasion emissions'!$M$7:$M$38,'abrasion emissions'!$I$7:$I$38,"PM 10",'abrasion emissions'!$K$7:$K$38,"Road",'abrasion emissions'!$L$7:$L$38,"c")))))/1000000+CT9</f>
        <v>3.7880851500377056E-6</v>
      </c>
      <c r="CV9" s="7">
        <f t="shared" si="13"/>
        <v>3.68920867559289E-6</v>
      </c>
      <c r="CW9" s="7">
        <f t="shared" si="14"/>
        <v>3.4563739306729263E-6</v>
      </c>
    </row>
    <row r="10" spans="1:101" x14ac:dyDescent="0.2">
      <c r="A10" t="str">
        <f t="shared" si="16"/>
        <v>Kick Scooter, electric, &lt;1kW - 2050 - LFP - CH</v>
      </c>
      <c r="B10" t="s">
        <v>393</v>
      </c>
      <c r="D10" s="18">
        <v>2050</v>
      </c>
      <c r="E10" t="s">
        <v>37</v>
      </c>
      <c r="F10" t="s">
        <v>138</v>
      </c>
      <c r="G10" t="s">
        <v>39</v>
      </c>
      <c r="H10" t="s">
        <v>32</v>
      </c>
      <c r="I10" t="s">
        <v>44</v>
      </c>
      <c r="J10">
        <v>1785</v>
      </c>
      <c r="K10">
        <v>890</v>
      </c>
      <c r="L10" s="2">
        <f t="shared" si="17"/>
        <v>2.00561797752809</v>
      </c>
      <c r="M10">
        <v>1</v>
      </c>
      <c r="N10">
        <v>75</v>
      </c>
      <c r="O10">
        <v>0</v>
      </c>
      <c r="P10" s="2">
        <f t="shared" si="15"/>
        <v>12.21</v>
      </c>
      <c r="Q10" s="2">
        <f t="shared" si="18"/>
        <v>87.210000000000008</v>
      </c>
      <c r="R10">
        <v>0.25</v>
      </c>
      <c r="S10" s="2">
        <v>7</v>
      </c>
      <c r="T10" s="1">
        <v>7.0000000000000007E-2</v>
      </c>
      <c r="U10" s="2">
        <f t="shared" si="19"/>
        <v>6.51</v>
      </c>
      <c r="V10">
        <v>0</v>
      </c>
      <c r="W10">
        <v>2.7</v>
      </c>
      <c r="X10" s="6">
        <v>0.5</v>
      </c>
      <c r="Y10" s="1">
        <v>0.8</v>
      </c>
      <c r="Z10" s="3">
        <f t="shared" si="20"/>
        <v>0.4</v>
      </c>
      <c r="AA10" s="3">
        <f>IF(I10&lt;&gt;"",X10/INDEX('energy battery'!$B$3:$D$6,MATCH('vehicles specifications'!$D10,'energy battery'!$A$3:$A$6,0),MATCH('vehicles specifications'!$I10,'energy battery'!$B$2:$D$2,0)),"")</f>
        <v>2.5</v>
      </c>
      <c r="AB10" s="3">
        <f t="shared" si="21"/>
        <v>0.5</v>
      </c>
      <c r="AC10" s="3">
        <f t="shared" si="22"/>
        <v>3</v>
      </c>
      <c r="AD10">
        <v>0</v>
      </c>
      <c r="AE10">
        <v>0</v>
      </c>
      <c r="AF10">
        <v>0</v>
      </c>
      <c r="AG10">
        <v>0</v>
      </c>
      <c r="AH10">
        <v>0</v>
      </c>
      <c r="AI10">
        <v>0.5</v>
      </c>
      <c r="AJ10">
        <v>1</v>
      </c>
      <c r="AK10">
        <v>0</v>
      </c>
      <c r="AL10">
        <f t="shared" si="23"/>
        <v>4.6831770000000006E-5</v>
      </c>
      <c r="AM10">
        <v>0</v>
      </c>
      <c r="AN10" s="2">
        <f t="shared" si="24"/>
        <v>6.51</v>
      </c>
      <c r="AO10" s="2">
        <f t="shared" si="25"/>
        <v>2.7</v>
      </c>
      <c r="AP10" s="2">
        <f t="shared" si="26"/>
        <v>3</v>
      </c>
      <c r="AQ10" s="6" t="s">
        <v>85</v>
      </c>
      <c r="AR10" s="20"/>
      <c r="AS10" s="5">
        <v>8.6126327557294588E-2</v>
      </c>
      <c r="AT10" s="2">
        <f t="shared" si="12"/>
        <v>16.719626168224298</v>
      </c>
      <c r="AU10" s="5">
        <v>0</v>
      </c>
      <c r="AV10" s="5">
        <v>0</v>
      </c>
      <c r="AW10" s="7">
        <v>0</v>
      </c>
      <c r="AX10" s="7">
        <v>0</v>
      </c>
      <c r="AY10" s="7">
        <v>0</v>
      </c>
      <c r="AZ10" s="7">
        <v>0</v>
      </c>
      <c r="BA10" s="7">
        <v>0</v>
      </c>
      <c r="BB10" s="7">
        <v>0</v>
      </c>
      <c r="BC10" s="7">
        <v>0</v>
      </c>
      <c r="BD10" s="7">
        <v>0</v>
      </c>
      <c r="BE10" s="7">
        <v>0</v>
      </c>
      <c r="BF10" s="7">
        <v>0</v>
      </c>
      <c r="BG10" s="7">
        <v>0</v>
      </c>
      <c r="BH10" s="7">
        <v>0</v>
      </c>
      <c r="BI10" s="7">
        <v>0</v>
      </c>
      <c r="BJ10" s="7">
        <v>0</v>
      </c>
      <c r="BK10" s="7">
        <v>0</v>
      </c>
      <c r="BL10" s="7">
        <v>0</v>
      </c>
      <c r="BM10" s="7">
        <v>0</v>
      </c>
      <c r="BN10" s="7">
        <v>0</v>
      </c>
      <c r="BO10" s="7">
        <v>0</v>
      </c>
      <c r="BP10" s="7">
        <v>0</v>
      </c>
      <c r="BQ10" s="7">
        <v>0</v>
      </c>
      <c r="BR10" s="7">
        <v>0</v>
      </c>
      <c r="BS10" s="7">
        <v>0</v>
      </c>
      <c r="BT10" s="7">
        <v>0</v>
      </c>
      <c r="BU10" s="7">
        <v>0</v>
      </c>
      <c r="BV10" s="7">
        <v>0</v>
      </c>
      <c r="BW10" s="7">
        <v>0</v>
      </c>
      <c r="BX10" s="7">
        <v>0</v>
      </c>
      <c r="BY10" s="7">
        <v>0</v>
      </c>
      <c r="BZ10" s="7">
        <v>0</v>
      </c>
      <c r="CA10" s="7">
        <v>0</v>
      </c>
      <c r="CB10" s="7">
        <v>0</v>
      </c>
      <c r="CC10" s="7">
        <v>0</v>
      </c>
      <c r="CD10" s="7">
        <v>0</v>
      </c>
      <c r="CE10" s="7">
        <v>0</v>
      </c>
      <c r="CF10" s="7">
        <v>0</v>
      </c>
      <c r="CG10" s="7">
        <v>0</v>
      </c>
      <c r="CH10" s="7">
        <v>0</v>
      </c>
      <c r="CI10" s="7">
        <v>0</v>
      </c>
      <c r="CJ10" s="7">
        <v>0</v>
      </c>
      <c r="CK10" s="38">
        <f>VLOOKUP($B10,'abrasion emissions'!$O$7:$R$36,2,FALSE)</f>
        <v>1</v>
      </c>
      <c r="CL10" s="38">
        <f>VLOOKUP($B10,'abrasion emissions'!$O$7:$R$36,3,FALSE)</f>
        <v>0</v>
      </c>
      <c r="CM10" s="38">
        <f>VLOOKUP($B10,'abrasion emissions'!$O$7:$R$36,4,FALSE)</f>
        <v>0</v>
      </c>
      <c r="CN10" s="7">
        <f>((SUMIFS('abrasion emissions'!$M$7:$M$34,'abrasion emissions'!$I$7:$I$34,"PM 2.5",'abrasion emissions'!$J$7:$J$34,"urban",'abrasion emissions'!$K$7:$K$34,"Tyre",'abrasion emissions'!$L$7:$L$34,"b")*POWER(('vehicles specifications'!$Q10/1000),(1/SUMIFS('abrasion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specifications'!$P10/1000),(1/SUMIFS('abrasion emissions'!$M$7:$M$34,'abrasion emissions'!$I$7:$I$34,"PM 10",'abrasion emissions'!$J$7:$J$34,"urban",'abrasion emissions'!$K$7:$K$34,"Tyre",'abrasion emissions'!$L$7:$L$34,"c")))))/1000000</f>
        <v>3.6933752801706036E-6</v>
      </c>
      <c r="CO10" s="7">
        <f>((SUMIFS('abrasion emissions'!$M$7:$M$34,'abrasion emissions'!$I$7:$I$34,"PM 2.5",'abrasion emissions'!$J$7:$J$34,"rural",'abrasion emissions'!$K$7:$K$34,"Tyre",'abrasion emissions'!$L$7:$L$34,"b")*POWER(('vehicles specifications'!$Q10/1000),(1/SUMIFS('abrasion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specifications'!$P10/1000),(1/SUMIFS('abrasion emissions'!$M$7:$M$34,'abrasion emissions'!$I$7:$I$34,"PM 10",'abrasion emissions'!$J$7:$J$34,"rural",'abrasion emissions'!$K$7:$K$34,"Tyre",'abrasion emissions'!$L$7:$L$34,"c")))))/1000000</f>
        <v>2.8786830097923614E-6</v>
      </c>
      <c r="CP10" s="7">
        <f>((SUMIFS('abrasion emissions'!$M$7:$M$34,'abrasion emissions'!$I$7:$I$34,"PM 2.5",'abrasion emissions'!$J$7:$J$34,"motorway",'abrasion emissions'!$K$7:$K$34,"Tyre",'abrasion emissions'!$L$7:$L$34,"b")*POWER(('vehicles specifications'!$Q10/1000),(1/SUMIFS('abrasion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specifications'!$P10/1000),(1/SUMIFS('abrasion emissions'!$M$7:$M$34,'abrasion emissions'!$I$7:$I$34,"PM 10",'abrasion emissions'!$J$7:$J$34,"motorway",'abrasion emissions'!$K$7:$K$34,"Tyre",'abrasion emissions'!$L$7:$L$34,"c")))))/1000000</f>
        <v>2.4639729853317622E-6</v>
      </c>
      <c r="CQ10" s="7">
        <f>((SUMIFS('abrasion emissions'!$M$7:$M$34,'abrasion emissions'!$I$7:$I$34,"PM 2.5",'abrasion emissions'!$J$7:$J$34,"urban",'abrasion emissions'!$K$7:$K$34,"Brake",'abrasion emissions'!$L$7:$L$34,"b")*POWER(('vehicles specifications'!$Q10/1000),(1/SUMIFS('abrasion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specifications'!$P10/1000),(1/SUMIFS('abrasion emissions'!$M$7:$M$34,'abrasion emissions'!$I$7:$I$34,"PM 10",'abrasion emissions'!$J$7:$J$34,"urban",'abrasion emissions'!$K$7:$K$34,"Brake",'abrasion emissions'!$L$7:$L$34,"c")))))/1000000</f>
        <v>3.4597561127784601E-6</v>
      </c>
      <c r="CR10" s="7">
        <f>((SUMIFS('abrasion emissions'!$M$7:$M$34,'abrasion emissions'!$I$7:$I$34,"PM 2.5",'abrasion emissions'!$J$7:$J$34,"rural",'abrasion emissions'!$K$7:$K$34,"Brake",'abrasion emissions'!$L$7:$L$34,"b")*POWER(('vehicles specifications'!$Q10/1000),(1/SUMIFS('abrasion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specifications'!$P10/1000),(1/SUMIFS('abrasion emissions'!$M$7:$M$34,'abrasion emissions'!$I$7:$I$34,"PM 10",'abrasion emissions'!$J$7:$J$34,"rural",'abrasion emissions'!$K$7:$K$34,"Brake",'abrasion emissions'!$L$7:$L$34,"c")))))/1000000</f>
        <v>9.8040366634141328E-7</v>
      </c>
      <c r="CS10" s="7">
        <f>((SUMIFS('abrasion emissions'!$M$7:$M$34,'abrasion emissions'!$I$7:$I$34,"PM 2.5",'abrasion emissions'!$J$7:$J$34,"motorway",'abrasion emissions'!$K$7:$K$34,"Brake",'abrasion emissions'!$L$7:$L$34,"b")*POWER(('vehicles specifications'!$Q10/1000),(1/SUMIFS('abrasion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specifications'!$P10/1000),(1/SUMIFS('abrasion emissions'!$M$7:$M$34,'abrasion emissions'!$I$7:$I$34,"PM 10",'abrasion emissions'!$J$7:$J$34,"motorway",'abrasion emissions'!$K$7:$K$34,"Brake",'abrasion emissions'!$L$7:$L$34,"c")))))/1000000</f>
        <v>1.6662576108627481E-7</v>
      </c>
      <c r="CT10" s="7">
        <f>((SUMIFS('abrasion emissions'!$M$7:$M$38,'abrasion emissions'!$I$7:$I$38,"PM 2.5",'abrasion emissions'!$K$7:$K$38,"Re-susp.",'abrasion emissions'!$L$7:$L$38,"b")*POWER(('vehicles specifications'!$Q10/1000),(1/SUMIFS('abrasion emissions'!$M$7:$M$38,'abrasion emissions'!$I$7:$I$38,"PM 2.5",'abrasion emissions'!$K$7:$K$38,"Re-susp.",'abrasion emissions'!$L$7:$L$38,"c"))))+
(SUMIFS('abrasion emissions'!$M$7:$M$38,'abrasion emissions'!$I$7:$I$38,"PM 10",'abrasion emissions'!$K$7:$K$38,"Re-susp.",'abrasion emissions'!$L$7:$L$38,"b")*POWER(('vehicles specifications'!$Q10/1000),(1/SUMIFS('abrasion emissions'!$M$7:$M$38,'abrasion emissions'!$I$7:$I$38,"PM 10",'abrasion emissions'!$K$7:$K$38,"Re-susp.",'abrasion emissions'!$L$7:$L$38,"c")))))/1000000</f>
        <v>1.7853455702009222E-6</v>
      </c>
      <c r="CU10" s="7">
        <f>((SUMIFS('abrasion emissions'!$M$7:$M$38,'abrasion emissions'!$I$7:$I$38,"PM 2.5",'abrasion emissions'!$K$7:$K$38,"Road",'abrasion emissions'!$L$7:$L$38,"b")*POWER(('vehicles specifications'!$Q10/1000),(1/SUMIFS('abrasion emissions'!$M$7:$M$38,'abrasion emissions'!$I$7:$I$38,"PM 2.5",'abrasion emissions'!$K$7:$K$38,"Road",'abrasion emissions'!$L$7:$L$38,"c"))))+
(SUMIFS('abrasion emissions'!$M$7:$M$38,'abrasion emissions'!$I$7:$I$38,"PM 10",'abrasion emissions'!$K$7:$K$38,"Road",'abrasion emissions'!$L$7:$L$38,"b")*POWER(('vehicles specifications'!$Q10/1000),(1/SUMIFS('abrasion emissions'!$M$7:$M$38,'abrasion emissions'!$I$7:$I$38,"PM 10",'abrasion emissions'!$K$7:$K$38,"Road",'abrasion emissions'!$L$7:$L$38,"c")))))/1000000+CT10</f>
        <v>3.7912536578981403E-6</v>
      </c>
      <c r="CV10" s="7">
        <f t="shared" si="13"/>
        <v>3.6933752801706036E-6</v>
      </c>
      <c r="CW10" s="7">
        <f t="shared" si="14"/>
        <v>3.4597561127784601E-6</v>
      </c>
    </row>
    <row r="11" spans="1:101" x14ac:dyDescent="0.2">
      <c r="A11" t="str">
        <f>B11&amp;" - "&amp;D11&amp;" - "&amp;IF(I11&lt;&gt;"",I11&amp;" - "&amp;E11,E11)</f>
        <v>Kick Scooter, electric, &lt;1kW - 2020 - NCA - CH</v>
      </c>
      <c r="B11" t="s">
        <v>393</v>
      </c>
      <c r="D11" s="18">
        <v>2020</v>
      </c>
      <c r="E11" t="s">
        <v>37</v>
      </c>
      <c r="F11" t="s">
        <v>138</v>
      </c>
      <c r="G11" t="s">
        <v>39</v>
      </c>
      <c r="H11" t="s">
        <v>32</v>
      </c>
      <c r="I11" t="s">
        <v>45</v>
      </c>
      <c r="J11">
        <v>1785</v>
      </c>
      <c r="K11">
        <v>890</v>
      </c>
      <c r="L11" s="2">
        <f>J11/K11</f>
        <v>2.00561797752809</v>
      </c>
      <c r="M11">
        <v>1</v>
      </c>
      <c r="N11">
        <v>75</v>
      </c>
      <c r="O11">
        <v>0</v>
      </c>
      <c r="P11" s="2">
        <f t="shared" ref="P11:P14" si="27">SUM(U11,V11,W11,AC11,AF11,AH11)</f>
        <v>11.413043478260869</v>
      </c>
      <c r="Q11" s="2">
        <f>P11+(M11*N11)+O11</f>
        <v>86.413043478260875</v>
      </c>
      <c r="R11">
        <v>0.25</v>
      </c>
      <c r="S11" s="2">
        <v>7</v>
      </c>
      <c r="T11" s="1">
        <v>0</v>
      </c>
      <c r="U11" s="2">
        <f>S11*(1-T11)</f>
        <v>7</v>
      </c>
      <c r="V11">
        <v>0</v>
      </c>
      <c r="W11">
        <v>3</v>
      </c>
      <c r="X11" s="6">
        <v>0.25</v>
      </c>
      <c r="Y11" s="1">
        <v>0.8</v>
      </c>
      <c r="Z11" s="3">
        <f>Y11*X11</f>
        <v>0.2</v>
      </c>
      <c r="AA11" s="3">
        <f>IF(I11&lt;&gt;"",X11/INDEX('energy battery'!$B$3:$D$6,MATCH('vehicles specifications'!$D11,'energy battery'!$A$3:$A$6,0),MATCH('vehicles specifications'!$I11,'energy battery'!$B$2:$D$2,0)),"")</f>
        <v>1.0869565217391304</v>
      </c>
      <c r="AB11" s="3">
        <f>IF(AA11&lt;&gt;"",0.3*AA11,"")</f>
        <v>0.32608695652173908</v>
      </c>
      <c r="AC11" s="3">
        <f>IF(AA11&lt;&gt;"",AB11+AA11,"")</f>
        <v>1.4130434782608694</v>
      </c>
      <c r="AD11">
        <v>0</v>
      </c>
      <c r="AE11">
        <v>0</v>
      </c>
      <c r="AF11">
        <v>0</v>
      </c>
      <c r="AG11">
        <v>0</v>
      </c>
      <c r="AH11">
        <v>0</v>
      </c>
      <c r="AI11">
        <v>0.5</v>
      </c>
      <c r="AJ11">
        <v>1</v>
      </c>
      <c r="AK11">
        <v>0</v>
      </c>
      <c r="AL11">
        <f>0.000537/1000*Q11</f>
        <v>4.6403804347826093E-5</v>
      </c>
      <c r="AM11">
        <v>0</v>
      </c>
      <c r="AN11" s="2">
        <f>U11</f>
        <v>7</v>
      </c>
      <c r="AO11" s="2">
        <f>SUM(V11:W11)</f>
        <v>3</v>
      </c>
      <c r="AP11" s="2">
        <f>AC11</f>
        <v>1.4130434782608694</v>
      </c>
      <c r="AQ11" s="6" t="s">
        <v>85</v>
      </c>
      <c r="AR11" s="20"/>
      <c r="AS11" s="5">
        <v>8.6126327557294588E-2</v>
      </c>
      <c r="AT11" s="2">
        <f t="shared" si="12"/>
        <v>8.3598130841121492</v>
      </c>
      <c r="AU11" s="5">
        <v>0</v>
      </c>
      <c r="AV11" s="5">
        <v>0</v>
      </c>
      <c r="AW11" s="7">
        <v>0</v>
      </c>
      <c r="AX11" s="7">
        <v>0</v>
      </c>
      <c r="AY11" s="7">
        <v>0</v>
      </c>
      <c r="AZ11" s="7">
        <v>0</v>
      </c>
      <c r="BA11" s="7">
        <v>0</v>
      </c>
      <c r="BB11" s="7">
        <v>0</v>
      </c>
      <c r="BC11" s="7">
        <v>0</v>
      </c>
      <c r="BD11" s="7">
        <v>0</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v>0</v>
      </c>
      <c r="CE11" s="7">
        <v>0</v>
      </c>
      <c r="CF11" s="7">
        <v>0</v>
      </c>
      <c r="CG11" s="7">
        <v>0</v>
      </c>
      <c r="CH11" s="7">
        <v>0</v>
      </c>
      <c r="CI11" s="7">
        <v>0</v>
      </c>
      <c r="CJ11" s="7">
        <v>0</v>
      </c>
      <c r="CK11" s="38">
        <f>VLOOKUP($B11,'abrasion emissions'!$O$7:$R$36,2,FALSE)</f>
        <v>1</v>
      </c>
      <c r="CL11" s="38">
        <f>VLOOKUP($B11,'abrasion emissions'!$O$7:$R$36,3,FALSE)</f>
        <v>0</v>
      </c>
      <c r="CM11" s="38">
        <f>VLOOKUP($B11,'abrasion emissions'!$O$7:$R$36,4,FALSE)</f>
        <v>0</v>
      </c>
      <c r="CN11" s="7">
        <f>((SUMIFS('abrasion emissions'!$M$7:$M$34,'abrasion emissions'!$I$7:$I$34,"PM 2.5",'abrasion emissions'!$J$7:$J$34,"urban",'abrasion emissions'!$K$7:$K$34,"Tyre",'abrasion emissions'!$L$7:$L$34,"b")*POWER(('vehicles specifications'!$Q11/1000),(1/SUMIFS('abrasion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specifications'!$P11/1000),(1/SUMIFS('abrasion emissions'!$M$7:$M$34,'abrasion emissions'!$I$7:$I$34,"PM 10",'abrasion emissions'!$J$7:$J$34,"urban",'abrasion emissions'!$K$7:$K$34,"Tyre",'abrasion emissions'!$L$7:$L$34,"c")))))/1000000</f>
        <v>3.6573610586125064E-6</v>
      </c>
      <c r="CO11" s="7">
        <f>((SUMIFS('abrasion emissions'!$M$7:$M$34,'abrasion emissions'!$I$7:$I$34,"PM 2.5",'abrasion emissions'!$J$7:$J$34,"rural",'abrasion emissions'!$K$7:$K$34,"Tyre",'abrasion emissions'!$L$7:$L$34,"b")*POWER(('vehicles specifications'!$Q11/1000),(1/SUMIFS('abrasion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specifications'!$P11/1000),(1/SUMIFS('abrasion emissions'!$M$7:$M$34,'abrasion emissions'!$I$7:$I$34,"PM 10",'abrasion emissions'!$J$7:$J$34,"rural",'abrasion emissions'!$K$7:$K$34,"Tyre",'abrasion emissions'!$L$7:$L$34,"c")))))/1000000</f>
        <v>2.8506886250013508E-6</v>
      </c>
      <c r="CP11" s="7">
        <f>((SUMIFS('abrasion emissions'!$M$7:$M$34,'abrasion emissions'!$I$7:$I$34,"PM 2.5",'abrasion emissions'!$J$7:$J$34,"motorway",'abrasion emissions'!$K$7:$K$34,"Tyre",'abrasion emissions'!$L$7:$L$34,"b")*POWER(('vehicles specifications'!$Q11/1000),(1/SUMIFS('abrasion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specifications'!$P11/1000),(1/SUMIFS('abrasion emissions'!$M$7:$M$34,'abrasion emissions'!$I$7:$I$34,"PM 10",'abrasion emissions'!$J$7:$J$34,"motorway",'abrasion emissions'!$K$7:$K$34,"Tyre",'abrasion emissions'!$L$7:$L$34,"c")))))/1000000</f>
        <v>2.4402014877164636E-6</v>
      </c>
      <c r="CQ11" s="7">
        <f>((SUMIFS('abrasion emissions'!$M$7:$M$34,'abrasion emissions'!$I$7:$I$34,"PM 2.5",'abrasion emissions'!$J$7:$J$34,"urban",'abrasion emissions'!$K$7:$K$34,"Brake",'abrasion emissions'!$L$7:$L$34,"b")*POWER(('vehicles specifications'!$Q11/1000),(1/SUMIFS('abrasion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specifications'!$P11/1000),(1/SUMIFS('abrasion emissions'!$M$7:$M$34,'abrasion emissions'!$I$7:$I$34,"PM 10",'abrasion emissions'!$J$7:$J$34,"urban",'abrasion emissions'!$K$7:$K$34,"Brake",'abrasion emissions'!$L$7:$L$34,"c")))))/1000000</f>
        <v>3.4306471120280207E-6</v>
      </c>
      <c r="CR11" s="7">
        <f>((SUMIFS('abrasion emissions'!$M$7:$M$34,'abrasion emissions'!$I$7:$I$34,"PM 2.5",'abrasion emissions'!$J$7:$J$34,"rural",'abrasion emissions'!$K$7:$K$34,"Brake",'abrasion emissions'!$L$7:$L$34,"b")*POWER(('vehicles specifications'!$Q11/1000),(1/SUMIFS('abrasion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specifications'!$P11/1000),(1/SUMIFS('abrasion emissions'!$M$7:$M$34,'abrasion emissions'!$I$7:$I$34,"PM 10",'abrasion emissions'!$J$7:$J$34,"rural",'abrasion emissions'!$K$7:$K$34,"Brake",'abrasion emissions'!$L$7:$L$34,"c")))))/1000000</f>
        <v>9.708043451989823E-7</v>
      </c>
      <c r="CS11" s="7">
        <f>((SUMIFS('abrasion emissions'!$M$7:$M$34,'abrasion emissions'!$I$7:$I$34,"PM 2.5",'abrasion emissions'!$J$7:$J$34,"motorway",'abrasion emissions'!$K$7:$K$34,"Brake",'abrasion emissions'!$L$7:$L$34,"b")*POWER(('vehicles specifications'!$Q11/1000),(1/SUMIFS('abrasion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specifications'!$P11/1000),(1/SUMIFS('abrasion emissions'!$M$7:$M$34,'abrasion emissions'!$I$7:$I$34,"PM 10",'abrasion emissions'!$J$7:$J$34,"motorway",'abrasion emissions'!$K$7:$K$34,"Brake",'abrasion emissions'!$L$7:$L$34,"c")))))/1000000</f>
        <v>1.6486520597098046E-7</v>
      </c>
      <c r="CT11" s="7">
        <f>((SUMIFS('abrasion emissions'!$M$7:$M$38,'abrasion emissions'!$I$7:$I$38,"PM 2.5",'abrasion emissions'!$K$7:$K$38,"Re-susp.",'abrasion emissions'!$L$7:$L$38,"b")*POWER(('vehicles specifications'!$Q11/1000),(1/SUMIFS('abrasion emissions'!$M$7:$M$38,'abrasion emissions'!$I$7:$I$38,"PM 2.5",'abrasion emissions'!$K$7:$K$38,"Re-susp.",'abrasion emissions'!$L$7:$L$38,"c"))))+
(SUMIFS('abrasion emissions'!$M$7:$M$38,'abrasion emissions'!$I$7:$I$38,"PM 10",'abrasion emissions'!$K$7:$K$38,"Re-susp.",'abrasion emissions'!$L$7:$L$38,"b")*POWER(('vehicles specifications'!$Q11/1000),(1/SUMIFS('abrasion emissions'!$M$7:$M$38,'abrasion emissions'!$I$7:$I$38,"PM 10",'abrasion emissions'!$K$7:$K$38,"Re-susp.",'abrasion emissions'!$L$7:$L$38,"c")))))/1000000</f>
        <v>1.770507449158726E-6</v>
      </c>
      <c r="CU11" s="7">
        <f>((SUMIFS('abrasion emissions'!$M$7:$M$38,'abrasion emissions'!$I$7:$I$38,"PM 2.5",'abrasion emissions'!$K$7:$K$38,"Road",'abrasion emissions'!$L$7:$L$38,"b")*POWER(('vehicles specifications'!$Q11/1000),(1/SUMIFS('abrasion emissions'!$M$7:$M$38,'abrasion emissions'!$I$7:$I$38,"PM 2.5",'abrasion emissions'!$K$7:$K$38,"Road",'abrasion emissions'!$L$7:$L$38,"c"))))+
(SUMIFS('abrasion emissions'!$M$7:$M$38,'abrasion emissions'!$I$7:$I$38,"PM 10",'abrasion emissions'!$K$7:$K$38,"Road",'abrasion emissions'!$L$7:$L$38,"b")*POWER(('vehicles specifications'!$Q11/1000),(1/SUMIFS('abrasion emissions'!$M$7:$M$38,'abrasion emissions'!$I$7:$I$38,"PM 10",'abrasion emissions'!$K$7:$K$38,"Road",'abrasion emissions'!$L$7:$L$38,"c")))))/1000000+CT11</f>
        <v>3.7641763726055982E-6</v>
      </c>
      <c r="CV11" s="7">
        <f t="shared" si="13"/>
        <v>3.6573610586125064E-6</v>
      </c>
      <c r="CW11" s="7">
        <f t="shared" si="14"/>
        <v>3.4306471120280207E-6</v>
      </c>
    </row>
    <row r="12" spans="1:101" x14ac:dyDescent="0.2">
      <c r="A12" t="str">
        <f t="shared" ref="A12:A14" si="28">B12&amp;" - "&amp;D12&amp;" - "&amp;IF(I12&lt;&gt;"",I12&amp;" - "&amp;E12,E12)</f>
        <v>Kick Scooter, electric, &lt;1kW - 2030 - NCA - CH</v>
      </c>
      <c r="B12" t="s">
        <v>393</v>
      </c>
      <c r="D12" s="18">
        <v>2030</v>
      </c>
      <c r="E12" t="s">
        <v>37</v>
      </c>
      <c r="F12" t="s">
        <v>138</v>
      </c>
      <c r="G12" t="s">
        <v>39</v>
      </c>
      <c r="H12" t="s">
        <v>32</v>
      </c>
      <c r="I12" t="s">
        <v>45</v>
      </c>
      <c r="J12">
        <v>1785</v>
      </c>
      <c r="K12">
        <v>890</v>
      </c>
      <c r="L12" s="2">
        <f t="shared" ref="L12:L14" si="29">J12/K12</f>
        <v>2.00561797752809</v>
      </c>
      <c r="M12">
        <v>1</v>
      </c>
      <c r="N12">
        <v>75</v>
      </c>
      <c r="O12">
        <v>0</v>
      </c>
      <c r="P12" s="2">
        <f t="shared" si="27"/>
        <v>10.99</v>
      </c>
      <c r="Q12" s="2">
        <f t="shared" ref="Q12:Q14" si="30">P12+(M12*N12)+O12</f>
        <v>85.99</v>
      </c>
      <c r="R12">
        <v>0.25</v>
      </c>
      <c r="S12" s="2">
        <v>7</v>
      </c>
      <c r="T12" s="1">
        <v>0.03</v>
      </c>
      <c r="U12" s="2">
        <f t="shared" ref="U12:U14" si="31">S12*(1-T12)</f>
        <v>6.79</v>
      </c>
      <c r="V12">
        <v>0</v>
      </c>
      <c r="W12">
        <v>2.9</v>
      </c>
      <c r="X12" s="6">
        <v>0.3</v>
      </c>
      <c r="Y12" s="1">
        <v>0.8</v>
      </c>
      <c r="Z12" s="3">
        <f t="shared" ref="Z12:Z14" si="32">Y12*X12</f>
        <v>0.24</v>
      </c>
      <c r="AA12" s="3">
        <f>IF(I12&lt;&gt;"",X12/INDEX('energy battery'!$B$3:$D$6,MATCH('vehicles specifications'!$D12,'energy battery'!$A$3:$A$6,0),MATCH('vehicles specifications'!$I12,'energy battery'!$B$2:$D$2,0)),"")</f>
        <v>1</v>
      </c>
      <c r="AB12" s="3">
        <f t="shared" si="6"/>
        <v>0.3</v>
      </c>
      <c r="AC12" s="3">
        <f t="shared" ref="AC12:AC14" si="33">IF(AA12&lt;&gt;"",AB12+AA12,"")</f>
        <v>1.3</v>
      </c>
      <c r="AD12">
        <v>0</v>
      </c>
      <c r="AE12">
        <v>0</v>
      </c>
      <c r="AF12">
        <v>0</v>
      </c>
      <c r="AG12">
        <v>0</v>
      </c>
      <c r="AH12">
        <v>0</v>
      </c>
      <c r="AI12">
        <v>0.5</v>
      </c>
      <c r="AJ12">
        <v>1</v>
      </c>
      <c r="AK12">
        <v>0</v>
      </c>
      <c r="AL12">
        <f t="shared" ref="AL12:AL14" si="34">0.000537/1000*Q12</f>
        <v>4.6176629999999996E-5</v>
      </c>
      <c r="AM12">
        <v>0</v>
      </c>
      <c r="AN12" s="2">
        <f t="shared" ref="AN12:AN14" si="35">U12</f>
        <v>6.79</v>
      </c>
      <c r="AO12" s="2">
        <f t="shared" ref="AO12:AO14" si="36">SUM(V12:W12)</f>
        <v>2.9</v>
      </c>
      <c r="AP12" s="2">
        <f t="shared" ref="AP12:AP14" si="37">AC12</f>
        <v>1.3</v>
      </c>
      <c r="AQ12" s="6" t="s">
        <v>85</v>
      </c>
      <c r="AR12" s="20"/>
      <c r="AS12" s="5">
        <v>8.6126327557294588E-2</v>
      </c>
      <c r="AT12" s="2">
        <f t="shared" si="12"/>
        <v>10.031775700934579</v>
      </c>
      <c r="AU12" s="5">
        <v>0</v>
      </c>
      <c r="AV12" s="5">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38">
        <f>VLOOKUP($B12,'abrasion emissions'!$O$7:$R$36,2,FALSE)</f>
        <v>1</v>
      </c>
      <c r="CL12" s="38">
        <f>VLOOKUP($B12,'abrasion emissions'!$O$7:$R$36,3,FALSE)</f>
        <v>0</v>
      </c>
      <c r="CM12" s="38">
        <f>VLOOKUP($B12,'abrasion emissions'!$O$7:$R$36,4,FALSE)</f>
        <v>0</v>
      </c>
      <c r="CN12" s="7">
        <f>((SUMIFS('abrasion emissions'!$M$7:$M$34,'abrasion emissions'!$I$7:$I$34,"PM 2.5",'abrasion emissions'!$J$7:$J$34,"urban",'abrasion emissions'!$K$7:$K$34,"Tyre",'abrasion emissions'!$L$7:$L$34,"b")*POWER(('vehicles specifications'!$Q12/1000),(1/SUMIFS('abrasion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specifications'!$P12/1000),(1/SUMIFS('abrasion emissions'!$M$7:$M$34,'abrasion emissions'!$I$7:$I$34,"PM 10",'abrasion emissions'!$J$7:$J$34,"urban",'abrasion emissions'!$K$7:$K$34,"Tyre",'abrasion emissions'!$L$7:$L$34,"c")))))/1000000</f>
        <v>3.6378224682804953E-6</v>
      </c>
      <c r="CO12" s="7">
        <f>((SUMIFS('abrasion emissions'!$M$7:$M$34,'abrasion emissions'!$I$7:$I$34,"PM 2.5",'abrasion emissions'!$J$7:$J$34,"rural",'abrasion emissions'!$K$7:$K$34,"Tyre",'abrasion emissions'!$L$7:$L$34,"b")*POWER(('vehicles specifications'!$Q12/1000),(1/SUMIFS('abrasion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specifications'!$P12/1000),(1/SUMIFS('abrasion emissions'!$M$7:$M$34,'abrasion emissions'!$I$7:$I$34,"PM 10",'abrasion emissions'!$J$7:$J$34,"rural",'abrasion emissions'!$K$7:$K$34,"Tyre",'abrasion emissions'!$L$7:$L$34,"c")))))/1000000</f>
        <v>2.835501492280302E-6</v>
      </c>
      <c r="CP12" s="7">
        <f>((SUMIFS('abrasion emissions'!$M$7:$M$34,'abrasion emissions'!$I$7:$I$34,"PM 2.5",'abrasion emissions'!$J$7:$J$34,"motorway",'abrasion emissions'!$K$7:$K$34,"Tyre",'abrasion emissions'!$L$7:$L$34,"b")*POWER(('vehicles specifications'!$Q12/1000),(1/SUMIFS('abrasion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specifications'!$P12/1000),(1/SUMIFS('abrasion emissions'!$M$7:$M$34,'abrasion emissions'!$I$7:$I$34,"PM 10",'abrasion emissions'!$J$7:$J$34,"motorway",'abrasion emissions'!$K$7:$K$34,"Tyre",'abrasion emissions'!$L$7:$L$34,"c")))))/1000000</f>
        <v>2.4273065587582286E-6</v>
      </c>
      <c r="CQ12" s="7">
        <f>((SUMIFS('abrasion emissions'!$M$7:$M$34,'abrasion emissions'!$I$7:$I$34,"PM 2.5",'abrasion emissions'!$J$7:$J$34,"urban",'abrasion emissions'!$K$7:$K$34,"Brake",'abrasion emissions'!$L$7:$L$34,"b")*POWER(('vehicles specifications'!$Q12/1000),(1/SUMIFS('abrasion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specifications'!$P12/1000),(1/SUMIFS('abrasion emissions'!$M$7:$M$34,'abrasion emissions'!$I$7:$I$34,"PM 10",'abrasion emissions'!$J$7:$J$34,"urban",'abrasion emissions'!$K$7:$K$34,"Brake",'abrasion emissions'!$L$7:$L$34,"c")))))/1000000</f>
        <v>3.4149752509675722E-6</v>
      </c>
      <c r="CR12" s="7">
        <f>((SUMIFS('abrasion emissions'!$M$7:$M$34,'abrasion emissions'!$I$7:$I$34,"PM 2.5",'abrasion emissions'!$J$7:$J$34,"rural",'abrasion emissions'!$K$7:$K$34,"Brake",'abrasion emissions'!$L$7:$L$34,"b")*POWER(('vehicles specifications'!$Q12/1000),(1/SUMIFS('abrasion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specifications'!$P12/1000),(1/SUMIFS('abrasion emissions'!$M$7:$M$34,'abrasion emissions'!$I$7:$I$34,"PM 10",'abrasion emissions'!$J$7:$J$34,"rural",'abrasion emissions'!$K$7:$K$34,"Brake",'abrasion emissions'!$L$7:$L$34,"c")))))/1000000</f>
        <v>9.6566243305818366E-7</v>
      </c>
      <c r="CS12" s="7">
        <f>((SUMIFS('abrasion emissions'!$M$7:$M$34,'abrasion emissions'!$I$7:$I$34,"PM 2.5",'abrasion emissions'!$J$7:$J$34,"motorway",'abrasion emissions'!$K$7:$K$34,"Brake",'abrasion emissions'!$L$7:$L$34,"b")*POWER(('vehicles specifications'!$Q12/1000),(1/SUMIFS('abrasion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specifications'!$P12/1000),(1/SUMIFS('abrasion emissions'!$M$7:$M$34,'abrasion emissions'!$I$7:$I$34,"PM 10",'abrasion emissions'!$J$7:$J$34,"motorway",'abrasion emissions'!$K$7:$K$34,"Brake",'abrasion emissions'!$L$7:$L$34,"c")))))/1000000</f>
        <v>1.6392528011531908E-7</v>
      </c>
      <c r="CT12" s="7">
        <f>((SUMIFS('abrasion emissions'!$M$7:$M$38,'abrasion emissions'!$I$7:$I$38,"PM 2.5",'abrasion emissions'!$K$7:$K$38,"Re-susp.",'abrasion emissions'!$L$7:$L$38,"b")*POWER(('vehicles specifications'!$Q12/1000),(1/SUMIFS('abrasion emissions'!$M$7:$M$38,'abrasion emissions'!$I$7:$I$38,"PM 2.5",'abrasion emissions'!$K$7:$K$38,"Re-susp.",'abrasion emissions'!$L$7:$L$38,"c"))))+
(SUMIFS('abrasion emissions'!$M$7:$M$38,'abrasion emissions'!$I$7:$I$38,"PM 10",'abrasion emissions'!$K$7:$K$38,"Re-susp.",'abrasion emissions'!$L$7:$L$38,"b")*POWER(('vehicles specifications'!$Q12/1000),(1/SUMIFS('abrasion emissions'!$M$7:$M$38,'abrasion emissions'!$I$7:$I$38,"PM 10",'abrasion emissions'!$K$7:$K$38,"Re-susp.",'abrasion emissions'!$L$7:$L$38,"c")))))/1000000</f>
        <v>1.7626259727466223E-6</v>
      </c>
      <c r="CU12" s="7">
        <f>((SUMIFS('abrasion emissions'!$M$7:$M$38,'abrasion emissions'!$I$7:$I$38,"PM 2.5",'abrasion emissions'!$K$7:$K$38,"Road",'abrasion emissions'!$L$7:$L$38,"b")*POWER(('vehicles specifications'!$Q12/1000),(1/SUMIFS('abrasion emissions'!$M$7:$M$38,'abrasion emissions'!$I$7:$I$38,"PM 2.5",'abrasion emissions'!$K$7:$K$38,"Road",'abrasion emissions'!$L$7:$L$38,"c"))))+
(SUMIFS('abrasion emissions'!$M$7:$M$38,'abrasion emissions'!$I$7:$I$38,"PM 10",'abrasion emissions'!$K$7:$K$38,"Road",'abrasion emissions'!$L$7:$L$38,"b")*POWER(('vehicles specifications'!$Q12/1000),(1/SUMIFS('abrasion emissions'!$M$7:$M$38,'abrasion emissions'!$I$7:$I$38,"PM 10",'abrasion emissions'!$K$7:$K$38,"Road",'abrasion emissions'!$L$7:$L$38,"c")))))/1000000+CT12</f>
        <v>3.7497827751187205E-6</v>
      </c>
      <c r="CV12" s="7">
        <f t="shared" si="13"/>
        <v>3.6378224682804953E-6</v>
      </c>
      <c r="CW12" s="7">
        <f t="shared" si="14"/>
        <v>3.4149752509675722E-6</v>
      </c>
    </row>
    <row r="13" spans="1:101" x14ac:dyDescent="0.2">
      <c r="A13" t="str">
        <f t="shared" si="28"/>
        <v>Kick Scooter, electric, &lt;1kW - 2040 - NCA - CH</v>
      </c>
      <c r="B13" t="s">
        <v>393</v>
      </c>
      <c r="D13" s="18">
        <v>2040</v>
      </c>
      <c r="E13" t="s">
        <v>37</v>
      </c>
      <c r="F13" t="s">
        <v>138</v>
      </c>
      <c r="G13" t="s">
        <v>39</v>
      </c>
      <c r="H13" t="s">
        <v>32</v>
      </c>
      <c r="I13" t="s">
        <v>45</v>
      </c>
      <c r="J13">
        <v>1785</v>
      </c>
      <c r="K13">
        <v>890</v>
      </c>
      <c r="L13" s="2">
        <f t="shared" si="29"/>
        <v>2.00561797752809</v>
      </c>
      <c r="M13">
        <v>1</v>
      </c>
      <c r="N13">
        <v>75</v>
      </c>
      <c r="O13">
        <v>0</v>
      </c>
      <c r="P13" s="2">
        <f t="shared" si="27"/>
        <v>10.75</v>
      </c>
      <c r="Q13" s="2">
        <f t="shared" si="30"/>
        <v>85.75</v>
      </c>
      <c r="R13">
        <v>0.25</v>
      </c>
      <c r="S13" s="2">
        <v>7</v>
      </c>
      <c r="T13" s="1">
        <v>0.05</v>
      </c>
      <c r="U13" s="2">
        <f t="shared" si="31"/>
        <v>6.6499999999999995</v>
      </c>
      <c r="V13">
        <v>0</v>
      </c>
      <c r="W13">
        <v>2.8</v>
      </c>
      <c r="X13" s="6">
        <v>0.4</v>
      </c>
      <c r="Y13" s="1">
        <v>0.8</v>
      </c>
      <c r="Z13" s="3">
        <f t="shared" si="32"/>
        <v>0.32000000000000006</v>
      </c>
      <c r="AA13" s="3">
        <f>IF(I13&lt;&gt;"",X13/INDEX('energy battery'!$B$3:$D$6,MATCH('vehicles specifications'!$D13,'energy battery'!$A$3:$A$6,0),MATCH('vehicles specifications'!$I13,'energy battery'!$B$2:$D$2,0)),"")</f>
        <v>1</v>
      </c>
      <c r="AB13" s="3">
        <f t="shared" si="6"/>
        <v>0.3</v>
      </c>
      <c r="AC13" s="3">
        <f t="shared" si="33"/>
        <v>1.3</v>
      </c>
      <c r="AD13">
        <v>0</v>
      </c>
      <c r="AE13">
        <v>0</v>
      </c>
      <c r="AF13">
        <v>0</v>
      </c>
      <c r="AG13">
        <v>0</v>
      </c>
      <c r="AH13">
        <v>0</v>
      </c>
      <c r="AI13">
        <v>0.5</v>
      </c>
      <c r="AJ13">
        <v>1</v>
      </c>
      <c r="AK13">
        <v>0</v>
      </c>
      <c r="AL13">
        <f t="shared" si="34"/>
        <v>4.604775E-5</v>
      </c>
      <c r="AM13">
        <v>0</v>
      </c>
      <c r="AN13" s="2">
        <f t="shared" si="35"/>
        <v>6.6499999999999995</v>
      </c>
      <c r="AO13" s="2">
        <f t="shared" si="36"/>
        <v>2.8</v>
      </c>
      <c r="AP13" s="2">
        <f t="shared" si="37"/>
        <v>1.3</v>
      </c>
      <c r="AQ13" s="6" t="s">
        <v>85</v>
      </c>
      <c r="AR13" s="20"/>
      <c r="AS13" s="5">
        <v>8.6126327557294588E-2</v>
      </c>
      <c r="AT13" s="2">
        <f t="shared" si="12"/>
        <v>13.375700934579442</v>
      </c>
      <c r="AU13" s="5">
        <v>0</v>
      </c>
      <c r="AV13" s="5">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v>0</v>
      </c>
      <c r="CJ13" s="7">
        <v>0</v>
      </c>
      <c r="CK13" s="38">
        <f>VLOOKUP($B13,'abrasion emissions'!$O$7:$R$36,2,FALSE)</f>
        <v>1</v>
      </c>
      <c r="CL13" s="38">
        <f>VLOOKUP($B13,'abrasion emissions'!$O$7:$R$36,3,FALSE)</f>
        <v>0</v>
      </c>
      <c r="CM13" s="38">
        <f>VLOOKUP($B13,'abrasion emissions'!$O$7:$R$36,4,FALSE)</f>
        <v>0</v>
      </c>
      <c r="CN13" s="7">
        <f>((SUMIFS('abrasion emissions'!$M$7:$M$34,'abrasion emissions'!$I$7:$I$34,"PM 2.5",'abrasion emissions'!$J$7:$J$34,"urban",'abrasion emissions'!$K$7:$K$34,"Tyre",'abrasion emissions'!$L$7:$L$34,"b")*POWER(('vehicles specifications'!$Q13/1000),(1/SUMIFS('abrasion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specifications'!$P13/1000),(1/SUMIFS('abrasion emissions'!$M$7:$M$34,'abrasion emissions'!$I$7:$I$34,"PM 10",'abrasion emissions'!$J$7:$J$34,"urban",'abrasion emissions'!$K$7:$K$34,"Tyre",'abrasion emissions'!$L$7:$L$34,"c")))))/1000000</f>
        <v>3.6265994283366797E-6</v>
      </c>
      <c r="CO13" s="7">
        <f>((SUMIFS('abrasion emissions'!$M$7:$M$34,'abrasion emissions'!$I$7:$I$34,"PM 2.5",'abrasion emissions'!$J$7:$J$34,"rural",'abrasion emissions'!$K$7:$K$34,"Tyre",'abrasion emissions'!$L$7:$L$34,"b")*POWER(('vehicles specifications'!$Q13/1000),(1/SUMIFS('abrasion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specifications'!$P13/1000),(1/SUMIFS('abrasion emissions'!$M$7:$M$34,'abrasion emissions'!$I$7:$I$34,"PM 10",'abrasion emissions'!$J$7:$J$34,"rural",'abrasion emissions'!$K$7:$K$34,"Tyre",'abrasion emissions'!$L$7:$L$34,"c")))))/1000000</f>
        <v>2.826778109088605E-6</v>
      </c>
      <c r="CP13" s="7">
        <f>((SUMIFS('abrasion emissions'!$M$7:$M$34,'abrasion emissions'!$I$7:$I$34,"PM 2.5",'abrasion emissions'!$J$7:$J$34,"motorway",'abrasion emissions'!$K$7:$K$34,"Tyre",'abrasion emissions'!$L$7:$L$34,"b")*POWER(('vehicles specifications'!$Q13/1000),(1/SUMIFS('abrasion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specifications'!$P13/1000),(1/SUMIFS('abrasion emissions'!$M$7:$M$34,'abrasion emissions'!$I$7:$I$34,"PM 10",'abrasion emissions'!$J$7:$J$34,"motorway",'abrasion emissions'!$K$7:$K$34,"Tyre",'abrasion emissions'!$L$7:$L$34,"c")))))/1000000</f>
        <v>2.4199002115490691E-6</v>
      </c>
      <c r="CQ13" s="7">
        <f>((SUMIFS('abrasion emissions'!$M$7:$M$34,'abrasion emissions'!$I$7:$I$34,"PM 2.5",'abrasion emissions'!$J$7:$J$34,"urban",'abrasion emissions'!$K$7:$K$34,"Brake",'abrasion emissions'!$L$7:$L$34,"b")*POWER(('vehicles specifications'!$Q13/1000),(1/SUMIFS('abrasion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specifications'!$P13/1000),(1/SUMIFS('abrasion emissions'!$M$7:$M$34,'abrasion emissions'!$I$7:$I$34,"PM 10",'abrasion emissions'!$J$7:$J$34,"urban",'abrasion emissions'!$K$7:$K$34,"Brake",'abrasion emissions'!$L$7:$L$34,"c")))))/1000000</f>
        <v>3.4060125107571902E-6</v>
      </c>
      <c r="CR13" s="7">
        <f>((SUMIFS('abrasion emissions'!$M$7:$M$34,'abrasion emissions'!$I$7:$I$34,"PM 2.5",'abrasion emissions'!$J$7:$J$34,"rural",'abrasion emissions'!$K$7:$K$34,"Brake",'abrasion emissions'!$L$7:$L$34,"b")*POWER(('vehicles specifications'!$Q13/1000),(1/SUMIFS('abrasion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specifications'!$P13/1000),(1/SUMIFS('abrasion emissions'!$M$7:$M$34,'abrasion emissions'!$I$7:$I$34,"PM 10",'abrasion emissions'!$J$7:$J$34,"rural",'abrasion emissions'!$K$7:$K$34,"Brake",'abrasion emissions'!$L$7:$L$34,"c")))))/1000000</f>
        <v>9.6273030903555574E-7</v>
      </c>
      <c r="CS13" s="7">
        <f>((SUMIFS('abrasion emissions'!$M$7:$M$34,'abrasion emissions'!$I$7:$I$34,"PM 2.5",'abrasion emissions'!$J$7:$J$34,"motorway",'abrasion emissions'!$K$7:$K$34,"Brake",'abrasion emissions'!$L$7:$L$34,"b")*POWER(('vehicles specifications'!$Q13/1000),(1/SUMIFS('abrasion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specifications'!$P13/1000),(1/SUMIFS('abrasion emissions'!$M$7:$M$34,'abrasion emissions'!$I$7:$I$34,"PM 10",'abrasion emissions'!$J$7:$J$34,"motorway",'abrasion emissions'!$K$7:$K$34,"Brake",'abrasion emissions'!$L$7:$L$34,"c")))))/1000000</f>
        <v>1.6339030836720791E-7</v>
      </c>
      <c r="CT13" s="7">
        <f>((SUMIFS('abrasion emissions'!$M$7:$M$38,'abrasion emissions'!$I$7:$I$38,"PM 2.5",'abrasion emissions'!$K$7:$K$38,"Re-susp.",'abrasion emissions'!$L$7:$L$38,"b")*POWER(('vehicles specifications'!$Q13/1000),(1/SUMIFS('abrasion emissions'!$M$7:$M$38,'abrasion emissions'!$I$7:$I$38,"PM 2.5",'abrasion emissions'!$K$7:$K$38,"Re-susp.",'abrasion emissions'!$L$7:$L$38,"c"))))+
(SUMIFS('abrasion emissions'!$M$7:$M$38,'abrasion emissions'!$I$7:$I$38,"PM 10",'abrasion emissions'!$K$7:$K$38,"Re-susp.",'abrasion emissions'!$L$7:$L$38,"b")*POWER(('vehicles specifications'!$Q13/1000),(1/SUMIFS('abrasion emissions'!$M$7:$M$38,'abrasion emissions'!$I$7:$I$38,"PM 10",'abrasion emissions'!$K$7:$K$38,"Re-susp.",'abrasion emissions'!$L$7:$L$38,"c")))))/1000000</f>
        <v>1.7581531063923127E-6</v>
      </c>
      <c r="CU13" s="7">
        <f>((SUMIFS('abrasion emissions'!$M$7:$M$38,'abrasion emissions'!$I$7:$I$38,"PM 2.5",'abrasion emissions'!$K$7:$K$38,"Road",'abrasion emissions'!$L$7:$L$38,"b")*POWER(('vehicles specifications'!$Q13/1000),(1/SUMIFS('abrasion emissions'!$M$7:$M$38,'abrasion emissions'!$I$7:$I$38,"PM 2.5",'abrasion emissions'!$K$7:$K$38,"Road",'abrasion emissions'!$L$7:$L$38,"c"))))+
(SUMIFS('abrasion emissions'!$M$7:$M$38,'abrasion emissions'!$I$7:$I$38,"PM 10",'abrasion emissions'!$K$7:$K$38,"Road",'abrasion emissions'!$L$7:$L$38,"b")*POWER(('vehicles specifications'!$Q13/1000),(1/SUMIFS('abrasion emissions'!$M$7:$M$38,'abrasion emissions'!$I$7:$I$38,"PM 10",'abrasion emissions'!$K$7:$K$38,"Road",'abrasion emissions'!$L$7:$L$38,"c")))))/1000000+CT13</f>
        <v>3.7416107208265778E-6</v>
      </c>
      <c r="CV13" s="7">
        <f t="shared" si="13"/>
        <v>3.6265994283366797E-6</v>
      </c>
      <c r="CW13" s="7">
        <f t="shared" si="14"/>
        <v>3.4060125107571902E-6</v>
      </c>
    </row>
    <row r="14" spans="1:101" x14ac:dyDescent="0.2">
      <c r="A14" t="str">
        <f t="shared" si="28"/>
        <v>Kick Scooter, electric, &lt;1kW - 2050 - NCA - CH</v>
      </c>
      <c r="B14" t="s">
        <v>393</v>
      </c>
      <c r="D14" s="18">
        <v>2050</v>
      </c>
      <c r="E14" t="s">
        <v>37</v>
      </c>
      <c r="F14" t="s">
        <v>138</v>
      </c>
      <c r="G14" t="s">
        <v>39</v>
      </c>
      <c r="H14" t="s">
        <v>32</v>
      </c>
      <c r="I14" t="s">
        <v>45</v>
      </c>
      <c r="J14">
        <v>1785</v>
      </c>
      <c r="K14">
        <v>890</v>
      </c>
      <c r="L14" s="2">
        <f t="shared" si="29"/>
        <v>2.00561797752809</v>
      </c>
      <c r="M14">
        <v>1</v>
      </c>
      <c r="N14">
        <v>75</v>
      </c>
      <c r="O14">
        <v>0</v>
      </c>
      <c r="P14" s="2">
        <f t="shared" si="27"/>
        <v>10.510000000000002</v>
      </c>
      <c r="Q14" s="2">
        <f t="shared" si="30"/>
        <v>85.51</v>
      </c>
      <c r="R14">
        <v>0.25</v>
      </c>
      <c r="S14" s="2">
        <v>7</v>
      </c>
      <c r="T14" s="1">
        <v>7.0000000000000007E-2</v>
      </c>
      <c r="U14" s="2">
        <f t="shared" si="31"/>
        <v>6.51</v>
      </c>
      <c r="V14">
        <v>0</v>
      </c>
      <c r="W14">
        <v>2.7</v>
      </c>
      <c r="X14" s="6">
        <v>0.5</v>
      </c>
      <c r="Y14" s="1">
        <v>0.8</v>
      </c>
      <c r="Z14" s="3">
        <f t="shared" si="32"/>
        <v>0.4</v>
      </c>
      <c r="AA14" s="3">
        <f>IF(I14&lt;&gt;"",X14/INDEX('energy battery'!$B$3:$D$6,MATCH('vehicles specifications'!$D14,'energy battery'!$A$3:$A$6,0),MATCH('vehicles specifications'!$I14,'energy battery'!$B$2:$D$2,0)),"")</f>
        <v>1</v>
      </c>
      <c r="AB14" s="3">
        <f t="shared" si="6"/>
        <v>0.3</v>
      </c>
      <c r="AC14" s="3">
        <f t="shared" si="33"/>
        <v>1.3</v>
      </c>
      <c r="AD14">
        <v>0</v>
      </c>
      <c r="AE14">
        <v>0</v>
      </c>
      <c r="AF14">
        <v>0</v>
      </c>
      <c r="AG14">
        <v>0</v>
      </c>
      <c r="AH14">
        <v>0</v>
      </c>
      <c r="AI14">
        <v>0.5</v>
      </c>
      <c r="AJ14">
        <v>1</v>
      </c>
      <c r="AK14">
        <v>0</v>
      </c>
      <c r="AL14">
        <f t="shared" si="34"/>
        <v>4.5918870000000003E-5</v>
      </c>
      <c r="AM14">
        <v>0</v>
      </c>
      <c r="AN14" s="2">
        <f t="shared" si="35"/>
        <v>6.51</v>
      </c>
      <c r="AO14" s="2">
        <f t="shared" si="36"/>
        <v>2.7</v>
      </c>
      <c r="AP14" s="2">
        <f t="shared" si="37"/>
        <v>1.3</v>
      </c>
      <c r="AQ14" s="6" t="s">
        <v>85</v>
      </c>
      <c r="AR14" s="20"/>
      <c r="AS14" s="5">
        <v>8.6126327557294588E-2</v>
      </c>
      <c r="AT14" s="2">
        <f t="shared" si="12"/>
        <v>16.719626168224298</v>
      </c>
      <c r="AU14" s="5">
        <v>0</v>
      </c>
      <c r="AV14" s="5">
        <v>0</v>
      </c>
      <c r="AW14" s="7">
        <v>0</v>
      </c>
      <c r="AX14" s="7">
        <v>0</v>
      </c>
      <c r="AY14" s="7">
        <v>0</v>
      </c>
      <c r="AZ14" s="7">
        <v>0</v>
      </c>
      <c r="BA14" s="7">
        <v>0</v>
      </c>
      <c r="BB14" s="7">
        <v>0</v>
      </c>
      <c r="BC14" s="7">
        <v>0</v>
      </c>
      <c r="BD14" s="7">
        <v>0</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7">
        <v>0</v>
      </c>
      <c r="BY14" s="7">
        <v>0</v>
      </c>
      <c r="BZ14" s="7">
        <v>0</v>
      </c>
      <c r="CA14" s="7">
        <v>0</v>
      </c>
      <c r="CB14" s="7">
        <v>0</v>
      </c>
      <c r="CC14" s="7">
        <v>0</v>
      </c>
      <c r="CD14" s="7">
        <v>0</v>
      </c>
      <c r="CE14" s="7">
        <v>0</v>
      </c>
      <c r="CF14" s="7">
        <v>0</v>
      </c>
      <c r="CG14" s="7">
        <v>0</v>
      </c>
      <c r="CH14" s="7">
        <v>0</v>
      </c>
      <c r="CI14" s="7">
        <v>0</v>
      </c>
      <c r="CJ14" s="7">
        <v>0</v>
      </c>
      <c r="CK14" s="38">
        <f>VLOOKUP($B14,'abrasion emissions'!$O$7:$R$36,2,FALSE)</f>
        <v>1</v>
      </c>
      <c r="CL14" s="38">
        <f>VLOOKUP($B14,'abrasion emissions'!$O$7:$R$36,3,FALSE)</f>
        <v>0</v>
      </c>
      <c r="CM14" s="38">
        <f>VLOOKUP($B14,'abrasion emissions'!$O$7:$R$36,4,FALSE)</f>
        <v>0</v>
      </c>
      <c r="CN14" s="7">
        <f>((SUMIFS('abrasion emissions'!$M$7:$M$34,'abrasion emissions'!$I$7:$I$34,"PM 2.5",'abrasion emissions'!$J$7:$J$34,"urban",'abrasion emissions'!$K$7:$K$34,"Tyre",'abrasion emissions'!$L$7:$L$34,"b")*POWER(('vehicles specifications'!$Q14/1000),(1/SUMIFS('abrasion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specifications'!$P14/1000),(1/SUMIFS('abrasion emissions'!$M$7:$M$34,'abrasion emissions'!$I$7:$I$34,"PM 10",'abrasion emissions'!$J$7:$J$34,"urban",'abrasion emissions'!$K$7:$K$34,"Tyre",'abrasion emissions'!$L$7:$L$34,"c")))))/1000000</f>
        <v>3.6152719516232798E-6</v>
      </c>
      <c r="CO14" s="7">
        <f>((SUMIFS('abrasion emissions'!$M$7:$M$34,'abrasion emissions'!$I$7:$I$34,"PM 2.5",'abrasion emissions'!$J$7:$J$34,"rural",'abrasion emissions'!$K$7:$K$34,"Tyre",'abrasion emissions'!$L$7:$L$34,"b")*POWER(('vehicles specifications'!$Q14/1000),(1/SUMIFS('abrasion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specifications'!$P14/1000),(1/SUMIFS('abrasion emissions'!$M$7:$M$34,'abrasion emissions'!$I$7:$I$34,"PM 10",'abrasion emissions'!$J$7:$J$34,"rural",'abrasion emissions'!$K$7:$K$34,"Tyre",'abrasion emissions'!$L$7:$L$34,"c")))))/1000000</f>
        <v>2.8179736722715119E-6</v>
      </c>
      <c r="CP14" s="7">
        <f>((SUMIFS('abrasion emissions'!$M$7:$M$34,'abrasion emissions'!$I$7:$I$34,"PM 2.5",'abrasion emissions'!$J$7:$J$34,"motorway",'abrasion emissions'!$K$7:$K$34,"Tyre",'abrasion emissions'!$L$7:$L$34,"b")*POWER(('vehicles specifications'!$Q14/1000),(1/SUMIFS('abrasion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specifications'!$P14/1000),(1/SUMIFS('abrasion emissions'!$M$7:$M$34,'abrasion emissions'!$I$7:$I$34,"PM 10",'abrasion emissions'!$J$7:$J$34,"motorway",'abrasion emissions'!$K$7:$K$34,"Tyre",'abrasion emissions'!$L$7:$L$34,"c")))))/1000000</f>
        <v>2.4124253558314015E-6</v>
      </c>
      <c r="CQ14" s="7">
        <f>((SUMIFS('abrasion emissions'!$M$7:$M$34,'abrasion emissions'!$I$7:$I$34,"PM 2.5",'abrasion emissions'!$J$7:$J$34,"urban",'abrasion emissions'!$K$7:$K$34,"Brake",'abrasion emissions'!$L$7:$L$34,"b")*POWER(('vehicles specifications'!$Q14/1000),(1/SUMIFS('abrasion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specifications'!$P14/1000),(1/SUMIFS('abrasion emissions'!$M$7:$M$34,'abrasion emissions'!$I$7:$I$34,"PM 10",'abrasion emissions'!$J$7:$J$34,"urban",'abrasion emissions'!$K$7:$K$34,"Brake",'abrasion emissions'!$L$7:$L$34,"c")))))/1000000</f>
        <v>3.3969958388919805E-6</v>
      </c>
      <c r="CR14" s="7">
        <f>((SUMIFS('abrasion emissions'!$M$7:$M$34,'abrasion emissions'!$I$7:$I$34,"PM 2.5",'abrasion emissions'!$J$7:$J$34,"rural",'abrasion emissions'!$K$7:$K$34,"Brake",'abrasion emissions'!$L$7:$L$34,"b")*POWER(('vehicles specifications'!$Q14/1000),(1/SUMIFS('abrasion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specifications'!$P14/1000),(1/SUMIFS('abrasion emissions'!$M$7:$M$34,'abrasion emissions'!$I$7:$I$34,"PM 10",'abrasion emissions'!$J$7:$J$34,"rural",'abrasion emissions'!$K$7:$K$34,"Brake",'abrasion emissions'!$L$7:$L$34,"c")))))/1000000</f>
        <v>9.5978694932253584E-7</v>
      </c>
      <c r="CS14" s="7">
        <f>((SUMIFS('abrasion emissions'!$M$7:$M$34,'abrasion emissions'!$I$7:$I$34,"PM 2.5",'abrasion emissions'!$J$7:$J$34,"motorway",'abrasion emissions'!$K$7:$K$34,"Brake",'abrasion emissions'!$L$7:$L$34,"b")*POWER(('vehicles specifications'!$Q14/1000),(1/SUMIFS('abrasion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specifications'!$P14/1000),(1/SUMIFS('abrasion emissions'!$M$7:$M$34,'abrasion emissions'!$I$7:$I$34,"PM 10",'abrasion emissions'!$J$7:$J$34,"motorway",'abrasion emissions'!$K$7:$K$34,"Brake",'abrasion emissions'!$L$7:$L$34,"c")))))/1000000</f>
        <v>1.6285404338486507E-7</v>
      </c>
      <c r="CT14" s="7">
        <f>((SUMIFS('abrasion emissions'!$M$7:$M$38,'abrasion emissions'!$I$7:$I$38,"PM 2.5",'abrasion emissions'!$K$7:$K$38,"Re-susp.",'abrasion emissions'!$L$7:$L$38,"b")*POWER(('vehicles specifications'!$Q14/1000),(1/SUMIFS('abrasion emissions'!$M$7:$M$38,'abrasion emissions'!$I$7:$I$38,"PM 2.5",'abrasion emissions'!$K$7:$K$38,"Re-susp.",'abrasion emissions'!$L$7:$L$38,"c"))))+
(SUMIFS('abrasion emissions'!$M$7:$M$38,'abrasion emissions'!$I$7:$I$38,"PM 10",'abrasion emissions'!$K$7:$K$38,"Re-susp.",'abrasion emissions'!$L$7:$L$38,"b")*POWER(('vehicles specifications'!$Q14/1000),(1/SUMIFS('abrasion emissions'!$M$7:$M$38,'abrasion emissions'!$I$7:$I$38,"PM 10",'abrasion emissions'!$K$7:$K$38,"Re-susp.",'abrasion emissions'!$L$7:$L$38,"c")))))/1000000</f>
        <v>1.7536791018180504E-6</v>
      </c>
      <c r="CU14" s="7">
        <f>((SUMIFS('abrasion emissions'!$M$7:$M$38,'abrasion emissions'!$I$7:$I$38,"PM 2.5",'abrasion emissions'!$K$7:$K$38,"Road",'abrasion emissions'!$L$7:$L$38,"b")*POWER(('vehicles specifications'!$Q14/1000),(1/SUMIFS('abrasion emissions'!$M$7:$M$38,'abrasion emissions'!$I$7:$I$38,"PM 2.5",'abrasion emissions'!$K$7:$K$38,"Road",'abrasion emissions'!$L$7:$L$38,"c"))))+
(SUMIFS('abrasion emissions'!$M$7:$M$38,'abrasion emissions'!$I$7:$I$38,"PM 10",'abrasion emissions'!$K$7:$K$38,"Road",'abrasion emissions'!$L$7:$L$38,"b")*POWER(('vehicles specifications'!$Q14/1000),(1/SUMIFS('abrasion emissions'!$M$7:$M$38,'abrasion emissions'!$I$7:$I$38,"PM 10",'abrasion emissions'!$K$7:$K$38,"Road",'abrasion emissions'!$L$7:$L$38,"c")))))/1000000+CT14</f>
        <v>3.733434075561425E-6</v>
      </c>
      <c r="CV14" s="7">
        <f t="shared" si="13"/>
        <v>3.6152719516232798E-6</v>
      </c>
      <c r="CW14" s="7">
        <f t="shared" si="14"/>
        <v>3.3969958388919805E-6</v>
      </c>
    </row>
    <row r="15" spans="1:101" x14ac:dyDescent="0.2">
      <c r="A15" t="str">
        <f t="shared" si="1"/>
        <v>Bicycle, conventional, urban - 2020 - CH</v>
      </c>
      <c r="B15" t="s">
        <v>33</v>
      </c>
      <c r="D15" s="18">
        <v>2020</v>
      </c>
      <c r="E15" t="s">
        <v>37</v>
      </c>
      <c r="F15" t="s">
        <v>138</v>
      </c>
      <c r="G15" t="s">
        <v>39</v>
      </c>
      <c r="J15">
        <v>15000</v>
      </c>
      <c r="K15">
        <v>1000</v>
      </c>
      <c r="L15" s="2">
        <f t="shared" si="2"/>
        <v>15</v>
      </c>
      <c r="M15">
        <v>1</v>
      </c>
      <c r="N15">
        <v>75</v>
      </c>
      <c r="O15">
        <v>1</v>
      </c>
      <c r="P15" s="2">
        <f t="shared" si="0"/>
        <v>12</v>
      </c>
      <c r="Q15" s="2">
        <f t="shared" si="3"/>
        <v>88</v>
      </c>
      <c r="R15">
        <v>0</v>
      </c>
      <c r="S15" s="2">
        <v>12</v>
      </c>
      <c r="T15" s="1">
        <v>0</v>
      </c>
      <c r="U15" s="2">
        <f t="shared" si="4"/>
        <v>12</v>
      </c>
      <c r="V15">
        <v>0</v>
      </c>
      <c r="W15">
        <v>0</v>
      </c>
      <c r="X15" s="3">
        <v>0</v>
      </c>
      <c r="Y15" s="1">
        <v>0.8</v>
      </c>
      <c r="Z15" s="3">
        <f t="shared" si="5"/>
        <v>0</v>
      </c>
      <c r="AA15" s="3" t="str">
        <f>IF(I15&lt;&gt;"",X15/INDEX('energy battery'!$B$3:$D$6,MATCH('vehicles specifications'!$D15,'energy battery'!$A$3:$A$6,0),MATCH('vehicles specifications'!$I15,'energy battery'!$B$2:$D$2,0)),"")</f>
        <v/>
      </c>
      <c r="AB15" s="3" t="str">
        <f t="shared" si="6"/>
        <v/>
      </c>
      <c r="AC15" s="3" t="str">
        <f t="shared" si="7"/>
        <v/>
      </c>
      <c r="AD15">
        <v>0</v>
      </c>
      <c r="AE15">
        <v>0</v>
      </c>
      <c r="AF15">
        <v>0</v>
      </c>
      <c r="AG15">
        <v>0</v>
      </c>
      <c r="AH15">
        <v>0</v>
      </c>
      <c r="AI15">
        <v>0</v>
      </c>
      <c r="AJ15">
        <v>0</v>
      </c>
      <c r="AK15" s="6">
        <v>1</v>
      </c>
      <c r="AL15">
        <f t="shared" si="8"/>
        <v>4.7256000000000003E-5</v>
      </c>
      <c r="AM15">
        <v>0</v>
      </c>
      <c r="AN15" s="2">
        <f t="shared" si="9"/>
        <v>12</v>
      </c>
      <c r="AO15" s="2">
        <f t="shared" si="10"/>
        <v>0</v>
      </c>
      <c r="AP15" s="2" t="str">
        <f t="shared" si="11"/>
        <v/>
      </c>
      <c r="AQ15" s="6" t="s">
        <v>85</v>
      </c>
      <c r="AR15" s="20"/>
      <c r="AS15" s="6" t="str">
        <f>IF($H15="BEV",SUMPRODUCT(#REF!,#REF!),"")</f>
        <v/>
      </c>
      <c r="AT15" s="2">
        <v>0</v>
      </c>
      <c r="AU15" s="5">
        <v>0</v>
      </c>
      <c r="AV15" s="5">
        <v>0</v>
      </c>
      <c r="AW15" s="7">
        <v>0</v>
      </c>
      <c r="AX15" s="7">
        <v>0</v>
      </c>
      <c r="AY15" s="7">
        <v>0</v>
      </c>
      <c r="AZ15" s="7">
        <v>0</v>
      </c>
      <c r="BA15" s="7">
        <v>0</v>
      </c>
      <c r="BB15" s="7">
        <v>0</v>
      </c>
      <c r="BC15" s="7">
        <v>0</v>
      </c>
      <c r="BD15" s="7">
        <v>0</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v>0</v>
      </c>
      <c r="CE15" s="7">
        <v>0</v>
      </c>
      <c r="CF15" s="7">
        <v>0</v>
      </c>
      <c r="CG15" s="7">
        <v>0</v>
      </c>
      <c r="CH15" s="7">
        <v>0</v>
      </c>
      <c r="CI15" s="7">
        <v>0</v>
      </c>
      <c r="CJ15" s="7">
        <v>0</v>
      </c>
      <c r="CK15" s="38">
        <f>VLOOKUP($B15,'abrasion emissions'!$O$7:$R$36,2,FALSE)</f>
        <v>1</v>
      </c>
      <c r="CL15" s="38">
        <f>VLOOKUP($B15,'abrasion emissions'!$O$7:$R$36,3,FALSE)</f>
        <v>0</v>
      </c>
      <c r="CM15" s="38">
        <f>VLOOKUP($B15,'abrasion emissions'!$O$7:$R$36,4,FALSE)</f>
        <v>0</v>
      </c>
      <c r="CN15" s="7">
        <f>((SUMIFS('abrasion emissions'!$M$7:$M$34,'abrasion emissions'!$I$7:$I$34,"PM 2.5",'abrasion emissions'!$J$7:$J$34,"urban",'abrasion emissions'!$K$7:$K$34,"Tyre",'abrasion emissions'!$L$7:$L$34,"b")*POWER(('vehicles specifications'!$Q15/1000),(1/SUMIFS('abrasion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specifications'!$P15/1000),(1/SUMIFS('abrasion emissions'!$M$7:$M$34,'abrasion emissions'!$I$7:$I$34,"PM 10",'abrasion emissions'!$J$7:$J$34,"urban",'abrasion emissions'!$K$7:$K$34,"Tyre",'abrasion emissions'!$L$7:$L$34,"c")))))/1000000</f>
        <v>3.6981099122289053E-6</v>
      </c>
      <c r="CO15" s="7">
        <f>((SUMIFS('abrasion emissions'!$M$7:$M$34,'abrasion emissions'!$I$7:$I$34,"PM 2.5",'abrasion emissions'!$J$7:$J$34,"rural",'abrasion emissions'!$K$7:$K$34,"Tyre",'abrasion emissions'!$L$7:$L$34,"b")*POWER(('vehicles specifications'!$Q15/1000),(1/SUMIFS('abrasion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specifications'!$P15/1000),(1/SUMIFS('abrasion emissions'!$M$7:$M$34,'abrasion emissions'!$I$7:$I$34,"PM 10",'abrasion emissions'!$J$7:$J$34,"rural",'abrasion emissions'!$K$7:$K$34,"Tyre",'abrasion emissions'!$L$7:$L$34,"c")))))/1000000</f>
        <v>2.8824080248729818E-6</v>
      </c>
      <c r="CP15" s="7">
        <f>((SUMIFS('abrasion emissions'!$M$7:$M$34,'abrasion emissions'!$I$7:$I$34,"PM 2.5",'abrasion emissions'!$J$7:$J$34,"motorway",'abrasion emissions'!$K$7:$K$34,"Tyre",'abrasion emissions'!$L$7:$L$34,"b")*POWER(('vehicles specifications'!$Q15/1000),(1/SUMIFS('abrasion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specifications'!$P15/1000),(1/SUMIFS('abrasion emissions'!$M$7:$M$34,'abrasion emissions'!$I$7:$I$34,"PM 10",'abrasion emissions'!$J$7:$J$34,"motorway",'abrasion emissions'!$K$7:$K$34,"Tyre",'abrasion emissions'!$L$7:$L$34,"c")))))/1000000</f>
        <v>2.467248527943531E-6</v>
      </c>
      <c r="CQ15" s="7">
        <f>((SUMIFS('abrasion emissions'!$M$7:$M$34,'abrasion emissions'!$I$7:$I$34,"PM 2.5",'abrasion emissions'!$J$7:$J$34,"urban",'abrasion emissions'!$K$7:$K$34,"Brake",'abrasion emissions'!$L$7:$L$34,"b")*POWER(('vehicles specifications'!$Q15/1000),(1/SUMIFS('abrasion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specifications'!$P15/1000),(1/SUMIFS('abrasion emissions'!$M$7:$M$34,'abrasion emissions'!$I$7:$I$34,"PM 10",'abrasion emissions'!$J$7:$J$34,"urban",'abrasion emissions'!$K$7:$K$34,"Brake",'abrasion emissions'!$L$7:$L$34,"c")))))/1000000</f>
        <v>3.470493115296593E-6</v>
      </c>
      <c r="CR15" s="7">
        <f>((SUMIFS('abrasion emissions'!$M$7:$M$34,'abrasion emissions'!$I$7:$I$34,"PM 2.5",'abrasion emissions'!$J$7:$J$34,"rural",'abrasion emissions'!$K$7:$K$34,"Brake",'abrasion emissions'!$L$7:$L$34,"b")*POWER(('vehicles specifications'!$Q15/1000),(1/SUMIFS('abrasion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specifications'!$P15/1000),(1/SUMIFS('abrasion emissions'!$M$7:$M$34,'abrasion emissions'!$I$7:$I$34,"PM 10",'abrasion emissions'!$J$7:$J$34,"rural",'abrasion emissions'!$K$7:$K$34,"Brake",'abrasion emissions'!$L$7:$L$34,"c")))))/1000000</f>
        <v>9.846424299762865E-7</v>
      </c>
      <c r="CS15" s="7">
        <f>((SUMIFS('abrasion emissions'!$M$7:$M$34,'abrasion emissions'!$I$7:$I$34,"PM 2.5",'abrasion emissions'!$J$7:$J$34,"motorway",'abrasion emissions'!$K$7:$K$34,"Brake",'abrasion emissions'!$L$7:$L$34,"b")*POWER(('vehicles specifications'!$Q15/1000),(1/SUMIFS('abrasion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specifications'!$P15/1000),(1/SUMIFS('abrasion emissions'!$M$7:$M$34,'abrasion emissions'!$I$7:$I$34,"PM 10",'abrasion emissions'!$J$7:$J$34,"motorway",'abrasion emissions'!$K$7:$K$34,"Brake",'abrasion emissions'!$L$7:$L$34,"c")))))/1000000</f>
        <v>1.6751271044146034E-7</v>
      </c>
      <c r="CT15" s="7">
        <f>((SUMIFS('abrasion emissions'!$M$7:$M$38,'abrasion emissions'!$I$7:$I$38,"PM 2.5",'abrasion emissions'!$K$7:$K$38,"Re-susp.",'abrasion emissions'!$L$7:$L$38,"b")*POWER(('vehicles specifications'!$Q15/1000),(1/SUMIFS('abrasion emissions'!$M$7:$M$38,'abrasion emissions'!$I$7:$I$38,"PM 2.5",'abrasion emissions'!$K$7:$K$38,"Re-susp.",'abrasion emissions'!$L$7:$L$38,"c"))))+
(SUMIFS('abrasion emissions'!$M$7:$M$38,'abrasion emissions'!$I$7:$I$38,"PM 10",'abrasion emissions'!$K$7:$K$38,"Re-susp.",'abrasion emissions'!$L$7:$L$38,"b")*POWER(('vehicles specifications'!$Q15/1000),(1/SUMIFS('abrasion emissions'!$M$7:$M$38,'abrasion emissions'!$I$7:$I$38,"PM 10",'abrasion emissions'!$K$7:$K$38,"Re-susp.",'abrasion emissions'!$L$7:$L$38,"c")))))/1000000</f>
        <v>1.8000420098997061E-6</v>
      </c>
      <c r="CU15" s="7">
        <f>((SUMIFS('abrasion emissions'!$M$7:$M$38,'abrasion emissions'!$I$7:$I$38,"PM 2.5",'abrasion emissions'!$K$7:$K$38,"Road",'abrasion emissions'!$L$7:$L$38,"b")*POWER(('vehicles specifications'!$Q15/1000),(1/SUMIFS('abrasion emissions'!$M$7:$M$38,'abrasion emissions'!$I$7:$I$38,"PM 2.5",'abrasion emissions'!$K$7:$K$38,"Road",'abrasion emissions'!$L$7:$L$38,"c"))))+
(SUMIFS('abrasion emissions'!$M$7:$M$38,'abrasion emissions'!$I$7:$I$38,"PM 10",'abrasion emissions'!$K$7:$K$38,"Road",'abrasion emissions'!$L$7:$L$38,"b")*POWER(('vehicles specifications'!$Q15/1000),(1/SUMIFS('abrasion emissions'!$M$7:$M$38,'abrasion emissions'!$I$7:$I$38,"PM 10",'abrasion emissions'!$K$7:$K$38,"Road",'abrasion emissions'!$L$7:$L$38,"c")))))/1000000+CT15</f>
        <v>3.8180456867451752E-6</v>
      </c>
      <c r="CV15" s="7">
        <f t="shared" si="13"/>
        <v>3.6981099122289053E-6</v>
      </c>
      <c r="CW15" s="7">
        <f t="shared" si="14"/>
        <v>3.470493115296593E-6</v>
      </c>
    </row>
    <row r="16" spans="1:101" x14ac:dyDescent="0.2">
      <c r="A16" t="str">
        <f t="shared" si="1"/>
        <v>Bicycle, conventional, urban - 2030 - CH</v>
      </c>
      <c r="B16" t="s">
        <v>33</v>
      </c>
      <c r="D16" s="18">
        <v>2030</v>
      </c>
      <c r="E16" t="s">
        <v>37</v>
      </c>
      <c r="F16" t="s">
        <v>138</v>
      </c>
      <c r="G16" t="s">
        <v>39</v>
      </c>
      <c r="J16">
        <v>15000</v>
      </c>
      <c r="K16">
        <v>1000</v>
      </c>
      <c r="L16" s="2">
        <f t="shared" si="2"/>
        <v>15</v>
      </c>
      <c r="M16">
        <v>1</v>
      </c>
      <c r="N16">
        <v>75</v>
      </c>
      <c r="O16">
        <v>1</v>
      </c>
      <c r="P16" s="2">
        <f t="shared" si="0"/>
        <v>11.64</v>
      </c>
      <c r="Q16" s="2">
        <f t="shared" si="3"/>
        <v>87.64</v>
      </c>
      <c r="R16">
        <v>0</v>
      </c>
      <c r="S16" s="2">
        <v>12</v>
      </c>
      <c r="T16" s="1">
        <v>0.03</v>
      </c>
      <c r="U16" s="2">
        <f t="shared" si="4"/>
        <v>11.64</v>
      </c>
      <c r="V16">
        <v>0</v>
      </c>
      <c r="W16">
        <v>0</v>
      </c>
      <c r="X16" s="3">
        <v>0</v>
      </c>
      <c r="Y16" s="1">
        <v>0.8</v>
      </c>
      <c r="Z16" s="3">
        <f t="shared" si="5"/>
        <v>0</v>
      </c>
      <c r="AA16" s="3" t="str">
        <f>IF(I16&lt;&gt;"",X16/INDEX('energy battery'!$B$3:$D$6,MATCH('vehicles specifications'!$D16,'energy battery'!$A$3:$A$6,0),MATCH('vehicles specifications'!$I16,'energy battery'!$B$2:$D$2,0)),"")</f>
        <v/>
      </c>
      <c r="AB16" s="3" t="str">
        <f t="shared" si="6"/>
        <v/>
      </c>
      <c r="AC16" s="3" t="str">
        <f t="shared" si="7"/>
        <v/>
      </c>
      <c r="AD16">
        <v>0</v>
      </c>
      <c r="AE16">
        <v>0</v>
      </c>
      <c r="AF16">
        <v>0</v>
      </c>
      <c r="AG16">
        <v>0</v>
      </c>
      <c r="AH16">
        <v>0</v>
      </c>
      <c r="AI16">
        <v>0</v>
      </c>
      <c r="AJ16">
        <v>0</v>
      </c>
      <c r="AK16" s="6">
        <v>1</v>
      </c>
      <c r="AL16">
        <f t="shared" si="8"/>
        <v>4.7062679999999998E-5</v>
      </c>
      <c r="AM16">
        <v>0</v>
      </c>
      <c r="AN16" s="2">
        <f t="shared" si="9"/>
        <v>11.64</v>
      </c>
      <c r="AO16" s="2">
        <f t="shared" si="10"/>
        <v>0</v>
      </c>
      <c r="AP16" s="2" t="str">
        <f t="shared" si="11"/>
        <v/>
      </c>
      <c r="AQ16" s="6" t="s">
        <v>85</v>
      </c>
      <c r="AR16" s="20"/>
      <c r="AS16" s="6" t="str">
        <f>IF($H16="BEV",SUMPRODUCT(#REF!,#REF!),"")</f>
        <v/>
      </c>
      <c r="AT16" s="2">
        <v>0</v>
      </c>
      <c r="AU16" s="5">
        <v>0</v>
      </c>
      <c r="AV16" s="5">
        <v>0</v>
      </c>
      <c r="AW16" s="7">
        <v>0</v>
      </c>
      <c r="AX16" s="7">
        <v>0</v>
      </c>
      <c r="AY16" s="7">
        <v>0</v>
      </c>
      <c r="AZ16" s="7">
        <v>0</v>
      </c>
      <c r="BA16" s="7">
        <v>0</v>
      </c>
      <c r="BB16" s="7">
        <v>0</v>
      </c>
      <c r="BC16" s="7">
        <v>0</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7">
        <v>0</v>
      </c>
      <c r="BY16" s="7">
        <v>0</v>
      </c>
      <c r="BZ16" s="7">
        <v>0</v>
      </c>
      <c r="CA16" s="7">
        <v>0</v>
      </c>
      <c r="CB16" s="7">
        <v>0</v>
      </c>
      <c r="CC16" s="7">
        <v>0</v>
      </c>
      <c r="CD16" s="7">
        <v>0</v>
      </c>
      <c r="CE16" s="7">
        <v>0</v>
      </c>
      <c r="CF16" s="7">
        <v>0</v>
      </c>
      <c r="CG16" s="7">
        <v>0</v>
      </c>
      <c r="CH16" s="7">
        <v>0</v>
      </c>
      <c r="CI16" s="7">
        <v>0</v>
      </c>
      <c r="CJ16" s="7">
        <v>0</v>
      </c>
      <c r="CK16" s="38">
        <f>VLOOKUP($B16,'abrasion emissions'!$O$7:$R$36,2,FALSE)</f>
        <v>1</v>
      </c>
      <c r="CL16" s="38">
        <f>VLOOKUP($B16,'abrasion emissions'!$O$7:$R$36,3,FALSE)</f>
        <v>0</v>
      </c>
      <c r="CM16" s="38">
        <f>VLOOKUP($B16,'abrasion emissions'!$O$7:$R$36,4,FALSE)</f>
        <v>0</v>
      </c>
      <c r="CN16" s="7">
        <f>((SUMIFS('abrasion emissions'!$M$7:$M$34,'abrasion emissions'!$I$7:$I$34,"PM 2.5",'abrasion emissions'!$J$7:$J$34,"urban",'abrasion emissions'!$K$7:$K$34,"Tyre",'abrasion emissions'!$L$7:$L$34,"b")*POWER(('vehicles specifications'!$Q16/1000),(1/SUMIFS('abrasion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specifications'!$P16/1000),(1/SUMIFS('abrasion emissions'!$M$7:$M$34,'abrasion emissions'!$I$7:$I$34,"PM 10",'abrasion emissions'!$J$7:$J$34,"urban",'abrasion emissions'!$K$7:$K$34,"Tyre",'abrasion emissions'!$L$7:$L$34,"c")))))/1000000</f>
        <v>3.6818808942371148E-6</v>
      </c>
      <c r="CO16" s="7">
        <f>((SUMIFS('abrasion emissions'!$M$7:$M$34,'abrasion emissions'!$I$7:$I$34,"PM 2.5",'abrasion emissions'!$J$7:$J$34,"rural",'abrasion emissions'!$K$7:$K$34,"Tyre",'abrasion emissions'!$L$7:$L$34,"b")*POWER(('vehicles specifications'!$Q16/1000),(1/SUMIFS('abrasion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specifications'!$P16/1000),(1/SUMIFS('abrasion emissions'!$M$7:$M$34,'abrasion emissions'!$I$7:$I$34,"PM 10",'abrasion emissions'!$J$7:$J$34,"rural",'abrasion emissions'!$K$7:$K$34,"Tyre",'abrasion emissions'!$L$7:$L$34,"c")))))/1000000</f>
        <v>2.8697930669702255E-6</v>
      </c>
      <c r="CP16" s="7">
        <f>((SUMIFS('abrasion emissions'!$M$7:$M$34,'abrasion emissions'!$I$7:$I$34,"PM 2.5",'abrasion emissions'!$J$7:$J$34,"motorway",'abrasion emissions'!$K$7:$K$34,"Tyre",'abrasion emissions'!$L$7:$L$34,"b")*POWER(('vehicles specifications'!$Q16/1000),(1/SUMIFS('abrasion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specifications'!$P16/1000),(1/SUMIFS('abrasion emissions'!$M$7:$M$34,'abrasion emissions'!$I$7:$I$34,"PM 10",'abrasion emissions'!$J$7:$J$34,"motorway",'abrasion emissions'!$K$7:$K$34,"Tyre",'abrasion emissions'!$L$7:$L$34,"c")))))/1000000</f>
        <v>2.4565367501636699E-6</v>
      </c>
      <c r="CQ16" s="7">
        <f>((SUMIFS('abrasion emissions'!$M$7:$M$34,'abrasion emissions'!$I$7:$I$34,"PM 2.5",'abrasion emissions'!$J$7:$J$34,"urban",'abrasion emissions'!$K$7:$K$34,"Brake",'abrasion emissions'!$L$7:$L$34,"b")*POWER(('vehicles specifications'!$Q16/1000),(1/SUMIFS('abrasion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specifications'!$P16/1000),(1/SUMIFS('abrasion emissions'!$M$7:$M$34,'abrasion emissions'!$I$7:$I$34,"PM 10",'abrasion emissions'!$J$7:$J$34,"urban",'abrasion emissions'!$K$7:$K$34,"Brake",'abrasion emissions'!$L$7:$L$34,"c")))))/1000000</f>
        <v>3.4573831467413908E-6</v>
      </c>
      <c r="CR16" s="7">
        <f>((SUMIFS('abrasion emissions'!$M$7:$M$34,'abrasion emissions'!$I$7:$I$34,"PM 2.5",'abrasion emissions'!$J$7:$J$34,"rural",'abrasion emissions'!$K$7:$K$34,"Brake",'abrasion emissions'!$L$7:$L$34,"b")*POWER(('vehicles specifications'!$Q16/1000),(1/SUMIFS('abrasion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specifications'!$P16/1000),(1/SUMIFS('abrasion emissions'!$M$7:$M$34,'abrasion emissions'!$I$7:$I$34,"PM 10",'abrasion emissions'!$J$7:$J$34,"rural",'abrasion emissions'!$K$7:$K$34,"Brake",'abrasion emissions'!$L$7:$L$34,"c")))))/1000000</f>
        <v>9.8031619564527493E-7</v>
      </c>
      <c r="CS16" s="7">
        <f>((SUMIFS('abrasion emissions'!$M$7:$M$34,'abrasion emissions'!$I$7:$I$34,"PM 2.5",'abrasion emissions'!$J$7:$J$34,"motorway",'abrasion emissions'!$K$7:$K$34,"Brake",'abrasion emissions'!$L$7:$L$34,"b")*POWER(('vehicles specifications'!$Q16/1000),(1/SUMIFS('abrasion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specifications'!$P16/1000),(1/SUMIFS('abrasion emissions'!$M$7:$M$34,'abrasion emissions'!$I$7:$I$34,"PM 10",'abrasion emissions'!$J$7:$J$34,"motorway",'abrasion emissions'!$K$7:$K$34,"Brake",'abrasion emissions'!$L$7:$L$34,"c")))))/1000000</f>
        <v>1.6671879547692214E-7</v>
      </c>
      <c r="CT16" s="7">
        <f>((SUMIFS('abrasion emissions'!$M$7:$M$38,'abrasion emissions'!$I$7:$I$38,"PM 2.5",'abrasion emissions'!$K$7:$K$38,"Re-susp.",'abrasion emissions'!$L$7:$L$38,"b")*POWER(('vehicles specifications'!$Q16/1000),(1/SUMIFS('abrasion emissions'!$M$7:$M$38,'abrasion emissions'!$I$7:$I$38,"PM 2.5",'abrasion emissions'!$K$7:$K$38,"Re-susp.",'abrasion emissions'!$L$7:$L$38,"c"))))+
(SUMIFS('abrasion emissions'!$M$7:$M$38,'abrasion emissions'!$I$7:$I$38,"PM 10",'abrasion emissions'!$K$7:$K$38,"Re-susp.",'abrasion emissions'!$L$7:$L$38,"b")*POWER(('vehicles specifications'!$Q16/1000),(1/SUMIFS('abrasion emissions'!$M$7:$M$38,'abrasion emissions'!$I$7:$I$38,"PM 10",'abrasion emissions'!$K$7:$K$38,"Re-susp.",'abrasion emissions'!$L$7:$L$38,"c")))))/1000000</f>
        <v>1.7933463921116648E-6</v>
      </c>
      <c r="CU16" s="7">
        <f>((SUMIFS('abrasion emissions'!$M$7:$M$38,'abrasion emissions'!$I$7:$I$38,"PM 2.5",'abrasion emissions'!$K$7:$K$38,"Road",'abrasion emissions'!$L$7:$L$38,"b")*POWER(('vehicles specifications'!$Q16/1000),(1/SUMIFS('abrasion emissions'!$M$7:$M$38,'abrasion emissions'!$I$7:$I$38,"PM 2.5",'abrasion emissions'!$K$7:$K$38,"Road",'abrasion emissions'!$L$7:$L$38,"c"))))+
(SUMIFS('abrasion emissions'!$M$7:$M$38,'abrasion emissions'!$I$7:$I$38,"PM 10",'abrasion emissions'!$K$7:$K$38,"Road",'abrasion emissions'!$L$7:$L$38,"b")*POWER(('vehicles specifications'!$Q16/1000),(1/SUMIFS('abrasion emissions'!$M$7:$M$38,'abrasion emissions'!$I$7:$I$38,"PM 10",'abrasion emissions'!$K$7:$K$38,"Road",'abrasion emissions'!$L$7:$L$38,"c")))))/1000000+CT16</f>
        <v>3.8058426632405336E-6</v>
      </c>
      <c r="CV16" s="7">
        <f t="shared" si="13"/>
        <v>3.6818808942371148E-6</v>
      </c>
      <c r="CW16" s="7">
        <f t="shared" si="14"/>
        <v>3.4573831467413908E-6</v>
      </c>
    </row>
    <row r="17" spans="1:101" x14ac:dyDescent="0.2">
      <c r="A17" t="str">
        <f t="shared" si="1"/>
        <v>Bicycle, conventional, urban - 2040 - CH</v>
      </c>
      <c r="B17" t="s">
        <v>33</v>
      </c>
      <c r="D17" s="18">
        <v>2040</v>
      </c>
      <c r="E17" t="s">
        <v>37</v>
      </c>
      <c r="F17" t="s">
        <v>138</v>
      </c>
      <c r="G17" t="s">
        <v>39</v>
      </c>
      <c r="J17">
        <v>15000</v>
      </c>
      <c r="K17">
        <v>1000</v>
      </c>
      <c r="L17" s="2">
        <f t="shared" si="2"/>
        <v>15</v>
      </c>
      <c r="M17">
        <v>1</v>
      </c>
      <c r="N17">
        <v>75</v>
      </c>
      <c r="O17">
        <v>1</v>
      </c>
      <c r="P17" s="2">
        <f t="shared" si="0"/>
        <v>11.399999999999999</v>
      </c>
      <c r="Q17" s="2">
        <f t="shared" si="3"/>
        <v>87.4</v>
      </c>
      <c r="R17">
        <v>0</v>
      </c>
      <c r="S17" s="2">
        <v>12</v>
      </c>
      <c r="T17" s="1">
        <v>0.05</v>
      </c>
      <c r="U17" s="2">
        <f t="shared" si="4"/>
        <v>11.399999999999999</v>
      </c>
      <c r="V17">
        <v>0</v>
      </c>
      <c r="W17">
        <v>0</v>
      </c>
      <c r="X17" s="3">
        <v>0</v>
      </c>
      <c r="Y17" s="1">
        <v>0.8</v>
      </c>
      <c r="Z17" s="3">
        <f t="shared" si="5"/>
        <v>0</v>
      </c>
      <c r="AA17" s="3" t="str">
        <f>IF(I17&lt;&gt;"",X17/INDEX('energy battery'!$B$3:$D$6,MATCH('vehicles specifications'!$D17,'energy battery'!$A$3:$A$6,0),MATCH('vehicles specifications'!$I17,'energy battery'!$B$2:$D$2,0)),"")</f>
        <v/>
      </c>
      <c r="AB17" s="3" t="str">
        <f t="shared" si="6"/>
        <v/>
      </c>
      <c r="AC17" s="3" t="str">
        <f t="shared" si="7"/>
        <v/>
      </c>
      <c r="AD17">
        <v>0</v>
      </c>
      <c r="AE17">
        <v>0</v>
      </c>
      <c r="AF17">
        <v>0</v>
      </c>
      <c r="AG17">
        <v>0</v>
      </c>
      <c r="AH17">
        <v>0</v>
      </c>
      <c r="AI17">
        <v>0</v>
      </c>
      <c r="AJ17">
        <v>0</v>
      </c>
      <c r="AK17" s="6">
        <v>1</v>
      </c>
      <c r="AL17">
        <f t="shared" si="8"/>
        <v>4.6933800000000001E-5</v>
      </c>
      <c r="AM17">
        <v>0</v>
      </c>
      <c r="AN17" s="2">
        <f t="shared" si="9"/>
        <v>11.399999999999999</v>
      </c>
      <c r="AO17" s="2">
        <f t="shared" si="10"/>
        <v>0</v>
      </c>
      <c r="AP17" s="2" t="str">
        <f t="shared" si="11"/>
        <v/>
      </c>
      <c r="AQ17" s="6" t="s">
        <v>85</v>
      </c>
      <c r="AR17" s="20"/>
      <c r="AS17" s="6" t="str">
        <f>IF($H17="BEV",SUMPRODUCT(#REF!,#REF!),"")</f>
        <v/>
      </c>
      <c r="AT17" s="2">
        <v>0</v>
      </c>
      <c r="AU17" s="5">
        <v>0</v>
      </c>
      <c r="AV17" s="5">
        <v>0</v>
      </c>
      <c r="AW17" s="7">
        <v>0</v>
      </c>
      <c r="AX17" s="7">
        <v>0</v>
      </c>
      <c r="AY17" s="7">
        <v>0</v>
      </c>
      <c r="AZ17" s="7">
        <v>0</v>
      </c>
      <c r="BA17" s="7">
        <v>0</v>
      </c>
      <c r="BB17" s="7">
        <v>0</v>
      </c>
      <c r="BC17" s="7">
        <v>0</v>
      </c>
      <c r="BD17" s="7">
        <v>0</v>
      </c>
      <c r="BE17" s="7">
        <v>0</v>
      </c>
      <c r="BF17" s="7">
        <v>0</v>
      </c>
      <c r="BG17" s="7">
        <v>0</v>
      </c>
      <c r="BH17" s="7">
        <v>0</v>
      </c>
      <c r="BI17" s="7">
        <v>0</v>
      </c>
      <c r="BJ17" s="7">
        <v>0</v>
      </c>
      <c r="BK17" s="7">
        <v>0</v>
      </c>
      <c r="BL17" s="7">
        <v>0</v>
      </c>
      <c r="BM17" s="7">
        <v>0</v>
      </c>
      <c r="BN17" s="7">
        <v>0</v>
      </c>
      <c r="BO17" s="7">
        <v>0</v>
      </c>
      <c r="BP17" s="7">
        <v>0</v>
      </c>
      <c r="BQ17" s="7">
        <v>0</v>
      </c>
      <c r="BR17" s="7">
        <v>0</v>
      </c>
      <c r="BS17" s="7">
        <v>0</v>
      </c>
      <c r="BT17" s="7">
        <v>0</v>
      </c>
      <c r="BU17" s="7">
        <v>0</v>
      </c>
      <c r="BV17" s="7">
        <v>0</v>
      </c>
      <c r="BW17" s="7">
        <v>0</v>
      </c>
      <c r="BX17" s="7">
        <v>0</v>
      </c>
      <c r="BY17" s="7">
        <v>0</v>
      </c>
      <c r="BZ17" s="7">
        <v>0</v>
      </c>
      <c r="CA17" s="7">
        <v>0</v>
      </c>
      <c r="CB17" s="7">
        <v>0</v>
      </c>
      <c r="CC17" s="7">
        <v>0</v>
      </c>
      <c r="CD17" s="7">
        <v>0</v>
      </c>
      <c r="CE17" s="7">
        <v>0</v>
      </c>
      <c r="CF17" s="7">
        <v>0</v>
      </c>
      <c r="CG17" s="7">
        <v>0</v>
      </c>
      <c r="CH17" s="7">
        <v>0</v>
      </c>
      <c r="CI17" s="7">
        <v>0</v>
      </c>
      <c r="CJ17" s="7">
        <v>0</v>
      </c>
      <c r="CK17" s="38">
        <f>VLOOKUP($B17,'abrasion emissions'!$O$7:$R$36,2,FALSE)</f>
        <v>1</v>
      </c>
      <c r="CL17" s="38">
        <f>VLOOKUP($B17,'abrasion emissions'!$O$7:$R$36,3,FALSE)</f>
        <v>0</v>
      </c>
      <c r="CM17" s="38">
        <f>VLOOKUP($B17,'abrasion emissions'!$O$7:$R$36,4,FALSE)</f>
        <v>0</v>
      </c>
      <c r="CN17" s="7">
        <f>((SUMIFS('abrasion emissions'!$M$7:$M$34,'abrasion emissions'!$I$7:$I$34,"PM 2.5",'abrasion emissions'!$J$7:$J$34,"urban",'abrasion emissions'!$K$7:$K$34,"Tyre",'abrasion emissions'!$L$7:$L$34,"b")*POWER(('vehicles specifications'!$Q17/1000),(1/SUMIFS('abrasion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specifications'!$P17/1000),(1/SUMIFS('abrasion emissions'!$M$7:$M$34,'abrasion emissions'!$I$7:$I$34,"PM 10",'abrasion emissions'!$J$7:$J$34,"urban",'abrasion emissions'!$K$7:$K$34,"Tyre",'abrasion emissions'!$L$7:$L$34,"c")))))/1000000</f>
        <v>3.6709463022322847E-6</v>
      </c>
      <c r="CO17" s="7">
        <f>((SUMIFS('abrasion emissions'!$M$7:$M$34,'abrasion emissions'!$I$7:$I$34,"PM 2.5",'abrasion emissions'!$J$7:$J$34,"rural",'abrasion emissions'!$K$7:$K$34,"Tyre",'abrasion emissions'!$L$7:$L$34,"b")*POWER(('vehicles specifications'!$Q17/1000),(1/SUMIFS('abrasion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specifications'!$P17/1000),(1/SUMIFS('abrasion emissions'!$M$7:$M$34,'abrasion emissions'!$I$7:$I$34,"PM 10",'abrasion emissions'!$J$7:$J$34,"rural",'abrasion emissions'!$K$7:$K$34,"Tyre",'abrasion emissions'!$L$7:$L$34,"c")))))/1000000</f>
        <v>2.8612936492123031E-6</v>
      </c>
      <c r="CP17" s="7">
        <f>((SUMIFS('abrasion emissions'!$M$7:$M$34,'abrasion emissions'!$I$7:$I$34,"PM 2.5",'abrasion emissions'!$J$7:$J$34,"motorway",'abrasion emissions'!$K$7:$K$34,"Tyre",'abrasion emissions'!$L$7:$L$34,"b")*POWER(('vehicles specifications'!$Q17/1000),(1/SUMIFS('abrasion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specifications'!$P17/1000),(1/SUMIFS('abrasion emissions'!$M$7:$M$34,'abrasion emissions'!$I$7:$I$34,"PM 10",'abrasion emissions'!$J$7:$J$34,"motorway",'abrasion emissions'!$K$7:$K$34,"Tyre",'abrasion emissions'!$L$7:$L$34,"c")))))/1000000</f>
        <v>2.4493199566237322E-6</v>
      </c>
      <c r="CQ17" s="7">
        <f>((SUMIFS('abrasion emissions'!$M$7:$M$34,'abrasion emissions'!$I$7:$I$34,"PM 2.5",'abrasion emissions'!$J$7:$J$34,"urban",'abrasion emissions'!$K$7:$K$34,"Brake",'abrasion emissions'!$L$7:$L$34,"b")*POWER(('vehicles specifications'!$Q17/1000),(1/SUMIFS('abrasion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specifications'!$P17/1000),(1/SUMIFS('abrasion emissions'!$M$7:$M$34,'abrasion emissions'!$I$7:$I$34,"PM 10",'abrasion emissions'!$J$7:$J$34,"urban",'abrasion emissions'!$K$7:$K$34,"Brake",'abrasion emissions'!$L$7:$L$34,"c")))))/1000000</f>
        <v>3.4485828989510811E-6</v>
      </c>
      <c r="CR17" s="7">
        <f>((SUMIFS('abrasion emissions'!$M$7:$M$34,'abrasion emissions'!$I$7:$I$34,"PM 2.5",'abrasion emissions'!$J$7:$J$34,"rural",'abrasion emissions'!$K$7:$K$34,"Brake",'abrasion emissions'!$L$7:$L$34,"b")*POWER(('vehicles specifications'!$Q17/1000),(1/SUMIFS('abrasion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specifications'!$P17/1000),(1/SUMIFS('abrasion emissions'!$M$7:$M$34,'abrasion emissions'!$I$7:$I$34,"PM 10",'abrasion emissions'!$J$7:$J$34,"rural",'abrasion emissions'!$K$7:$K$34,"Brake",'abrasion emissions'!$L$7:$L$34,"c")))))/1000000</f>
        <v>9.774193214854052E-7</v>
      </c>
      <c r="CS17" s="7">
        <f>((SUMIFS('abrasion emissions'!$M$7:$M$34,'abrasion emissions'!$I$7:$I$34,"PM 2.5",'abrasion emissions'!$J$7:$J$34,"motorway",'abrasion emissions'!$K$7:$K$34,"Brake",'abrasion emissions'!$L$7:$L$34,"b")*POWER(('vehicles specifications'!$Q17/1000),(1/SUMIFS('abrasion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specifications'!$P17/1000),(1/SUMIFS('abrasion emissions'!$M$7:$M$34,'abrasion emissions'!$I$7:$I$34,"PM 10",'abrasion emissions'!$J$7:$J$34,"motorway",'abrasion emissions'!$K$7:$K$34,"Brake",'abrasion emissions'!$L$7:$L$34,"c")))))/1000000</f>
        <v>1.661880407693439E-7</v>
      </c>
      <c r="CT17" s="7">
        <f>((SUMIFS('abrasion emissions'!$M$7:$M$38,'abrasion emissions'!$I$7:$I$38,"PM 2.5",'abrasion emissions'!$K$7:$K$38,"Re-susp.",'abrasion emissions'!$L$7:$L$38,"b")*POWER(('vehicles specifications'!$Q17/1000),(1/SUMIFS('abrasion emissions'!$M$7:$M$38,'abrasion emissions'!$I$7:$I$38,"PM 2.5",'abrasion emissions'!$K$7:$K$38,"Re-susp.",'abrasion emissions'!$L$7:$L$38,"c"))))+
(SUMIFS('abrasion emissions'!$M$7:$M$38,'abrasion emissions'!$I$7:$I$38,"PM 10",'abrasion emissions'!$K$7:$K$38,"Re-susp.",'abrasion emissions'!$L$7:$L$38,"b")*POWER(('vehicles specifications'!$Q17/1000),(1/SUMIFS('abrasion emissions'!$M$7:$M$38,'abrasion emissions'!$I$7:$I$38,"PM 10",'abrasion emissions'!$K$7:$K$38,"Re-susp.",'abrasion emissions'!$L$7:$L$38,"c")))))/1000000</f>
        <v>1.7888812582742277E-6</v>
      </c>
      <c r="CU17" s="7">
        <f>((SUMIFS('abrasion emissions'!$M$7:$M$38,'abrasion emissions'!$I$7:$I$38,"PM 2.5",'abrasion emissions'!$K$7:$K$38,"Road",'abrasion emissions'!$L$7:$L$38,"b")*POWER(('vehicles specifications'!$Q17/1000),(1/SUMIFS('abrasion emissions'!$M$7:$M$38,'abrasion emissions'!$I$7:$I$38,"PM 2.5",'abrasion emissions'!$K$7:$K$38,"Road",'abrasion emissions'!$L$7:$L$38,"c"))))+
(SUMIFS('abrasion emissions'!$M$7:$M$38,'abrasion emissions'!$I$7:$I$38,"PM 10",'abrasion emissions'!$K$7:$K$38,"Road",'abrasion emissions'!$L$7:$L$38,"b")*POWER(('vehicles specifications'!$Q17/1000),(1/SUMIFS('abrasion emissions'!$M$7:$M$38,'abrasion emissions'!$I$7:$I$38,"PM 10",'abrasion emissions'!$K$7:$K$38,"Road",'abrasion emissions'!$L$7:$L$38,"c")))))/1000000+CT17</f>
        <v>3.7977017358485391E-6</v>
      </c>
      <c r="CV17" s="7">
        <f t="shared" si="13"/>
        <v>3.6709463022322847E-6</v>
      </c>
      <c r="CW17" s="7">
        <f t="shared" si="14"/>
        <v>3.4485828989510811E-6</v>
      </c>
    </row>
    <row r="18" spans="1:101" x14ac:dyDescent="0.2">
      <c r="A18" t="str">
        <f t="shared" si="1"/>
        <v>Bicycle, conventional, urban - 2050 - CH</v>
      </c>
      <c r="B18" t="s">
        <v>33</v>
      </c>
      <c r="D18" s="18">
        <v>2050</v>
      </c>
      <c r="E18" t="s">
        <v>37</v>
      </c>
      <c r="F18" t="s">
        <v>138</v>
      </c>
      <c r="G18" t="s">
        <v>39</v>
      </c>
      <c r="J18">
        <v>15000</v>
      </c>
      <c r="K18">
        <v>1000</v>
      </c>
      <c r="L18" s="2">
        <f t="shared" si="2"/>
        <v>15</v>
      </c>
      <c r="M18">
        <v>1</v>
      </c>
      <c r="N18">
        <v>75</v>
      </c>
      <c r="O18">
        <v>1</v>
      </c>
      <c r="P18" s="2">
        <f t="shared" si="0"/>
        <v>11.16</v>
      </c>
      <c r="Q18" s="2">
        <f t="shared" si="3"/>
        <v>87.16</v>
      </c>
      <c r="R18">
        <v>0</v>
      </c>
      <c r="S18" s="2">
        <v>12</v>
      </c>
      <c r="T18" s="1">
        <v>7.0000000000000007E-2</v>
      </c>
      <c r="U18" s="2">
        <f t="shared" si="4"/>
        <v>11.16</v>
      </c>
      <c r="V18">
        <v>0</v>
      </c>
      <c r="W18">
        <v>0</v>
      </c>
      <c r="X18" s="3">
        <v>0</v>
      </c>
      <c r="Y18" s="1">
        <v>0.8</v>
      </c>
      <c r="Z18" s="3">
        <f t="shared" si="5"/>
        <v>0</v>
      </c>
      <c r="AA18" s="3" t="str">
        <f>IF(I18&lt;&gt;"",X18/INDEX('energy battery'!$B$3:$D$6,MATCH('vehicles specifications'!$D18,'energy battery'!$A$3:$A$6,0),MATCH('vehicles specifications'!$I18,'energy battery'!$B$2:$D$2,0)),"")</f>
        <v/>
      </c>
      <c r="AB18" s="3" t="str">
        <f t="shared" si="6"/>
        <v/>
      </c>
      <c r="AC18" s="3" t="str">
        <f t="shared" si="7"/>
        <v/>
      </c>
      <c r="AD18">
        <v>0</v>
      </c>
      <c r="AE18">
        <v>0</v>
      </c>
      <c r="AF18">
        <v>0</v>
      </c>
      <c r="AG18">
        <v>0</v>
      </c>
      <c r="AH18">
        <v>0</v>
      </c>
      <c r="AI18">
        <v>0</v>
      </c>
      <c r="AJ18">
        <v>0</v>
      </c>
      <c r="AK18" s="6">
        <v>1</v>
      </c>
      <c r="AL18">
        <f t="shared" si="8"/>
        <v>4.6804919999999998E-5</v>
      </c>
      <c r="AM18">
        <v>0</v>
      </c>
      <c r="AN18" s="2">
        <f t="shared" si="9"/>
        <v>11.16</v>
      </c>
      <c r="AO18" s="2">
        <f t="shared" si="10"/>
        <v>0</v>
      </c>
      <c r="AP18" s="2" t="str">
        <f t="shared" si="11"/>
        <v/>
      </c>
      <c r="AQ18" s="6" t="s">
        <v>85</v>
      </c>
      <c r="AR18" s="20"/>
      <c r="AS18" s="6" t="str">
        <f>IF($H18="BEV",SUMPRODUCT(#REF!,#REF!),"")</f>
        <v/>
      </c>
      <c r="AT18" s="2">
        <v>0</v>
      </c>
      <c r="AU18" s="5">
        <v>0</v>
      </c>
      <c r="AV18" s="5">
        <v>0</v>
      </c>
      <c r="AW18" s="7">
        <v>0</v>
      </c>
      <c r="AX18" s="7">
        <v>0</v>
      </c>
      <c r="AY18" s="7">
        <v>0</v>
      </c>
      <c r="AZ18" s="7">
        <v>0</v>
      </c>
      <c r="BA18" s="7">
        <v>0</v>
      </c>
      <c r="BB18" s="7">
        <v>0</v>
      </c>
      <c r="BC18" s="7">
        <v>0</v>
      </c>
      <c r="BD18" s="7">
        <v>0</v>
      </c>
      <c r="BE18" s="7">
        <v>0</v>
      </c>
      <c r="BF18" s="7">
        <v>0</v>
      </c>
      <c r="BG18" s="7">
        <v>0</v>
      </c>
      <c r="BH18" s="7">
        <v>0</v>
      </c>
      <c r="BI18" s="7">
        <v>0</v>
      </c>
      <c r="BJ18" s="7">
        <v>0</v>
      </c>
      <c r="BK18" s="7">
        <v>0</v>
      </c>
      <c r="BL18" s="7">
        <v>0</v>
      </c>
      <c r="BM18" s="7">
        <v>0</v>
      </c>
      <c r="BN18" s="7">
        <v>0</v>
      </c>
      <c r="BO18" s="7">
        <v>0</v>
      </c>
      <c r="BP18" s="7">
        <v>0</v>
      </c>
      <c r="BQ18" s="7">
        <v>0</v>
      </c>
      <c r="BR18" s="7">
        <v>0</v>
      </c>
      <c r="BS18" s="7">
        <v>0</v>
      </c>
      <c r="BT18" s="7">
        <v>0</v>
      </c>
      <c r="BU18" s="7">
        <v>0</v>
      </c>
      <c r="BV18" s="7">
        <v>0</v>
      </c>
      <c r="BW18" s="7">
        <v>0</v>
      </c>
      <c r="BX18" s="7">
        <v>0</v>
      </c>
      <c r="BY18" s="7">
        <v>0</v>
      </c>
      <c r="BZ18" s="7">
        <v>0</v>
      </c>
      <c r="CA18" s="7">
        <v>0</v>
      </c>
      <c r="CB18" s="7">
        <v>0</v>
      </c>
      <c r="CC18" s="7">
        <v>0</v>
      </c>
      <c r="CD18" s="7">
        <v>0</v>
      </c>
      <c r="CE18" s="7">
        <v>0</v>
      </c>
      <c r="CF18" s="7">
        <v>0</v>
      </c>
      <c r="CG18" s="7">
        <v>0</v>
      </c>
      <c r="CH18" s="7">
        <v>0</v>
      </c>
      <c r="CI18" s="7">
        <v>0</v>
      </c>
      <c r="CJ18" s="7">
        <v>0</v>
      </c>
      <c r="CK18" s="38">
        <f>VLOOKUP($B18,'abrasion emissions'!$O$7:$R$36,2,FALSE)</f>
        <v>1</v>
      </c>
      <c r="CL18" s="38">
        <f>VLOOKUP($B18,'abrasion emissions'!$O$7:$R$36,3,FALSE)</f>
        <v>0</v>
      </c>
      <c r="CM18" s="38">
        <f>VLOOKUP($B18,'abrasion emissions'!$O$7:$R$36,4,FALSE)</f>
        <v>0</v>
      </c>
      <c r="CN18" s="7">
        <f>((SUMIFS('abrasion emissions'!$M$7:$M$34,'abrasion emissions'!$I$7:$I$34,"PM 2.5",'abrasion emissions'!$J$7:$J$34,"urban",'abrasion emissions'!$K$7:$K$34,"Tyre",'abrasion emissions'!$L$7:$L$34,"b")*POWER(('vehicles specifications'!$Q18/1000),(1/SUMIFS('abrasion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specifications'!$P18/1000),(1/SUMIFS('abrasion emissions'!$M$7:$M$34,'abrasion emissions'!$I$7:$I$34,"PM 10",'abrasion emissions'!$J$7:$J$34,"urban",'abrasion emissions'!$K$7:$K$34,"Tyre",'abrasion emissions'!$L$7:$L$34,"c")))))/1000000</f>
        <v>3.6599161272458636E-6</v>
      </c>
      <c r="CO18" s="7">
        <f>((SUMIFS('abrasion emissions'!$M$7:$M$34,'abrasion emissions'!$I$7:$I$34,"PM 2.5",'abrasion emissions'!$J$7:$J$34,"rural",'abrasion emissions'!$K$7:$K$34,"Tyre",'abrasion emissions'!$L$7:$L$34,"b")*POWER(('vehicles specifications'!$Q18/1000),(1/SUMIFS('abrasion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specifications'!$P18/1000),(1/SUMIFS('abrasion emissions'!$M$7:$M$34,'abrasion emissions'!$I$7:$I$34,"PM 10",'abrasion emissions'!$J$7:$J$34,"rural",'abrasion emissions'!$K$7:$K$34,"Tyre",'abrasion emissions'!$L$7:$L$34,"c")))))/1000000</f>
        <v>2.852720047884896E-6</v>
      </c>
      <c r="CP18" s="7">
        <f>((SUMIFS('abrasion emissions'!$M$7:$M$34,'abrasion emissions'!$I$7:$I$34,"PM 2.5",'abrasion emissions'!$J$7:$J$34,"motorway",'abrasion emissions'!$K$7:$K$34,"Tyre",'abrasion emissions'!$L$7:$L$34,"b")*POWER(('vehicles specifications'!$Q18/1000),(1/SUMIFS('abrasion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specifications'!$P18/1000),(1/SUMIFS('abrasion emissions'!$M$7:$M$34,'abrasion emissions'!$I$7:$I$34,"PM 10",'abrasion emissions'!$J$7:$J$34,"motorway",'abrasion emissions'!$K$7:$K$34,"Tyre",'abrasion emissions'!$L$7:$L$34,"c")))))/1000000</f>
        <v>2.4420404578140958E-6</v>
      </c>
      <c r="CQ18" s="7">
        <f>((SUMIFS('abrasion emissions'!$M$7:$M$34,'abrasion emissions'!$I$7:$I$34,"PM 2.5",'abrasion emissions'!$J$7:$J$34,"urban",'abrasion emissions'!$K$7:$K$34,"Brake",'abrasion emissions'!$L$7:$L$34,"b")*POWER(('vehicles specifications'!$Q18/1000),(1/SUMIFS('abrasion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specifications'!$P18/1000),(1/SUMIFS('abrasion emissions'!$M$7:$M$34,'abrasion emissions'!$I$7:$I$34,"PM 10",'abrasion emissions'!$J$7:$J$34,"urban",'abrasion emissions'!$K$7:$K$34,"Brake",'abrasion emissions'!$L$7:$L$34,"c")))))/1000000</f>
        <v>3.4397328646650205E-6</v>
      </c>
      <c r="CR18" s="7">
        <f>((SUMIFS('abrasion emissions'!$M$7:$M$34,'abrasion emissions'!$I$7:$I$34,"PM 2.5",'abrasion emissions'!$J$7:$J$34,"rural",'abrasion emissions'!$K$7:$K$34,"Brake",'abrasion emissions'!$L$7:$L$34,"b")*POWER(('vehicles specifications'!$Q18/1000),(1/SUMIFS('abrasion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specifications'!$P18/1000),(1/SUMIFS('abrasion emissions'!$M$7:$M$34,'abrasion emissions'!$I$7:$I$34,"PM 10",'abrasion emissions'!$J$7:$J$34,"rural",'abrasion emissions'!$K$7:$K$34,"Brake",'abrasion emissions'!$L$7:$L$34,"c")))))/1000000</f>
        <v>9.7451198124909682E-7</v>
      </c>
      <c r="CS18" s="7">
        <f>((SUMIFS('abrasion emissions'!$M$7:$M$34,'abrasion emissions'!$I$7:$I$34,"PM 2.5",'abrasion emissions'!$J$7:$J$34,"motorway",'abrasion emissions'!$K$7:$K$34,"Brake",'abrasion emissions'!$L$7:$L$34,"b")*POWER(('vehicles specifications'!$Q18/1000),(1/SUMIFS('abrasion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specifications'!$P18/1000),(1/SUMIFS('abrasion emissions'!$M$7:$M$34,'abrasion emissions'!$I$7:$I$34,"PM 10",'abrasion emissions'!$J$7:$J$34,"motorway",'abrasion emissions'!$K$7:$K$34,"Brake",'abrasion emissions'!$L$7:$L$34,"c")))))/1000000</f>
        <v>1.6565607320927252E-7</v>
      </c>
      <c r="CT18" s="7">
        <f>((SUMIFS('abrasion emissions'!$M$7:$M$38,'abrasion emissions'!$I$7:$I$38,"PM 2.5",'abrasion emissions'!$K$7:$K$38,"Re-susp.",'abrasion emissions'!$L$7:$L$38,"b")*POWER(('vehicles specifications'!$Q18/1000),(1/SUMIFS('abrasion emissions'!$M$7:$M$38,'abrasion emissions'!$I$7:$I$38,"PM 2.5",'abrasion emissions'!$K$7:$K$38,"Re-susp.",'abrasion emissions'!$L$7:$L$38,"c"))))+
(SUMIFS('abrasion emissions'!$M$7:$M$38,'abrasion emissions'!$I$7:$I$38,"PM 10",'abrasion emissions'!$K$7:$K$38,"Re-susp.",'abrasion emissions'!$L$7:$L$38,"b")*POWER(('vehicles specifications'!$Q18/1000),(1/SUMIFS('abrasion emissions'!$M$7:$M$38,'abrasion emissions'!$I$7:$I$38,"PM 10",'abrasion emissions'!$K$7:$K$38,"Re-susp.",'abrasion emissions'!$L$7:$L$38,"c")))))/1000000</f>
        <v>1.7844150096382683E-6</v>
      </c>
      <c r="CU18" s="7">
        <f>((SUMIFS('abrasion emissions'!$M$7:$M$38,'abrasion emissions'!$I$7:$I$38,"PM 2.5",'abrasion emissions'!$K$7:$K$38,"Road",'abrasion emissions'!$L$7:$L$38,"b")*POWER(('vehicles specifications'!$Q18/1000),(1/SUMIFS('abrasion emissions'!$M$7:$M$38,'abrasion emissions'!$I$7:$I$38,"PM 2.5",'abrasion emissions'!$K$7:$K$38,"Road",'abrasion emissions'!$L$7:$L$38,"c"))))+
(SUMIFS('abrasion emissions'!$M$7:$M$38,'abrasion emissions'!$I$7:$I$38,"PM 10",'abrasion emissions'!$K$7:$K$38,"Road",'abrasion emissions'!$L$7:$L$38,"b")*POWER(('vehicles specifications'!$Q18/1000),(1/SUMIFS('abrasion emissions'!$M$7:$M$38,'abrasion emissions'!$I$7:$I$38,"PM 10",'abrasion emissions'!$K$7:$K$38,"Road",'abrasion emissions'!$L$7:$L$38,"c")))))/1000000+CT18</f>
        <v>3.7895563275420051E-6</v>
      </c>
      <c r="CV18" s="7">
        <f t="shared" si="13"/>
        <v>3.6599161272458636E-6</v>
      </c>
      <c r="CW18" s="7">
        <f t="shared" si="14"/>
        <v>3.4397328646650205E-6</v>
      </c>
    </row>
    <row r="19" spans="1:101" x14ac:dyDescent="0.2">
      <c r="A19" t="str">
        <f t="shared" si="1"/>
        <v>Bicycle, electric (&lt;25 km/h) - 2020 - NMC - CH</v>
      </c>
      <c r="B19" t="s">
        <v>264</v>
      </c>
      <c r="D19" s="18">
        <v>2020</v>
      </c>
      <c r="E19" t="s">
        <v>37</v>
      </c>
      <c r="F19" t="s">
        <v>138</v>
      </c>
      <c r="G19" t="s">
        <v>39</v>
      </c>
      <c r="H19" t="s">
        <v>32</v>
      </c>
      <c r="I19" t="s">
        <v>43</v>
      </c>
      <c r="J19">
        <v>20000</v>
      </c>
      <c r="K19">
        <v>2000</v>
      </c>
      <c r="L19" s="2">
        <f t="shared" si="2"/>
        <v>10</v>
      </c>
      <c r="M19">
        <v>1</v>
      </c>
      <c r="N19">
        <v>75</v>
      </c>
      <c r="O19">
        <v>1</v>
      </c>
      <c r="P19" s="2">
        <f t="shared" si="0"/>
        <v>23.25</v>
      </c>
      <c r="Q19" s="2">
        <f t="shared" si="3"/>
        <v>99.25</v>
      </c>
      <c r="R19">
        <v>0.25</v>
      </c>
      <c r="S19" s="2">
        <v>16</v>
      </c>
      <c r="T19" s="1">
        <v>0</v>
      </c>
      <c r="U19" s="2">
        <f t="shared" si="4"/>
        <v>16</v>
      </c>
      <c r="V19">
        <v>0</v>
      </c>
      <c r="W19">
        <v>4</v>
      </c>
      <c r="X19" s="3">
        <v>0.5</v>
      </c>
      <c r="Y19" s="1">
        <v>0.8</v>
      </c>
      <c r="Z19" s="3">
        <f t="shared" si="5"/>
        <v>0.4</v>
      </c>
      <c r="AA19" s="3">
        <f>IF(I19&lt;&gt;"",X19/INDEX('energy battery'!$B$3:$D$6,MATCH('vehicles specifications'!$D19,'energy battery'!$A$3:$A$6,0),MATCH('vehicles specifications'!$I19,'energy battery'!$B$2:$D$2,0)),"")</f>
        <v>2.5</v>
      </c>
      <c r="AB19" s="3">
        <f t="shared" si="6"/>
        <v>0.75</v>
      </c>
      <c r="AC19" s="3">
        <f t="shared" si="7"/>
        <v>3.25</v>
      </c>
      <c r="AD19">
        <v>1</v>
      </c>
      <c r="AE19">
        <v>0</v>
      </c>
      <c r="AF19">
        <v>0</v>
      </c>
      <c r="AG19">
        <v>0</v>
      </c>
      <c r="AH19">
        <v>0</v>
      </c>
      <c r="AI19">
        <v>0.5</v>
      </c>
      <c r="AJ19">
        <v>1</v>
      </c>
      <c r="AK19" s="6">
        <f t="shared" ref="AK19:AK54" si="38">J19/15000</f>
        <v>1.3333333333333333</v>
      </c>
      <c r="AL19">
        <f t="shared" si="8"/>
        <v>5.3297249999999999E-5</v>
      </c>
      <c r="AM19">
        <v>0</v>
      </c>
      <c r="AN19" s="2">
        <f t="shared" si="9"/>
        <v>16</v>
      </c>
      <c r="AO19" s="2">
        <f t="shared" si="10"/>
        <v>4</v>
      </c>
      <c r="AP19" s="2">
        <f t="shared" si="11"/>
        <v>3.25</v>
      </c>
      <c r="AQ19" s="6" t="s">
        <v>85</v>
      </c>
      <c r="AR19" s="20"/>
      <c r="AS19" s="5">
        <v>2.4670639149862349E-2</v>
      </c>
      <c r="AT19" s="2">
        <f t="shared" si="12"/>
        <v>58.368978251949123</v>
      </c>
      <c r="AU19" s="5">
        <v>0</v>
      </c>
      <c r="AV19" s="5">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v>0</v>
      </c>
      <c r="CE19" s="7">
        <v>0</v>
      </c>
      <c r="CF19" s="7">
        <v>0</v>
      </c>
      <c r="CG19" s="7">
        <v>0</v>
      </c>
      <c r="CH19" s="7">
        <v>0</v>
      </c>
      <c r="CI19" s="7">
        <v>0</v>
      </c>
      <c r="CJ19" s="7">
        <v>0</v>
      </c>
      <c r="CK19" s="38">
        <f>VLOOKUP($B19,'abrasion emissions'!$O$7:$R$36,2,FALSE)</f>
        <v>1</v>
      </c>
      <c r="CL19" s="38">
        <f>VLOOKUP($B19,'abrasion emissions'!$O$7:$R$36,3,FALSE)</f>
        <v>0</v>
      </c>
      <c r="CM19" s="38">
        <f>VLOOKUP($B19,'abrasion emissions'!$O$7:$R$36,4,FALSE)</f>
        <v>0</v>
      </c>
      <c r="CN19" s="7">
        <f>((SUMIFS('abrasion emissions'!$M$7:$M$34,'abrasion emissions'!$I$7:$I$34,"PM 2.5",'abrasion emissions'!$J$7:$J$34,"urban",'abrasion emissions'!$K$7:$K$34,"Tyre",'abrasion emissions'!$L$7:$L$34,"b")*POWER(('vehicles specifications'!$Q19/1000),(1/SUMIFS('abrasion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specifications'!$P19/1000),(1/SUMIFS('abrasion emissions'!$M$7:$M$34,'abrasion emissions'!$I$7:$I$34,"PM 10",'abrasion emissions'!$J$7:$J$34,"urban",'abrasion emissions'!$K$7:$K$34,"Tyre",'abrasion emissions'!$L$7:$L$34,"c")))))/1000000</f>
        <v>4.1336328964445005E-6</v>
      </c>
      <c r="CO19" s="7">
        <f>((SUMIFS('abrasion emissions'!$M$7:$M$34,'abrasion emissions'!$I$7:$I$34,"PM 2.5",'abrasion emissions'!$J$7:$J$34,"rural",'abrasion emissions'!$K$7:$K$34,"Tyre",'abrasion emissions'!$L$7:$L$34,"b")*POWER(('vehicles specifications'!$Q19/1000),(1/SUMIFS('abrasion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specifications'!$P19/1000),(1/SUMIFS('abrasion emissions'!$M$7:$M$34,'abrasion emissions'!$I$7:$I$34,"PM 10",'abrasion emissions'!$J$7:$J$34,"rural",'abrasion emissions'!$K$7:$K$34,"Tyre",'abrasion emissions'!$L$7:$L$34,"c")))))/1000000</f>
        <v>3.2210217963264923E-6</v>
      </c>
      <c r="CP19" s="7">
        <f>((SUMIFS('abrasion emissions'!$M$7:$M$34,'abrasion emissions'!$I$7:$I$34,"PM 2.5",'abrasion emissions'!$J$7:$J$34,"motorway",'abrasion emissions'!$K$7:$K$34,"Tyre",'abrasion emissions'!$L$7:$L$34,"b")*POWER(('vehicles specifications'!$Q19/1000),(1/SUMIFS('abrasion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specifications'!$P19/1000),(1/SUMIFS('abrasion emissions'!$M$7:$M$34,'abrasion emissions'!$I$7:$I$34,"PM 10",'abrasion emissions'!$J$7:$J$34,"motorway",'abrasion emissions'!$K$7:$K$34,"Tyre",'abrasion emissions'!$L$7:$L$34,"c")))))/1000000</f>
        <v>2.75497265368395E-6</v>
      </c>
      <c r="CQ19" s="7">
        <f>((SUMIFS('abrasion emissions'!$M$7:$M$34,'abrasion emissions'!$I$7:$I$34,"PM 2.5",'abrasion emissions'!$J$7:$J$34,"urban",'abrasion emissions'!$K$7:$K$34,"Brake",'abrasion emissions'!$L$7:$L$34,"b")*POWER(('vehicles specifications'!$Q19/1000),(1/SUMIFS('abrasion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specifications'!$P19/1000),(1/SUMIFS('abrasion emissions'!$M$7:$M$34,'abrasion emissions'!$I$7:$I$34,"PM 10",'abrasion emissions'!$J$7:$J$34,"urban",'abrasion emissions'!$K$7:$K$34,"Brake",'abrasion emissions'!$L$7:$L$34,"c")))))/1000000</f>
        <v>3.8410985523805933E-6</v>
      </c>
      <c r="CR19" s="7">
        <f>((SUMIFS('abrasion emissions'!$M$7:$M$34,'abrasion emissions'!$I$7:$I$34,"PM 2.5",'abrasion emissions'!$J$7:$J$34,"rural",'abrasion emissions'!$K$7:$K$34,"Brake",'abrasion emissions'!$L$7:$L$34,"b")*POWER(('vehicles specifications'!$Q19/1000),(1/SUMIFS('abrasion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specifications'!$P19/1000),(1/SUMIFS('abrasion emissions'!$M$7:$M$34,'abrasion emissions'!$I$7:$I$34,"PM 10",'abrasion emissions'!$J$7:$J$34,"rural",'abrasion emissions'!$K$7:$K$34,"Brake",'abrasion emissions'!$L$7:$L$34,"c")))))/1000000</f>
        <v>1.1112714817922416E-6</v>
      </c>
      <c r="CS19" s="7">
        <f>((SUMIFS('abrasion emissions'!$M$7:$M$34,'abrasion emissions'!$I$7:$I$34,"PM 2.5",'abrasion emissions'!$J$7:$J$34,"motorway",'abrasion emissions'!$K$7:$K$34,"Brake",'abrasion emissions'!$L$7:$L$34,"b")*POWER(('vehicles specifications'!$Q19/1000),(1/SUMIFS('abrasion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specifications'!$P19/1000),(1/SUMIFS('abrasion emissions'!$M$7:$M$34,'abrasion emissions'!$I$7:$I$34,"PM 10",'abrasion emissions'!$J$7:$J$34,"motorway",'abrasion emissions'!$K$7:$K$34,"Brake",'abrasion emissions'!$L$7:$L$34,"c")))))/1000000</f>
        <v>1.9129759911208991E-7</v>
      </c>
      <c r="CT19" s="7">
        <f>((SUMIFS('abrasion emissions'!$M$7:$M$38,'abrasion emissions'!$I$7:$I$38,"PM 2.5",'abrasion emissions'!$K$7:$K$38,"Re-susp.",'abrasion emissions'!$L$7:$L$38,"b")*POWER(('vehicles specifications'!$Q19/1000),(1/SUMIFS('abrasion emissions'!$M$7:$M$38,'abrasion emissions'!$I$7:$I$38,"PM 2.5",'abrasion emissions'!$K$7:$K$38,"Re-susp.",'abrasion emissions'!$L$7:$L$38,"c"))))+
(SUMIFS('abrasion emissions'!$M$7:$M$38,'abrasion emissions'!$I$7:$I$38,"PM 10",'abrasion emissions'!$K$7:$K$38,"Re-susp.",'abrasion emissions'!$L$7:$L$38,"b")*POWER(('vehicles specifications'!$Q19/1000),(1/SUMIFS('abrasion emissions'!$M$7:$M$38,'abrasion emissions'!$I$7:$I$38,"PM 10",'abrasion emissions'!$K$7:$K$38,"Re-susp.",'abrasion emissions'!$L$7:$L$38,"c")))))/1000000</f>
        <v>2.0080784721395564E-6</v>
      </c>
      <c r="CU19" s="7">
        <f>((SUMIFS('abrasion emissions'!$M$7:$M$38,'abrasion emissions'!$I$7:$I$38,"PM 2.5",'abrasion emissions'!$K$7:$K$38,"Road",'abrasion emissions'!$L$7:$L$38,"b")*POWER(('vehicles specifications'!$Q19/1000),(1/SUMIFS('abrasion emissions'!$M$7:$M$38,'abrasion emissions'!$I$7:$I$38,"PM 2.5",'abrasion emissions'!$K$7:$K$38,"Road",'abrasion emissions'!$L$7:$L$38,"c"))))+
(SUMIFS('abrasion emissions'!$M$7:$M$38,'abrasion emissions'!$I$7:$I$38,"PM 10",'abrasion emissions'!$K$7:$K$38,"Road",'abrasion emissions'!$L$7:$L$38,"b")*POWER(('vehicles specifications'!$Q19/1000),(1/SUMIFS('abrasion emissions'!$M$7:$M$38,'abrasion emissions'!$I$7:$I$38,"PM 10",'abrasion emissions'!$K$7:$K$38,"Road",'abrasion emissions'!$L$7:$L$38,"c")))))/1000000+CT19</f>
        <v>4.1946004585487268E-6</v>
      </c>
      <c r="CV19" s="7">
        <f t="shared" si="13"/>
        <v>4.1336328964445005E-6</v>
      </c>
      <c r="CW19" s="7">
        <f t="shared" si="14"/>
        <v>3.8410985523805933E-6</v>
      </c>
    </row>
    <row r="20" spans="1:101" x14ac:dyDescent="0.2">
      <c r="A20" t="str">
        <f t="shared" si="1"/>
        <v>Bicycle, electric (&lt;25 km/h) - 2030 - NMC - CH</v>
      </c>
      <c r="B20" t="s">
        <v>264</v>
      </c>
      <c r="D20" s="18">
        <v>2030</v>
      </c>
      <c r="E20" t="s">
        <v>37</v>
      </c>
      <c r="F20" t="s">
        <v>138</v>
      </c>
      <c r="G20" t="s">
        <v>39</v>
      </c>
      <c r="H20" t="s">
        <v>32</v>
      </c>
      <c r="I20" t="s">
        <v>43</v>
      </c>
      <c r="J20">
        <v>20000</v>
      </c>
      <c r="K20">
        <v>2000</v>
      </c>
      <c r="L20" s="2">
        <f t="shared" si="2"/>
        <v>10</v>
      </c>
      <c r="M20">
        <v>1</v>
      </c>
      <c r="N20">
        <v>75</v>
      </c>
      <c r="O20">
        <v>1</v>
      </c>
      <c r="P20" s="2">
        <f t="shared" si="0"/>
        <v>22.886666666666663</v>
      </c>
      <c r="Q20" s="2">
        <f t="shared" si="3"/>
        <v>98.886666666666656</v>
      </c>
      <c r="R20">
        <v>0.25</v>
      </c>
      <c r="S20" s="2">
        <v>16</v>
      </c>
      <c r="T20" s="1">
        <v>0.03</v>
      </c>
      <c r="U20" s="2">
        <f t="shared" si="4"/>
        <v>15.52</v>
      </c>
      <c r="V20">
        <v>0</v>
      </c>
      <c r="W20">
        <v>3.9</v>
      </c>
      <c r="X20" s="3">
        <v>0.8</v>
      </c>
      <c r="Y20" s="1">
        <v>0.8</v>
      </c>
      <c r="Z20" s="3">
        <f t="shared" si="5"/>
        <v>0.64000000000000012</v>
      </c>
      <c r="AA20" s="3">
        <f>IF(I20&lt;&gt;"",X20/INDEX('energy battery'!$B$3:$D$6,MATCH('vehicles specifications'!$D20,'energy battery'!$A$3:$A$6,0),MATCH('vehicles specifications'!$I20,'energy battery'!$B$2:$D$2,0)),"")</f>
        <v>2.666666666666667</v>
      </c>
      <c r="AB20" s="3">
        <f t="shared" si="6"/>
        <v>0.8</v>
      </c>
      <c r="AC20" s="3">
        <f t="shared" si="7"/>
        <v>3.4666666666666668</v>
      </c>
      <c r="AD20">
        <v>0.5</v>
      </c>
      <c r="AE20">
        <v>0</v>
      </c>
      <c r="AF20">
        <v>0</v>
      </c>
      <c r="AG20">
        <v>0</v>
      </c>
      <c r="AH20">
        <v>0</v>
      </c>
      <c r="AI20">
        <v>0.5</v>
      </c>
      <c r="AJ20">
        <v>1</v>
      </c>
      <c r="AK20" s="6">
        <f t="shared" si="38"/>
        <v>1.3333333333333333</v>
      </c>
      <c r="AL20">
        <f t="shared" si="8"/>
        <v>5.3102139999999997E-5</v>
      </c>
      <c r="AM20">
        <v>0</v>
      </c>
      <c r="AN20" s="2">
        <f t="shared" si="9"/>
        <v>15.52</v>
      </c>
      <c r="AO20" s="2">
        <f t="shared" si="10"/>
        <v>3.9</v>
      </c>
      <c r="AP20" s="2">
        <f t="shared" si="11"/>
        <v>3.4666666666666668</v>
      </c>
      <c r="AQ20" s="6" t="s">
        <v>85</v>
      </c>
      <c r="AR20" s="20"/>
      <c r="AS20" s="5">
        <v>2.4670639149862349E-2</v>
      </c>
      <c r="AT20" s="2">
        <f t="shared" si="12"/>
        <v>93.390365203118606</v>
      </c>
      <c r="AU20" s="5">
        <v>0</v>
      </c>
      <c r="AV20" s="5">
        <v>0</v>
      </c>
      <c r="AW20" s="7">
        <v>0</v>
      </c>
      <c r="AX20" s="7">
        <v>0</v>
      </c>
      <c r="AY20" s="7">
        <v>0</v>
      </c>
      <c r="AZ20" s="7">
        <v>0</v>
      </c>
      <c r="BA20" s="7">
        <v>0</v>
      </c>
      <c r="BB20" s="7">
        <v>0</v>
      </c>
      <c r="BC20" s="7">
        <v>0</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7">
        <v>0</v>
      </c>
      <c r="BY20" s="7">
        <v>0</v>
      </c>
      <c r="BZ20" s="7">
        <v>0</v>
      </c>
      <c r="CA20" s="7">
        <v>0</v>
      </c>
      <c r="CB20" s="7">
        <v>0</v>
      </c>
      <c r="CC20" s="7">
        <v>0</v>
      </c>
      <c r="CD20" s="7">
        <v>0</v>
      </c>
      <c r="CE20" s="7">
        <v>0</v>
      </c>
      <c r="CF20" s="7">
        <v>0</v>
      </c>
      <c r="CG20" s="7">
        <v>0</v>
      </c>
      <c r="CH20" s="7">
        <v>0</v>
      </c>
      <c r="CI20" s="7">
        <v>0</v>
      </c>
      <c r="CJ20" s="7">
        <v>0</v>
      </c>
      <c r="CK20" s="38">
        <f>VLOOKUP($B20,'abrasion emissions'!$O$7:$R$36,2,FALSE)</f>
        <v>1</v>
      </c>
      <c r="CL20" s="38">
        <f>VLOOKUP($B20,'abrasion emissions'!$O$7:$R$36,3,FALSE)</f>
        <v>0</v>
      </c>
      <c r="CM20" s="38">
        <f>VLOOKUP($B20,'abrasion emissions'!$O$7:$R$36,4,FALSE)</f>
        <v>0</v>
      </c>
      <c r="CN20" s="7">
        <f>((SUMIFS('abrasion emissions'!$M$7:$M$34,'abrasion emissions'!$I$7:$I$34,"PM 2.5",'abrasion emissions'!$J$7:$J$34,"urban",'abrasion emissions'!$K$7:$K$34,"Tyre",'abrasion emissions'!$L$7:$L$34,"b")*POWER(('vehicles specifications'!$Q20/1000),(1/SUMIFS('abrasion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specifications'!$P20/1000),(1/SUMIFS('abrasion emissions'!$M$7:$M$34,'abrasion emissions'!$I$7:$I$34,"PM 10",'abrasion emissions'!$J$7:$J$34,"urban",'abrasion emissions'!$K$7:$K$34,"Tyre",'abrasion emissions'!$L$7:$L$34,"c")))))/1000000</f>
        <v>4.1211339548960909E-6</v>
      </c>
      <c r="CO20" s="7">
        <f>((SUMIFS('abrasion emissions'!$M$7:$M$34,'abrasion emissions'!$I$7:$I$34,"PM 2.5",'abrasion emissions'!$J$7:$J$34,"rural",'abrasion emissions'!$K$7:$K$34,"Tyre",'abrasion emissions'!$L$7:$L$34,"b")*POWER(('vehicles specifications'!$Q20/1000),(1/SUMIFS('abrasion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specifications'!$P20/1000),(1/SUMIFS('abrasion emissions'!$M$7:$M$34,'abrasion emissions'!$I$7:$I$34,"PM 10",'abrasion emissions'!$J$7:$J$34,"rural",'abrasion emissions'!$K$7:$K$34,"Tyre",'abrasion emissions'!$L$7:$L$34,"c")))))/1000000</f>
        <v>3.2113022062760271E-6</v>
      </c>
      <c r="CP20" s="7">
        <f>((SUMIFS('abrasion emissions'!$M$7:$M$34,'abrasion emissions'!$I$7:$I$34,"PM 2.5",'abrasion emissions'!$J$7:$J$34,"motorway",'abrasion emissions'!$K$7:$K$34,"Tyre",'abrasion emissions'!$L$7:$L$34,"b")*POWER(('vehicles specifications'!$Q20/1000),(1/SUMIFS('abrasion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specifications'!$P20/1000),(1/SUMIFS('abrasion emissions'!$M$7:$M$34,'abrasion emissions'!$I$7:$I$34,"PM 10",'abrasion emissions'!$J$7:$J$34,"motorway",'abrasion emissions'!$K$7:$K$34,"Tyre",'abrasion emissions'!$L$7:$L$34,"c")))))/1000000</f>
        <v>2.7467092365406412E-6</v>
      </c>
      <c r="CQ20" s="7">
        <f>((SUMIFS('abrasion emissions'!$M$7:$M$34,'abrasion emissions'!$I$7:$I$34,"PM 2.5",'abrasion emissions'!$J$7:$J$34,"urban",'abrasion emissions'!$K$7:$K$34,"Brake",'abrasion emissions'!$L$7:$L$34,"b")*POWER(('vehicles specifications'!$Q20/1000),(1/SUMIFS('abrasion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specifications'!$P20/1000),(1/SUMIFS('abrasion emissions'!$M$7:$M$34,'abrasion emissions'!$I$7:$I$34,"PM 10",'abrasion emissions'!$J$7:$J$34,"urban",'abrasion emissions'!$K$7:$K$34,"Brake",'abrasion emissions'!$L$7:$L$34,"c")))))/1000000</f>
        <v>3.8300212497294276E-6</v>
      </c>
      <c r="CR20" s="7">
        <f>((SUMIFS('abrasion emissions'!$M$7:$M$34,'abrasion emissions'!$I$7:$I$34,"PM 2.5",'abrasion emissions'!$J$7:$J$34,"rural",'abrasion emissions'!$K$7:$K$34,"Brake",'abrasion emissions'!$L$7:$L$34,"b")*POWER(('vehicles specifications'!$Q20/1000),(1/SUMIFS('abrasion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specifications'!$P20/1000),(1/SUMIFS('abrasion emissions'!$M$7:$M$34,'abrasion emissions'!$I$7:$I$34,"PM 10",'abrasion emissions'!$J$7:$J$34,"rural",'abrasion emissions'!$K$7:$K$34,"Brake",'abrasion emissions'!$L$7:$L$34,"c")))))/1000000</f>
        <v>1.107384193411907E-6</v>
      </c>
      <c r="CS20" s="7">
        <f>((SUMIFS('abrasion emissions'!$M$7:$M$34,'abrasion emissions'!$I$7:$I$34,"PM 2.5",'abrasion emissions'!$J$7:$J$34,"motorway",'abrasion emissions'!$K$7:$K$34,"Brake",'abrasion emissions'!$L$7:$L$34,"b")*POWER(('vehicles specifications'!$Q20/1000),(1/SUMIFS('abrasion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specifications'!$P20/1000),(1/SUMIFS('abrasion emissions'!$M$7:$M$34,'abrasion emissions'!$I$7:$I$34,"PM 10",'abrasion emissions'!$J$7:$J$34,"motorway",'abrasion emissions'!$K$7:$K$34,"Brake",'abrasion emissions'!$L$7:$L$34,"c")))))/1000000</f>
        <v>1.9055429036217945E-7</v>
      </c>
      <c r="CT20" s="7">
        <f>((SUMIFS('abrasion emissions'!$M$7:$M$38,'abrasion emissions'!$I$7:$I$38,"PM 2.5",'abrasion emissions'!$K$7:$K$38,"Re-susp.",'abrasion emissions'!$L$7:$L$38,"b")*POWER(('vehicles specifications'!$Q20/1000),(1/SUMIFS('abrasion emissions'!$M$7:$M$38,'abrasion emissions'!$I$7:$I$38,"PM 2.5",'abrasion emissions'!$K$7:$K$38,"Re-susp.",'abrasion emissions'!$L$7:$L$38,"c"))))+
(SUMIFS('abrasion emissions'!$M$7:$M$38,'abrasion emissions'!$I$7:$I$38,"PM 10",'abrasion emissions'!$K$7:$K$38,"Re-susp.",'abrasion emissions'!$L$7:$L$38,"b")*POWER(('vehicles specifications'!$Q20/1000),(1/SUMIFS('abrasion emissions'!$M$7:$M$38,'abrasion emissions'!$I$7:$I$38,"PM 10",'abrasion emissions'!$K$7:$K$38,"Re-susp.",'abrasion emissions'!$L$7:$L$38,"c")))))/1000000</f>
        <v>2.0013944930949743E-6</v>
      </c>
      <c r="CU20" s="7">
        <f>((SUMIFS('abrasion emissions'!$M$7:$M$38,'abrasion emissions'!$I$7:$I$38,"PM 2.5",'abrasion emissions'!$K$7:$K$38,"Road",'abrasion emissions'!$L$7:$L$38,"b")*POWER(('vehicles specifications'!$Q20/1000),(1/SUMIFS('abrasion emissions'!$M$7:$M$38,'abrasion emissions'!$I$7:$I$38,"PM 2.5",'abrasion emissions'!$K$7:$K$38,"Road",'abrasion emissions'!$L$7:$L$38,"c"))))+
(SUMIFS('abrasion emissions'!$M$7:$M$38,'abrasion emissions'!$I$7:$I$38,"PM 10",'abrasion emissions'!$K$7:$K$38,"Road",'abrasion emissions'!$L$7:$L$38,"b")*POWER(('vehicles specifications'!$Q20/1000),(1/SUMIFS('abrasion emissions'!$M$7:$M$38,'abrasion emissions'!$I$7:$I$38,"PM 10",'abrasion emissions'!$K$7:$K$38,"Road",'abrasion emissions'!$L$7:$L$38,"c")))))/1000000+CT20</f>
        <v>4.1825769542466615E-6</v>
      </c>
      <c r="CV20" s="7">
        <f t="shared" si="13"/>
        <v>4.1211339548960909E-6</v>
      </c>
      <c r="CW20" s="7">
        <f t="shared" si="14"/>
        <v>3.8300212497294276E-6</v>
      </c>
    </row>
    <row r="21" spans="1:101" x14ac:dyDescent="0.2">
      <c r="A21" t="str">
        <f t="shared" si="1"/>
        <v>Bicycle, electric (&lt;25 km/h) - 2040 - NMC - CH</v>
      </c>
      <c r="B21" t="s">
        <v>264</v>
      </c>
      <c r="D21" s="18">
        <v>2040</v>
      </c>
      <c r="E21" t="s">
        <v>37</v>
      </c>
      <c r="F21" t="s">
        <v>138</v>
      </c>
      <c r="G21" t="s">
        <v>39</v>
      </c>
      <c r="H21" t="s">
        <v>32</v>
      </c>
      <c r="I21" t="s">
        <v>43</v>
      </c>
      <c r="J21">
        <v>20000</v>
      </c>
      <c r="K21">
        <v>2000</v>
      </c>
      <c r="L21" s="2">
        <f t="shared" si="2"/>
        <v>10</v>
      </c>
      <c r="M21">
        <v>1</v>
      </c>
      <c r="N21">
        <v>75</v>
      </c>
      <c r="O21">
        <v>1</v>
      </c>
      <c r="P21" s="2">
        <f t="shared" si="0"/>
        <v>22.25</v>
      </c>
      <c r="Q21" s="2">
        <f t="shared" si="3"/>
        <v>98.25</v>
      </c>
      <c r="R21">
        <v>0.25</v>
      </c>
      <c r="S21" s="2">
        <v>16</v>
      </c>
      <c r="T21" s="1">
        <v>0.05</v>
      </c>
      <c r="U21" s="2">
        <f t="shared" si="4"/>
        <v>15.2</v>
      </c>
      <c r="V21">
        <v>0</v>
      </c>
      <c r="W21">
        <v>3.8</v>
      </c>
      <c r="X21" s="3">
        <v>1</v>
      </c>
      <c r="Y21" s="1">
        <v>0.8</v>
      </c>
      <c r="Z21" s="3">
        <f t="shared" si="5"/>
        <v>0.8</v>
      </c>
      <c r="AA21" s="3">
        <f>IF(I21&lt;&gt;"",X21/INDEX('energy battery'!$B$3:$D$6,MATCH('vehicles specifications'!$D21,'energy battery'!$A$3:$A$6,0),MATCH('vehicles specifications'!$I21,'energy battery'!$B$2:$D$2,0)),"")</f>
        <v>2.5</v>
      </c>
      <c r="AB21" s="3">
        <f t="shared" si="6"/>
        <v>0.75</v>
      </c>
      <c r="AC21" s="3">
        <f t="shared" si="7"/>
        <v>3.25</v>
      </c>
      <c r="AD21">
        <v>0.25</v>
      </c>
      <c r="AE21">
        <v>0</v>
      </c>
      <c r="AF21">
        <v>0</v>
      </c>
      <c r="AG21">
        <v>0</v>
      </c>
      <c r="AH21">
        <v>0</v>
      </c>
      <c r="AI21">
        <v>0.5</v>
      </c>
      <c r="AJ21">
        <v>1</v>
      </c>
      <c r="AK21" s="6">
        <f t="shared" si="38"/>
        <v>1.3333333333333333</v>
      </c>
      <c r="AL21">
        <f t="shared" si="8"/>
        <v>5.276025E-5</v>
      </c>
      <c r="AM21">
        <v>0</v>
      </c>
      <c r="AN21" s="2">
        <f t="shared" si="9"/>
        <v>15.2</v>
      </c>
      <c r="AO21" s="2">
        <f t="shared" si="10"/>
        <v>3.8</v>
      </c>
      <c r="AP21" s="2">
        <f t="shared" si="11"/>
        <v>3.25</v>
      </c>
      <c r="AQ21" s="6" t="s">
        <v>85</v>
      </c>
      <c r="AR21" s="20"/>
      <c r="AS21" s="5">
        <v>2.4670639149862349E-2</v>
      </c>
      <c r="AT21" s="2">
        <f t="shared" si="12"/>
        <v>116.73795650389825</v>
      </c>
      <c r="AU21" s="5">
        <v>0</v>
      </c>
      <c r="AV21" s="5">
        <v>0</v>
      </c>
      <c r="AW21" s="7">
        <v>0</v>
      </c>
      <c r="AX21" s="7">
        <v>0</v>
      </c>
      <c r="AY21" s="7">
        <v>0</v>
      </c>
      <c r="AZ21" s="7">
        <v>0</v>
      </c>
      <c r="BA21" s="7">
        <v>0</v>
      </c>
      <c r="BB21" s="7">
        <v>0</v>
      </c>
      <c r="BC21" s="7">
        <v>0</v>
      </c>
      <c r="BD21" s="7">
        <v>0</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7">
        <v>0</v>
      </c>
      <c r="BY21" s="7">
        <v>0</v>
      </c>
      <c r="BZ21" s="7">
        <v>0</v>
      </c>
      <c r="CA21" s="7">
        <v>0</v>
      </c>
      <c r="CB21" s="7">
        <v>0</v>
      </c>
      <c r="CC21" s="7">
        <v>0</v>
      </c>
      <c r="CD21" s="7">
        <v>0</v>
      </c>
      <c r="CE21" s="7">
        <v>0</v>
      </c>
      <c r="CF21" s="7">
        <v>0</v>
      </c>
      <c r="CG21" s="7">
        <v>0</v>
      </c>
      <c r="CH21" s="7">
        <v>0</v>
      </c>
      <c r="CI21" s="7">
        <v>0</v>
      </c>
      <c r="CJ21" s="7">
        <v>0</v>
      </c>
      <c r="CK21" s="38">
        <f>VLOOKUP($B21,'abrasion emissions'!$O$7:$R$36,2,FALSE)</f>
        <v>1</v>
      </c>
      <c r="CL21" s="38">
        <f>VLOOKUP($B21,'abrasion emissions'!$O$7:$R$36,3,FALSE)</f>
        <v>0</v>
      </c>
      <c r="CM21" s="38">
        <f>VLOOKUP($B21,'abrasion emissions'!$O$7:$R$36,4,FALSE)</f>
        <v>0</v>
      </c>
      <c r="CN21" s="7">
        <f>((SUMIFS('abrasion emissions'!$M$7:$M$34,'abrasion emissions'!$I$7:$I$34,"PM 2.5",'abrasion emissions'!$J$7:$J$34,"urban",'abrasion emissions'!$K$7:$K$34,"Tyre",'abrasion emissions'!$L$7:$L$34,"b")*POWER(('vehicles specifications'!$Q21/1000),(1/SUMIFS('abrasion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specifications'!$P21/1000),(1/SUMIFS('abrasion emissions'!$M$7:$M$34,'abrasion emissions'!$I$7:$I$34,"PM 10",'abrasion emissions'!$J$7:$J$34,"urban",'abrasion emissions'!$K$7:$K$34,"Tyre",'abrasion emissions'!$L$7:$L$34,"c")))))/1000000</f>
        <v>4.0990393865404142E-6</v>
      </c>
      <c r="CO21" s="7">
        <f>((SUMIFS('abrasion emissions'!$M$7:$M$34,'abrasion emissions'!$I$7:$I$34,"PM 2.5",'abrasion emissions'!$J$7:$J$34,"rural",'abrasion emissions'!$K$7:$K$34,"Tyre",'abrasion emissions'!$L$7:$L$34,"b")*POWER(('vehicles specifications'!$Q21/1000),(1/SUMIFS('abrasion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specifications'!$P21/1000),(1/SUMIFS('abrasion emissions'!$M$7:$M$34,'abrasion emissions'!$I$7:$I$34,"PM 10",'abrasion emissions'!$J$7:$J$34,"rural",'abrasion emissions'!$K$7:$K$34,"Tyre",'abrasion emissions'!$L$7:$L$34,"c")))))/1000000</f>
        <v>3.1941209699101401E-6</v>
      </c>
      <c r="CP21" s="7">
        <f>((SUMIFS('abrasion emissions'!$M$7:$M$34,'abrasion emissions'!$I$7:$I$34,"PM 2.5",'abrasion emissions'!$J$7:$J$34,"motorway",'abrasion emissions'!$K$7:$K$34,"Tyre",'abrasion emissions'!$L$7:$L$34,"b")*POWER(('vehicles specifications'!$Q21/1000),(1/SUMIFS('abrasion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specifications'!$P21/1000),(1/SUMIFS('abrasion emissions'!$M$7:$M$34,'abrasion emissions'!$I$7:$I$34,"PM 10",'abrasion emissions'!$J$7:$J$34,"motorway",'abrasion emissions'!$K$7:$K$34,"Tyre",'abrasion emissions'!$L$7:$L$34,"c")))))/1000000</f>
        <v>2.7321026432778438E-6</v>
      </c>
      <c r="CQ21" s="7">
        <f>((SUMIFS('abrasion emissions'!$M$7:$M$34,'abrasion emissions'!$I$7:$I$34,"PM 2.5",'abrasion emissions'!$J$7:$J$34,"urban",'abrasion emissions'!$K$7:$K$34,"Brake",'abrasion emissions'!$L$7:$L$34,"b")*POWER(('vehicles specifications'!$Q21/1000),(1/SUMIFS('abrasion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specifications'!$P21/1000),(1/SUMIFS('abrasion emissions'!$M$7:$M$34,'abrasion emissions'!$I$7:$I$34,"PM 10",'abrasion emissions'!$J$7:$J$34,"urban",'abrasion emissions'!$K$7:$K$34,"Brake",'abrasion emissions'!$L$7:$L$34,"c")))))/1000000</f>
        <v>3.8104964233430331E-6</v>
      </c>
      <c r="CR21" s="7">
        <f>((SUMIFS('abrasion emissions'!$M$7:$M$34,'abrasion emissions'!$I$7:$I$34,"PM 2.5",'abrasion emissions'!$J$7:$J$34,"rural",'abrasion emissions'!$K$7:$K$34,"Brake",'abrasion emissions'!$L$7:$L$34,"b")*POWER(('vehicles specifications'!$Q21/1000),(1/SUMIFS('abrasion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specifications'!$P21/1000),(1/SUMIFS('abrasion emissions'!$M$7:$M$34,'abrasion emissions'!$I$7:$I$34,"PM 10",'abrasion emissions'!$J$7:$J$34,"rural",'abrasion emissions'!$K$7:$K$34,"Brake",'abrasion emissions'!$L$7:$L$34,"c")))))/1000000</f>
        <v>1.1005458499758413E-6</v>
      </c>
      <c r="CS21" s="7">
        <f>((SUMIFS('abrasion emissions'!$M$7:$M$34,'abrasion emissions'!$I$7:$I$34,"PM 2.5",'abrasion emissions'!$J$7:$J$34,"motorway",'abrasion emissions'!$K$7:$K$34,"Brake",'abrasion emissions'!$L$7:$L$34,"b")*POWER(('vehicles specifications'!$Q21/1000),(1/SUMIFS('abrasion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specifications'!$P21/1000),(1/SUMIFS('abrasion emissions'!$M$7:$M$34,'abrasion emissions'!$I$7:$I$34,"PM 10",'abrasion emissions'!$J$7:$J$34,"motorway",'abrasion emissions'!$K$7:$K$34,"Brake",'abrasion emissions'!$L$7:$L$34,"c")))))/1000000</f>
        <v>1.8924844620855619E-7</v>
      </c>
      <c r="CT21" s="7">
        <f>((SUMIFS('abrasion emissions'!$M$7:$M$38,'abrasion emissions'!$I$7:$I$38,"PM 2.5",'abrasion emissions'!$K$7:$K$38,"Re-susp.",'abrasion emissions'!$L$7:$L$38,"b")*POWER(('vehicles specifications'!$Q21/1000),(1/SUMIFS('abrasion emissions'!$M$7:$M$38,'abrasion emissions'!$I$7:$I$38,"PM 2.5",'abrasion emissions'!$K$7:$K$38,"Re-susp.",'abrasion emissions'!$L$7:$L$38,"c"))))+
(SUMIFS('abrasion emissions'!$M$7:$M$38,'abrasion emissions'!$I$7:$I$38,"PM 10",'abrasion emissions'!$K$7:$K$38,"Re-susp.",'abrasion emissions'!$L$7:$L$38,"b")*POWER(('vehicles specifications'!$Q21/1000),(1/SUMIFS('abrasion emissions'!$M$7:$M$38,'abrasion emissions'!$I$7:$I$38,"PM 10",'abrasion emissions'!$K$7:$K$38,"Re-susp.",'abrasion emissions'!$L$7:$L$38,"c")))))/1000000</f>
        <v>1.9896768094889238E-6</v>
      </c>
      <c r="CU21" s="7">
        <f>((SUMIFS('abrasion emissions'!$M$7:$M$38,'abrasion emissions'!$I$7:$I$38,"PM 2.5",'abrasion emissions'!$K$7:$K$38,"Road",'abrasion emissions'!$L$7:$L$38,"b")*POWER(('vehicles specifications'!$Q21/1000),(1/SUMIFS('abrasion emissions'!$M$7:$M$38,'abrasion emissions'!$I$7:$I$38,"PM 2.5",'abrasion emissions'!$K$7:$K$38,"Road",'abrasion emissions'!$L$7:$L$38,"c"))))+
(SUMIFS('abrasion emissions'!$M$7:$M$38,'abrasion emissions'!$I$7:$I$38,"PM 10",'abrasion emissions'!$K$7:$K$38,"Road",'abrasion emissions'!$L$7:$L$38,"b")*POWER(('vehicles specifications'!$Q21/1000),(1/SUMIFS('abrasion emissions'!$M$7:$M$38,'abrasion emissions'!$I$7:$I$38,"PM 10",'abrasion emissions'!$K$7:$K$38,"Road",'abrasion emissions'!$L$7:$L$38,"c")))))/1000000+CT21</f>
        <v>4.1614870560677791E-6</v>
      </c>
      <c r="CV21" s="7">
        <f t="shared" si="13"/>
        <v>4.0990393865404142E-6</v>
      </c>
      <c r="CW21" s="7">
        <f t="shared" si="14"/>
        <v>3.8104964233430331E-6</v>
      </c>
    </row>
    <row r="22" spans="1:101" x14ac:dyDescent="0.2">
      <c r="A22" t="str">
        <f t="shared" si="1"/>
        <v>Bicycle, electric (&lt;25 km/h) - 2050 - NMC - CH</v>
      </c>
      <c r="B22" t="s">
        <v>264</v>
      </c>
      <c r="D22" s="18">
        <v>2050</v>
      </c>
      <c r="E22" t="s">
        <v>37</v>
      </c>
      <c r="F22" t="s">
        <v>138</v>
      </c>
      <c r="G22" t="s">
        <v>39</v>
      </c>
      <c r="H22" t="s">
        <v>32</v>
      </c>
      <c r="I22" t="s">
        <v>43</v>
      </c>
      <c r="J22">
        <v>20000</v>
      </c>
      <c r="K22">
        <v>2000</v>
      </c>
      <c r="L22" s="2">
        <f t="shared" si="2"/>
        <v>10</v>
      </c>
      <c r="M22">
        <v>1</v>
      </c>
      <c r="N22">
        <v>75</v>
      </c>
      <c r="O22">
        <v>1</v>
      </c>
      <c r="P22" s="2">
        <f t="shared" si="0"/>
        <v>22.479999999999997</v>
      </c>
      <c r="Q22" s="2">
        <f t="shared" si="3"/>
        <v>98.47999999999999</v>
      </c>
      <c r="R22">
        <v>0.25</v>
      </c>
      <c r="S22" s="2">
        <v>16</v>
      </c>
      <c r="T22" s="1">
        <v>7.0000000000000007E-2</v>
      </c>
      <c r="U22" s="2">
        <f t="shared" si="4"/>
        <v>14.879999999999999</v>
      </c>
      <c r="V22">
        <v>0</v>
      </c>
      <c r="W22">
        <v>3.7</v>
      </c>
      <c r="X22" s="3">
        <v>1.5</v>
      </c>
      <c r="Y22" s="1">
        <v>0.8</v>
      </c>
      <c r="Z22" s="3">
        <f t="shared" si="5"/>
        <v>1.2000000000000002</v>
      </c>
      <c r="AA22" s="3">
        <f>IF(I22&lt;&gt;"",X22/INDEX('energy battery'!$B$3:$D$6,MATCH('vehicles specifications'!$D22,'energy battery'!$A$3:$A$6,0),MATCH('vehicles specifications'!$I22,'energy battery'!$B$2:$D$2,0)),"")</f>
        <v>3</v>
      </c>
      <c r="AB22" s="3">
        <f t="shared" si="6"/>
        <v>0.89999999999999991</v>
      </c>
      <c r="AC22" s="3">
        <f t="shared" si="7"/>
        <v>3.9</v>
      </c>
      <c r="AD22">
        <v>0</v>
      </c>
      <c r="AE22">
        <v>0</v>
      </c>
      <c r="AF22">
        <v>0</v>
      </c>
      <c r="AG22">
        <v>0</v>
      </c>
      <c r="AH22">
        <v>0</v>
      </c>
      <c r="AI22">
        <v>0.5</v>
      </c>
      <c r="AJ22">
        <v>1</v>
      </c>
      <c r="AK22" s="6">
        <f t="shared" si="38"/>
        <v>1.3333333333333333</v>
      </c>
      <c r="AL22">
        <f t="shared" si="8"/>
        <v>5.2883759999999994E-5</v>
      </c>
      <c r="AM22">
        <v>0</v>
      </c>
      <c r="AN22" s="2">
        <f t="shared" si="9"/>
        <v>14.879999999999999</v>
      </c>
      <c r="AO22" s="2">
        <f t="shared" si="10"/>
        <v>3.7</v>
      </c>
      <c r="AP22" s="2">
        <f t="shared" si="11"/>
        <v>3.9</v>
      </c>
      <c r="AQ22" s="6" t="s">
        <v>85</v>
      </c>
      <c r="AR22" s="20"/>
      <c r="AS22" s="5">
        <v>2.4670639149862349E-2</v>
      </c>
      <c r="AT22" s="2">
        <f t="shared" si="12"/>
        <v>175.10693475584739</v>
      </c>
      <c r="AU22" s="5">
        <v>0</v>
      </c>
      <c r="AV22" s="5">
        <v>0</v>
      </c>
      <c r="AW22" s="7">
        <v>0</v>
      </c>
      <c r="AX22" s="7">
        <v>0</v>
      </c>
      <c r="AY22" s="7">
        <v>0</v>
      </c>
      <c r="AZ22" s="7">
        <v>0</v>
      </c>
      <c r="BA22" s="7">
        <v>0</v>
      </c>
      <c r="BB22" s="7">
        <v>0</v>
      </c>
      <c r="BC22" s="7">
        <v>0</v>
      </c>
      <c r="BD22" s="7">
        <v>0</v>
      </c>
      <c r="BE22" s="7">
        <v>0</v>
      </c>
      <c r="BF22" s="7">
        <v>0</v>
      </c>
      <c r="BG22" s="7">
        <v>0</v>
      </c>
      <c r="BH22" s="7">
        <v>0</v>
      </c>
      <c r="BI22" s="7">
        <v>0</v>
      </c>
      <c r="BJ22" s="7">
        <v>0</v>
      </c>
      <c r="BK22" s="7">
        <v>0</v>
      </c>
      <c r="BL22" s="7">
        <v>0</v>
      </c>
      <c r="BM22" s="7">
        <v>0</v>
      </c>
      <c r="BN22" s="7">
        <v>0</v>
      </c>
      <c r="BO22" s="7">
        <v>0</v>
      </c>
      <c r="BP22" s="7">
        <v>0</v>
      </c>
      <c r="BQ22" s="7">
        <v>0</v>
      </c>
      <c r="BR22" s="7">
        <v>0</v>
      </c>
      <c r="BS22" s="7">
        <v>0</v>
      </c>
      <c r="BT22" s="7">
        <v>0</v>
      </c>
      <c r="BU22" s="7">
        <v>0</v>
      </c>
      <c r="BV22" s="7">
        <v>0</v>
      </c>
      <c r="BW22" s="7">
        <v>0</v>
      </c>
      <c r="BX22" s="7">
        <v>0</v>
      </c>
      <c r="BY22" s="7">
        <v>0</v>
      </c>
      <c r="BZ22" s="7">
        <v>0</v>
      </c>
      <c r="CA22" s="7">
        <v>0</v>
      </c>
      <c r="CB22" s="7">
        <v>0</v>
      </c>
      <c r="CC22" s="7">
        <v>0</v>
      </c>
      <c r="CD22" s="7">
        <v>0</v>
      </c>
      <c r="CE22" s="7">
        <v>0</v>
      </c>
      <c r="CF22" s="7">
        <v>0</v>
      </c>
      <c r="CG22" s="7">
        <v>0</v>
      </c>
      <c r="CH22" s="7">
        <v>0</v>
      </c>
      <c r="CI22" s="7">
        <v>0</v>
      </c>
      <c r="CJ22" s="7">
        <v>0</v>
      </c>
      <c r="CK22" s="38">
        <f>VLOOKUP($B22,'abrasion emissions'!$O$7:$R$36,2,FALSE)</f>
        <v>1</v>
      </c>
      <c r="CL22" s="38">
        <f>VLOOKUP($B22,'abrasion emissions'!$O$7:$R$36,3,FALSE)</f>
        <v>0</v>
      </c>
      <c r="CM22" s="38">
        <f>VLOOKUP($B22,'abrasion emissions'!$O$7:$R$36,4,FALSE)</f>
        <v>0</v>
      </c>
      <c r="CN22" s="7">
        <f>((SUMIFS('abrasion emissions'!$M$7:$M$34,'abrasion emissions'!$I$7:$I$34,"PM 2.5",'abrasion emissions'!$J$7:$J$34,"urban",'abrasion emissions'!$K$7:$K$34,"Tyre",'abrasion emissions'!$L$7:$L$34,"b")*POWER(('vehicles specifications'!$Q22/1000),(1/SUMIFS('abrasion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specifications'!$P22/1000),(1/SUMIFS('abrasion emissions'!$M$7:$M$34,'abrasion emissions'!$I$7:$I$34,"PM 10",'abrasion emissions'!$J$7:$J$34,"urban",'abrasion emissions'!$K$7:$K$34,"Tyre",'abrasion emissions'!$L$7:$L$34,"c")))))/1000000</f>
        <v>4.1070499667251542E-6</v>
      </c>
      <c r="CO22" s="7">
        <f>((SUMIFS('abrasion emissions'!$M$7:$M$34,'abrasion emissions'!$I$7:$I$34,"PM 2.5",'abrasion emissions'!$J$7:$J$34,"rural",'abrasion emissions'!$K$7:$K$34,"Tyre",'abrasion emissions'!$L$7:$L$34,"b")*POWER(('vehicles specifications'!$Q22/1000),(1/SUMIFS('abrasion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specifications'!$P22/1000),(1/SUMIFS('abrasion emissions'!$M$7:$M$34,'abrasion emissions'!$I$7:$I$34,"PM 10",'abrasion emissions'!$J$7:$J$34,"rural",'abrasion emissions'!$K$7:$K$34,"Tyre",'abrasion emissions'!$L$7:$L$34,"c")))))/1000000</f>
        <v>3.2003501440819219E-6</v>
      </c>
      <c r="CP22" s="7">
        <f>((SUMIFS('abrasion emissions'!$M$7:$M$34,'abrasion emissions'!$I$7:$I$34,"PM 2.5",'abrasion emissions'!$J$7:$J$34,"motorway",'abrasion emissions'!$K$7:$K$34,"Tyre",'abrasion emissions'!$L$7:$L$34,"b")*POWER(('vehicles specifications'!$Q22/1000),(1/SUMIFS('abrasion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specifications'!$P22/1000),(1/SUMIFS('abrasion emissions'!$M$7:$M$34,'abrasion emissions'!$I$7:$I$34,"PM 10",'abrasion emissions'!$J$7:$J$34,"motorway",'abrasion emissions'!$K$7:$K$34,"Tyre",'abrasion emissions'!$L$7:$L$34,"c")))))/1000000</f>
        <v>2.7373982769491173E-6</v>
      </c>
      <c r="CQ22" s="7">
        <f>((SUMIFS('abrasion emissions'!$M$7:$M$34,'abrasion emissions'!$I$7:$I$34,"PM 2.5",'abrasion emissions'!$J$7:$J$34,"urban",'abrasion emissions'!$K$7:$K$34,"Brake",'abrasion emissions'!$L$7:$L$34,"b")*POWER(('vehicles specifications'!$Q22/1000),(1/SUMIFS('abrasion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specifications'!$P22/1000),(1/SUMIFS('abrasion emissions'!$M$7:$M$34,'abrasion emissions'!$I$7:$I$34,"PM 10",'abrasion emissions'!$J$7:$J$34,"urban",'abrasion emissions'!$K$7:$K$34,"Brake",'abrasion emissions'!$L$7:$L$34,"c")))))/1000000</f>
        <v>3.8175668936151024E-6</v>
      </c>
      <c r="CR22" s="7">
        <f>((SUMIFS('abrasion emissions'!$M$7:$M$34,'abrasion emissions'!$I$7:$I$34,"PM 2.5",'abrasion emissions'!$J$7:$J$34,"rural",'abrasion emissions'!$K$7:$K$34,"Brake",'abrasion emissions'!$L$7:$L$34,"b")*POWER(('vehicles specifications'!$Q22/1000),(1/SUMIFS('abrasion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specifications'!$P22/1000),(1/SUMIFS('abrasion emissions'!$M$7:$M$34,'abrasion emissions'!$I$7:$I$34,"PM 10",'abrasion emissions'!$J$7:$J$34,"rural",'abrasion emissions'!$K$7:$K$34,"Brake",'abrasion emissions'!$L$7:$L$34,"c")))))/1000000</f>
        <v>1.1030202122144157E-6</v>
      </c>
      <c r="CS22" s="7">
        <f>((SUMIFS('abrasion emissions'!$M$7:$M$34,'abrasion emissions'!$I$7:$I$34,"PM 2.5",'abrasion emissions'!$J$7:$J$34,"motorway",'abrasion emissions'!$K$7:$K$34,"Brake",'abrasion emissions'!$L$7:$L$34,"b")*POWER(('vehicles specifications'!$Q22/1000),(1/SUMIFS('abrasion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specifications'!$P22/1000),(1/SUMIFS('abrasion emissions'!$M$7:$M$34,'abrasion emissions'!$I$7:$I$34,"PM 10",'abrasion emissions'!$J$7:$J$34,"motorway",'abrasion emissions'!$K$7:$K$34,"Brake",'abrasion emissions'!$L$7:$L$34,"c")))))/1000000</f>
        <v>1.8972068828943925E-7</v>
      </c>
      <c r="CT22" s="7">
        <f>((SUMIFS('abrasion emissions'!$M$7:$M$38,'abrasion emissions'!$I$7:$I$38,"PM 2.5",'abrasion emissions'!$K$7:$K$38,"Re-susp.",'abrasion emissions'!$L$7:$L$38,"b")*POWER(('vehicles specifications'!$Q22/1000),(1/SUMIFS('abrasion emissions'!$M$7:$M$38,'abrasion emissions'!$I$7:$I$38,"PM 2.5",'abrasion emissions'!$K$7:$K$38,"Re-susp.",'abrasion emissions'!$L$7:$L$38,"c"))))+
(SUMIFS('abrasion emissions'!$M$7:$M$38,'abrasion emissions'!$I$7:$I$38,"PM 10",'abrasion emissions'!$K$7:$K$38,"Re-susp.",'abrasion emissions'!$L$7:$L$38,"b")*POWER(('vehicles specifications'!$Q22/1000),(1/SUMIFS('abrasion emissions'!$M$7:$M$38,'abrasion emissions'!$I$7:$I$38,"PM 10",'abrasion emissions'!$K$7:$K$38,"Re-susp.",'abrasion emissions'!$L$7:$L$38,"c")))))/1000000</f>
        <v>1.9939106934837492E-6</v>
      </c>
      <c r="CU22" s="7">
        <f>((SUMIFS('abrasion emissions'!$M$7:$M$38,'abrasion emissions'!$I$7:$I$38,"PM 2.5",'abrasion emissions'!$K$7:$K$38,"Road",'abrasion emissions'!$L$7:$L$38,"b")*POWER(('vehicles specifications'!$Q22/1000),(1/SUMIFS('abrasion emissions'!$M$7:$M$38,'abrasion emissions'!$I$7:$I$38,"PM 2.5",'abrasion emissions'!$K$7:$K$38,"Road",'abrasion emissions'!$L$7:$L$38,"c"))))+
(SUMIFS('abrasion emissions'!$M$7:$M$38,'abrasion emissions'!$I$7:$I$38,"PM 10",'abrasion emissions'!$K$7:$K$38,"Road",'abrasion emissions'!$L$7:$L$38,"b")*POWER(('vehicles specifications'!$Q22/1000),(1/SUMIFS('abrasion emissions'!$M$7:$M$38,'abrasion emissions'!$I$7:$I$38,"PM 10",'abrasion emissions'!$K$7:$K$38,"Road",'abrasion emissions'!$L$7:$L$38,"c")))))/1000000+CT22</f>
        <v>4.1691090429791777E-6</v>
      </c>
      <c r="CV22" s="7">
        <f t="shared" si="13"/>
        <v>4.1070499667251542E-6</v>
      </c>
      <c r="CW22" s="7">
        <f t="shared" si="14"/>
        <v>3.8175668936151024E-6</v>
      </c>
    </row>
    <row r="23" spans="1:101" x14ac:dyDescent="0.2">
      <c r="A23" t="str">
        <f t="shared" si="1"/>
        <v>Bicycle, electric (&lt;45 km/h) - 2020 - NMC - CH</v>
      </c>
      <c r="B23" t="s">
        <v>265</v>
      </c>
      <c r="D23" s="18">
        <v>2020</v>
      </c>
      <c r="E23" t="s">
        <v>37</v>
      </c>
      <c r="F23" t="s">
        <v>138</v>
      </c>
      <c r="G23" t="s">
        <v>39</v>
      </c>
      <c r="H23" t="s">
        <v>32</v>
      </c>
      <c r="I23" t="s">
        <v>43</v>
      </c>
      <c r="J23">
        <v>30000</v>
      </c>
      <c r="K23">
        <v>3000</v>
      </c>
      <c r="L23" s="2">
        <f t="shared" si="2"/>
        <v>10</v>
      </c>
      <c r="M23">
        <v>1</v>
      </c>
      <c r="N23">
        <v>75</v>
      </c>
      <c r="O23">
        <v>1</v>
      </c>
      <c r="P23" s="2">
        <f t="shared" si="0"/>
        <v>27.25</v>
      </c>
      <c r="Q23" s="2">
        <f t="shared" si="3"/>
        <v>103.25</v>
      </c>
      <c r="R23">
        <v>0.5</v>
      </c>
      <c r="S23" s="2">
        <v>19</v>
      </c>
      <c r="T23" s="1">
        <v>0</v>
      </c>
      <c r="U23" s="2">
        <f t="shared" si="4"/>
        <v>19</v>
      </c>
      <c r="V23">
        <v>0</v>
      </c>
      <c r="W23">
        <v>5</v>
      </c>
      <c r="X23" s="3">
        <v>0.5</v>
      </c>
      <c r="Y23" s="1">
        <v>0.8</v>
      </c>
      <c r="Z23" s="3">
        <f t="shared" si="5"/>
        <v>0.4</v>
      </c>
      <c r="AA23" s="3">
        <f>IF(I23&lt;&gt;"",X23/INDEX('energy battery'!$B$3:$D$6,MATCH('vehicles specifications'!$D23,'energy battery'!$A$3:$A$6,0),MATCH('vehicles specifications'!$I23,'energy battery'!$B$2:$D$2,0)),"")</f>
        <v>2.5</v>
      </c>
      <c r="AB23" s="3">
        <f t="shared" si="6"/>
        <v>0.75</v>
      </c>
      <c r="AC23" s="3">
        <f t="shared" si="7"/>
        <v>3.25</v>
      </c>
      <c r="AD23">
        <v>1</v>
      </c>
      <c r="AE23">
        <v>0</v>
      </c>
      <c r="AF23">
        <v>0</v>
      </c>
      <c r="AG23">
        <v>0</v>
      </c>
      <c r="AH23">
        <v>0</v>
      </c>
      <c r="AI23">
        <v>0.5</v>
      </c>
      <c r="AJ23">
        <v>1</v>
      </c>
      <c r="AK23" s="6">
        <f t="shared" si="38"/>
        <v>2</v>
      </c>
      <c r="AL23">
        <f t="shared" si="8"/>
        <v>5.5445249999999999E-5</v>
      </c>
      <c r="AM23">
        <v>0</v>
      </c>
      <c r="AN23" s="2">
        <f t="shared" si="9"/>
        <v>19</v>
      </c>
      <c r="AO23" s="2">
        <f t="shared" si="10"/>
        <v>5</v>
      </c>
      <c r="AP23" s="2">
        <f t="shared" si="11"/>
        <v>3.25</v>
      </c>
      <c r="AQ23" s="6" t="s">
        <v>85</v>
      </c>
      <c r="AR23" s="20"/>
      <c r="AS23" s="5">
        <v>4.5308940859381523E-2</v>
      </c>
      <c r="AT23" s="2">
        <f t="shared" si="12"/>
        <v>31.78180669614656</v>
      </c>
      <c r="AU23" s="5">
        <v>0</v>
      </c>
      <c r="AV23" s="5">
        <v>0</v>
      </c>
      <c r="AW23" s="7">
        <v>0</v>
      </c>
      <c r="AX23" s="7">
        <v>0</v>
      </c>
      <c r="AY23" s="7">
        <v>0</v>
      </c>
      <c r="AZ23" s="7">
        <v>0</v>
      </c>
      <c r="BA23" s="7">
        <v>0</v>
      </c>
      <c r="BB23" s="7">
        <v>0</v>
      </c>
      <c r="BC23" s="7">
        <v>0</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0</v>
      </c>
      <c r="CE23" s="7">
        <v>0</v>
      </c>
      <c r="CF23" s="7">
        <v>0</v>
      </c>
      <c r="CG23" s="7">
        <v>0</v>
      </c>
      <c r="CH23" s="7">
        <v>0</v>
      </c>
      <c r="CI23" s="7">
        <v>0</v>
      </c>
      <c r="CJ23" s="7">
        <v>0</v>
      </c>
      <c r="CK23" s="38">
        <f>VLOOKUP($B23,'abrasion emissions'!$O$7:$R$36,2,FALSE)</f>
        <v>1</v>
      </c>
      <c r="CL23" s="38">
        <f>VLOOKUP($B23,'abrasion emissions'!$O$7:$R$36,3,FALSE)</f>
        <v>0</v>
      </c>
      <c r="CM23" s="38">
        <f>VLOOKUP($B23,'abrasion emissions'!$O$7:$R$36,4,FALSE)</f>
        <v>0</v>
      </c>
      <c r="CN23" s="7">
        <f>((SUMIFS('abrasion emissions'!$M$7:$M$34,'abrasion emissions'!$I$7:$I$34,"PM 2.5",'abrasion emissions'!$J$7:$J$34,"urban",'abrasion emissions'!$K$7:$K$34,"Tyre",'abrasion emissions'!$L$7:$L$34,"b")*POWER(('vehicles specifications'!$Q23/1000),(1/SUMIFS('abrasion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specifications'!$P23/1000),(1/SUMIFS('abrasion emissions'!$M$7:$M$34,'abrasion emissions'!$I$7:$I$34,"PM 10",'abrasion emissions'!$J$7:$J$34,"urban",'abrasion emissions'!$K$7:$K$34,"Tyre",'abrasion emissions'!$L$7:$L$34,"c")))))/1000000</f>
        <v>4.2664398392934627E-6</v>
      </c>
      <c r="CO23" s="7">
        <f>((SUMIFS('abrasion emissions'!$M$7:$M$34,'abrasion emissions'!$I$7:$I$34,"PM 2.5",'abrasion emissions'!$J$7:$J$34,"rural",'abrasion emissions'!$K$7:$K$34,"Tyre",'abrasion emissions'!$L$7:$L$34,"b")*POWER(('vehicles specifications'!$Q23/1000),(1/SUMIFS('abrasion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specifications'!$P23/1000),(1/SUMIFS('abrasion emissions'!$M$7:$M$34,'abrasion emissions'!$I$7:$I$34,"PM 10",'abrasion emissions'!$J$7:$J$34,"rural",'abrasion emissions'!$K$7:$K$34,"Tyre",'abrasion emissions'!$L$7:$L$34,"c")))))/1000000</f>
        <v>3.3243023900367355E-6</v>
      </c>
      <c r="CP23" s="7">
        <f>((SUMIFS('abrasion emissions'!$M$7:$M$34,'abrasion emissions'!$I$7:$I$34,"PM 2.5",'abrasion emissions'!$J$7:$J$34,"motorway",'abrasion emissions'!$K$7:$K$34,"Tyre",'abrasion emissions'!$L$7:$L$34,"b")*POWER(('vehicles specifications'!$Q23/1000),(1/SUMIFS('abrasion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specifications'!$P23/1000),(1/SUMIFS('abrasion emissions'!$M$7:$M$34,'abrasion emissions'!$I$7:$I$34,"PM 10",'abrasion emissions'!$J$7:$J$34,"motorway",'abrasion emissions'!$K$7:$K$34,"Tyre",'abrasion emissions'!$L$7:$L$34,"c")))))/1000000</f>
        <v>2.8427938078681607E-6</v>
      </c>
      <c r="CQ23" s="7">
        <f>((SUMIFS('abrasion emissions'!$M$7:$M$34,'abrasion emissions'!$I$7:$I$34,"PM 2.5",'abrasion emissions'!$J$7:$J$34,"urban",'abrasion emissions'!$K$7:$K$34,"Brake",'abrasion emissions'!$L$7:$L$34,"b")*POWER(('vehicles specifications'!$Q23/1000),(1/SUMIFS('abrasion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specifications'!$P23/1000),(1/SUMIFS('abrasion emissions'!$M$7:$M$34,'abrasion emissions'!$I$7:$I$34,"PM 10",'abrasion emissions'!$J$7:$J$34,"urban",'abrasion emissions'!$K$7:$K$34,"Brake",'abrasion emissions'!$L$7:$L$34,"c")))))/1000000</f>
        <v>3.960170488563306E-6</v>
      </c>
      <c r="CR23" s="7">
        <f>((SUMIFS('abrasion emissions'!$M$7:$M$34,'abrasion emissions'!$I$7:$I$34,"PM 2.5",'abrasion emissions'!$J$7:$J$34,"rural",'abrasion emissions'!$K$7:$K$34,"Brake",'abrasion emissions'!$L$7:$L$34,"b")*POWER(('vehicles specifications'!$Q23/1000),(1/SUMIFS('abrasion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specifications'!$P23/1000),(1/SUMIFS('abrasion emissions'!$M$7:$M$34,'abrasion emissions'!$I$7:$I$34,"PM 10",'abrasion emissions'!$J$7:$J$34,"rural",'abrasion emissions'!$K$7:$K$34,"Brake",'abrasion emissions'!$L$7:$L$34,"c")))))/1000000</f>
        <v>1.1533876437728229E-6</v>
      </c>
      <c r="CS23" s="7">
        <f>((SUMIFS('abrasion emissions'!$M$7:$M$34,'abrasion emissions'!$I$7:$I$34,"PM 2.5",'abrasion emissions'!$J$7:$J$34,"motorway",'abrasion emissions'!$K$7:$K$34,"Brake",'abrasion emissions'!$L$7:$L$34,"b")*POWER(('vehicles specifications'!$Q23/1000),(1/SUMIFS('abrasion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specifications'!$P23/1000),(1/SUMIFS('abrasion emissions'!$M$7:$M$34,'abrasion emissions'!$I$7:$I$34,"PM 10",'abrasion emissions'!$J$7:$J$34,"motorway",'abrasion emissions'!$K$7:$K$34,"Brake",'abrasion emissions'!$L$7:$L$34,"c")))))/1000000</f>
        <v>1.9939483572900624E-7</v>
      </c>
      <c r="CT23" s="7">
        <f>((SUMIFS('abrasion emissions'!$M$7:$M$38,'abrasion emissions'!$I$7:$I$38,"PM 2.5",'abrasion emissions'!$K$7:$K$38,"Re-susp.",'abrasion emissions'!$L$7:$L$38,"b")*POWER(('vehicles specifications'!$Q23/1000),(1/SUMIFS('abrasion emissions'!$M$7:$M$38,'abrasion emissions'!$I$7:$I$38,"PM 2.5",'abrasion emissions'!$K$7:$K$38,"Re-susp.",'abrasion emissions'!$L$7:$L$38,"c"))))+
(SUMIFS('abrasion emissions'!$M$7:$M$38,'abrasion emissions'!$I$7:$I$38,"PM 10",'abrasion emissions'!$K$7:$K$38,"Re-susp.",'abrasion emissions'!$L$7:$L$38,"b")*POWER(('vehicles specifications'!$Q23/1000),(1/SUMIFS('abrasion emissions'!$M$7:$M$38,'abrasion emissions'!$I$7:$I$38,"PM 10",'abrasion emissions'!$K$7:$K$38,"Re-susp.",'abrasion emissions'!$L$7:$L$38,"c")))))/1000000</f>
        <v>2.0815184587367837E-6</v>
      </c>
      <c r="CU23" s="7">
        <f>((SUMIFS('abrasion emissions'!$M$7:$M$38,'abrasion emissions'!$I$7:$I$38,"PM 2.5",'abrasion emissions'!$K$7:$K$38,"Road",'abrasion emissions'!$L$7:$L$38,"b")*POWER(('vehicles specifications'!$Q23/1000),(1/SUMIFS('abrasion emissions'!$M$7:$M$38,'abrasion emissions'!$I$7:$I$38,"PM 2.5",'abrasion emissions'!$K$7:$K$38,"Road",'abrasion emissions'!$L$7:$L$38,"c"))))+
(SUMIFS('abrasion emissions'!$M$7:$M$38,'abrasion emissions'!$I$7:$I$38,"PM 10",'abrasion emissions'!$K$7:$K$38,"Road",'abrasion emissions'!$L$7:$L$38,"b")*POWER(('vehicles specifications'!$Q23/1000),(1/SUMIFS('abrasion emissions'!$M$7:$M$38,'abrasion emissions'!$I$7:$I$38,"PM 10",'abrasion emissions'!$K$7:$K$38,"Road",'abrasion emissions'!$L$7:$L$38,"c")))))/1000000+CT23</f>
        <v>4.3264006015800174E-6</v>
      </c>
      <c r="CV23" s="7">
        <f t="shared" si="13"/>
        <v>4.2664398392934627E-6</v>
      </c>
      <c r="CW23" s="7">
        <f t="shared" si="14"/>
        <v>3.960170488563306E-6</v>
      </c>
    </row>
    <row r="24" spans="1:101" x14ac:dyDescent="0.2">
      <c r="A24" t="str">
        <f t="shared" si="1"/>
        <v>Bicycle, electric (&lt;45 km/h) - 2030 - NMC - CH</v>
      </c>
      <c r="B24" t="s">
        <v>265</v>
      </c>
      <c r="D24" s="18">
        <v>2030</v>
      </c>
      <c r="E24" t="s">
        <v>37</v>
      </c>
      <c r="F24" t="s">
        <v>138</v>
      </c>
      <c r="G24" t="s">
        <v>39</v>
      </c>
      <c r="H24" t="s">
        <v>32</v>
      </c>
      <c r="I24" t="s">
        <v>43</v>
      </c>
      <c r="J24">
        <v>30000</v>
      </c>
      <c r="K24">
        <v>3000</v>
      </c>
      <c r="L24" s="2">
        <f t="shared" si="2"/>
        <v>10</v>
      </c>
      <c r="M24">
        <v>1</v>
      </c>
      <c r="N24">
        <v>75</v>
      </c>
      <c r="O24">
        <v>1</v>
      </c>
      <c r="P24" s="2">
        <f t="shared" si="0"/>
        <v>26.796666666666667</v>
      </c>
      <c r="Q24" s="2">
        <f t="shared" si="3"/>
        <v>102.79666666666667</v>
      </c>
      <c r="R24">
        <v>0.5</v>
      </c>
      <c r="S24" s="2">
        <v>19</v>
      </c>
      <c r="T24" s="1">
        <v>0.03</v>
      </c>
      <c r="U24" s="2">
        <f t="shared" si="4"/>
        <v>18.43</v>
      </c>
      <c r="V24">
        <v>0</v>
      </c>
      <c r="W24">
        <v>4.9000000000000004</v>
      </c>
      <c r="X24" s="3">
        <v>0.8</v>
      </c>
      <c r="Y24" s="1">
        <v>0.8</v>
      </c>
      <c r="Z24" s="3">
        <f t="shared" si="5"/>
        <v>0.64000000000000012</v>
      </c>
      <c r="AA24" s="3">
        <f>IF(I24&lt;&gt;"",X24/INDEX('energy battery'!$B$3:$D$6,MATCH('vehicles specifications'!$D24,'energy battery'!$A$3:$A$6,0),MATCH('vehicles specifications'!$I24,'energy battery'!$B$2:$D$2,0)),"")</f>
        <v>2.666666666666667</v>
      </c>
      <c r="AB24" s="3">
        <f t="shared" si="6"/>
        <v>0.8</v>
      </c>
      <c r="AC24" s="3">
        <f t="shared" si="7"/>
        <v>3.4666666666666668</v>
      </c>
      <c r="AD24">
        <v>0.5</v>
      </c>
      <c r="AE24">
        <v>0</v>
      </c>
      <c r="AF24">
        <v>0</v>
      </c>
      <c r="AG24">
        <v>0</v>
      </c>
      <c r="AH24">
        <v>0</v>
      </c>
      <c r="AI24">
        <v>0.5</v>
      </c>
      <c r="AJ24">
        <v>1</v>
      </c>
      <c r="AK24" s="6">
        <f t="shared" si="38"/>
        <v>2</v>
      </c>
      <c r="AL24">
        <f t="shared" si="8"/>
        <v>5.5201809999999998E-5</v>
      </c>
      <c r="AM24">
        <v>0</v>
      </c>
      <c r="AN24" s="2">
        <f t="shared" si="9"/>
        <v>18.43</v>
      </c>
      <c r="AO24" s="2">
        <f t="shared" si="10"/>
        <v>4.9000000000000004</v>
      </c>
      <c r="AP24" s="2">
        <f t="shared" si="11"/>
        <v>3.4666666666666668</v>
      </c>
      <c r="AQ24" s="6" t="s">
        <v>85</v>
      </c>
      <c r="AR24" s="20"/>
      <c r="AS24" s="5">
        <v>4.5308940859381523E-2</v>
      </c>
      <c r="AT24" s="2">
        <f t="shared" si="12"/>
        <v>50.850890713834502</v>
      </c>
      <c r="AU24" s="5">
        <v>0</v>
      </c>
      <c r="AV24" s="5">
        <v>0</v>
      </c>
      <c r="AW24" s="7">
        <v>0</v>
      </c>
      <c r="AX24" s="7">
        <v>0</v>
      </c>
      <c r="AY24" s="7">
        <v>0</v>
      </c>
      <c r="AZ24" s="7">
        <v>0</v>
      </c>
      <c r="BA24" s="7">
        <v>0</v>
      </c>
      <c r="BB24" s="7">
        <v>0</v>
      </c>
      <c r="BC24" s="7">
        <v>0</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7">
        <v>0</v>
      </c>
      <c r="BY24" s="7">
        <v>0</v>
      </c>
      <c r="BZ24" s="7">
        <v>0</v>
      </c>
      <c r="CA24" s="7">
        <v>0</v>
      </c>
      <c r="CB24" s="7">
        <v>0</v>
      </c>
      <c r="CC24" s="7">
        <v>0</v>
      </c>
      <c r="CD24" s="7">
        <v>0</v>
      </c>
      <c r="CE24" s="7">
        <v>0</v>
      </c>
      <c r="CF24" s="7">
        <v>0</v>
      </c>
      <c r="CG24" s="7">
        <v>0</v>
      </c>
      <c r="CH24" s="7">
        <v>0</v>
      </c>
      <c r="CI24" s="7">
        <v>0</v>
      </c>
      <c r="CJ24" s="7">
        <v>0</v>
      </c>
      <c r="CK24" s="38">
        <f>VLOOKUP($B24,'abrasion emissions'!$O$7:$R$36,2,FALSE)</f>
        <v>1</v>
      </c>
      <c r="CL24" s="38">
        <f>VLOOKUP($B24,'abrasion emissions'!$O$7:$R$36,3,FALSE)</f>
        <v>0</v>
      </c>
      <c r="CM24" s="38">
        <f>VLOOKUP($B24,'abrasion emissions'!$O$7:$R$36,4,FALSE)</f>
        <v>0</v>
      </c>
      <c r="CN24" s="7">
        <f>((SUMIFS('abrasion emissions'!$M$7:$M$34,'abrasion emissions'!$I$7:$I$34,"PM 2.5",'abrasion emissions'!$J$7:$J$34,"urban",'abrasion emissions'!$K$7:$K$34,"Tyre",'abrasion emissions'!$L$7:$L$34,"b")*POWER(('vehicles specifications'!$Q24/1000),(1/SUMIFS('abrasion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specifications'!$P24/1000),(1/SUMIFS('abrasion emissions'!$M$7:$M$34,'abrasion emissions'!$I$7:$I$34,"PM 10",'abrasion emissions'!$J$7:$J$34,"urban",'abrasion emissions'!$K$7:$K$34,"Tyre",'abrasion emissions'!$L$7:$L$34,"c")))))/1000000</f>
        <v>4.2517989039701259E-6</v>
      </c>
      <c r="CO24" s="7">
        <f>((SUMIFS('abrasion emissions'!$M$7:$M$34,'abrasion emissions'!$I$7:$I$34,"PM 2.5",'abrasion emissions'!$J$7:$J$34,"rural",'abrasion emissions'!$K$7:$K$34,"Tyre",'abrasion emissions'!$L$7:$L$34,"b")*POWER(('vehicles specifications'!$Q24/1000),(1/SUMIFS('abrasion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specifications'!$P24/1000),(1/SUMIFS('abrasion emissions'!$M$7:$M$34,'abrasion emissions'!$I$7:$I$34,"PM 10",'abrasion emissions'!$J$7:$J$34,"rural",'abrasion emissions'!$K$7:$K$34,"Tyre",'abrasion emissions'!$L$7:$L$34,"c")))))/1000000</f>
        <v>3.3129160295478674E-6</v>
      </c>
      <c r="CP24" s="7">
        <f>((SUMIFS('abrasion emissions'!$M$7:$M$34,'abrasion emissions'!$I$7:$I$34,"PM 2.5",'abrasion emissions'!$J$7:$J$34,"motorway",'abrasion emissions'!$K$7:$K$34,"Tyre",'abrasion emissions'!$L$7:$L$34,"b")*POWER(('vehicles specifications'!$Q24/1000),(1/SUMIFS('abrasion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specifications'!$P24/1000),(1/SUMIFS('abrasion emissions'!$M$7:$M$34,'abrasion emissions'!$I$7:$I$34,"PM 10",'abrasion emissions'!$J$7:$J$34,"motorway",'abrasion emissions'!$K$7:$K$34,"Tyre",'abrasion emissions'!$L$7:$L$34,"c")))))/1000000</f>
        <v>2.8331106052648527E-6</v>
      </c>
      <c r="CQ24" s="7">
        <f>((SUMIFS('abrasion emissions'!$M$7:$M$34,'abrasion emissions'!$I$7:$I$34,"PM 2.5",'abrasion emissions'!$J$7:$J$34,"urban",'abrasion emissions'!$K$7:$K$34,"Brake",'abrasion emissions'!$L$7:$L$34,"b")*POWER(('vehicles specifications'!$Q24/1000),(1/SUMIFS('abrasion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specifications'!$P24/1000),(1/SUMIFS('abrasion emissions'!$M$7:$M$34,'abrasion emissions'!$I$7:$I$34,"PM 10",'abrasion emissions'!$J$7:$J$34,"urban",'abrasion emissions'!$K$7:$K$34,"Brake",'abrasion emissions'!$L$7:$L$34,"c")))))/1000000</f>
        <v>3.9469248908384192E-6</v>
      </c>
      <c r="CR24" s="7">
        <f>((SUMIFS('abrasion emissions'!$M$7:$M$34,'abrasion emissions'!$I$7:$I$34,"PM 2.5",'abrasion emissions'!$J$7:$J$34,"rural",'abrasion emissions'!$K$7:$K$34,"Brake",'abrasion emissions'!$L$7:$L$34,"b")*POWER(('vehicles specifications'!$Q24/1000),(1/SUMIFS('abrasion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specifications'!$P24/1000),(1/SUMIFS('abrasion emissions'!$M$7:$M$34,'abrasion emissions'!$I$7:$I$34,"PM 10",'abrasion emissions'!$J$7:$J$34,"rural",'abrasion emissions'!$K$7:$K$34,"Brake",'abrasion emissions'!$L$7:$L$34,"c")))))/1000000</f>
        <v>1.1486737375288916E-6</v>
      </c>
      <c r="CS24" s="7">
        <f>((SUMIFS('abrasion emissions'!$M$7:$M$34,'abrasion emissions'!$I$7:$I$34,"PM 2.5",'abrasion emissions'!$J$7:$J$34,"motorway",'abrasion emissions'!$K$7:$K$34,"Brake",'abrasion emissions'!$L$7:$L$34,"b")*POWER(('vehicles specifications'!$Q24/1000),(1/SUMIFS('abrasion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specifications'!$P24/1000),(1/SUMIFS('abrasion emissions'!$M$7:$M$34,'abrasion emissions'!$I$7:$I$34,"PM 10",'abrasion emissions'!$J$7:$J$34,"motorway",'abrasion emissions'!$K$7:$K$34,"Brake",'abrasion emissions'!$L$7:$L$34,"c")))))/1000000</f>
        <v>1.9848468796768718E-7</v>
      </c>
      <c r="CT24" s="7">
        <f>((SUMIFS('abrasion emissions'!$M$7:$M$38,'abrasion emissions'!$I$7:$I$38,"PM 2.5",'abrasion emissions'!$K$7:$K$38,"Re-susp.",'abrasion emissions'!$L$7:$L$38,"b")*POWER(('vehicles specifications'!$Q24/1000),(1/SUMIFS('abrasion emissions'!$M$7:$M$38,'abrasion emissions'!$I$7:$I$38,"PM 2.5",'abrasion emissions'!$K$7:$K$38,"Re-susp.",'abrasion emissions'!$L$7:$L$38,"c"))))+
(SUMIFS('abrasion emissions'!$M$7:$M$38,'abrasion emissions'!$I$7:$I$38,"PM 10",'abrasion emissions'!$K$7:$K$38,"Re-susp.",'abrasion emissions'!$L$7:$L$38,"b")*POWER(('vehicles specifications'!$Q24/1000),(1/SUMIFS('abrasion emissions'!$M$7:$M$38,'abrasion emissions'!$I$7:$I$38,"PM 10",'abrasion emissions'!$K$7:$K$38,"Re-susp.",'abrasion emissions'!$L$7:$L$38,"c")))))/1000000</f>
        <v>2.0732084404631233E-6</v>
      </c>
      <c r="CU24" s="7">
        <f>((SUMIFS('abrasion emissions'!$M$7:$M$38,'abrasion emissions'!$I$7:$I$38,"PM 2.5",'abrasion emissions'!$K$7:$K$38,"Road",'abrasion emissions'!$L$7:$L$38,"b")*POWER(('vehicles specifications'!$Q24/1000),(1/SUMIFS('abrasion emissions'!$M$7:$M$38,'abrasion emissions'!$I$7:$I$38,"PM 2.5",'abrasion emissions'!$K$7:$K$38,"Road",'abrasion emissions'!$L$7:$L$38,"c"))))+
(SUMIFS('abrasion emissions'!$M$7:$M$38,'abrasion emissions'!$I$7:$I$38,"PM 10",'abrasion emissions'!$K$7:$K$38,"Road",'abrasion emissions'!$L$7:$L$38,"b")*POWER(('vehicles specifications'!$Q24/1000),(1/SUMIFS('abrasion emissions'!$M$7:$M$38,'abrasion emissions'!$I$7:$I$38,"PM 10",'abrasion emissions'!$K$7:$K$38,"Road",'abrasion emissions'!$L$7:$L$38,"c")))))/1000000+CT24</f>
        <v>4.3115147894576166E-6</v>
      </c>
      <c r="CV24" s="7">
        <f t="shared" si="13"/>
        <v>4.2517989039701259E-6</v>
      </c>
      <c r="CW24" s="7">
        <f t="shared" si="14"/>
        <v>3.9469248908384192E-6</v>
      </c>
    </row>
    <row r="25" spans="1:101" x14ac:dyDescent="0.2">
      <c r="A25" t="str">
        <f t="shared" si="1"/>
        <v>Bicycle, electric (&lt;45 km/h) - 2040 - NMC - CH</v>
      </c>
      <c r="B25" t="s">
        <v>265</v>
      </c>
      <c r="D25" s="18">
        <v>2040</v>
      </c>
      <c r="E25" t="s">
        <v>37</v>
      </c>
      <c r="F25" t="s">
        <v>138</v>
      </c>
      <c r="G25" t="s">
        <v>39</v>
      </c>
      <c r="H25" t="s">
        <v>32</v>
      </c>
      <c r="I25" t="s">
        <v>43</v>
      </c>
      <c r="J25">
        <v>30000</v>
      </c>
      <c r="K25">
        <v>3000</v>
      </c>
      <c r="L25" s="2">
        <f t="shared" si="2"/>
        <v>10</v>
      </c>
      <c r="M25">
        <v>1</v>
      </c>
      <c r="N25">
        <v>75</v>
      </c>
      <c r="O25">
        <v>1</v>
      </c>
      <c r="P25" s="2">
        <f t="shared" si="0"/>
        <v>26</v>
      </c>
      <c r="Q25" s="2">
        <f t="shared" si="3"/>
        <v>102</v>
      </c>
      <c r="R25">
        <v>0.5</v>
      </c>
      <c r="S25" s="2">
        <v>19</v>
      </c>
      <c r="T25" s="1">
        <v>0.05</v>
      </c>
      <c r="U25" s="2">
        <f t="shared" si="4"/>
        <v>18.05</v>
      </c>
      <c r="V25">
        <v>0</v>
      </c>
      <c r="W25">
        <v>4.7</v>
      </c>
      <c r="X25" s="3">
        <v>1</v>
      </c>
      <c r="Y25" s="1">
        <v>0.8</v>
      </c>
      <c r="Z25" s="3">
        <f t="shared" si="5"/>
        <v>0.8</v>
      </c>
      <c r="AA25" s="3">
        <f>IF(I25&lt;&gt;"",X25/INDEX('energy battery'!$B$3:$D$6,MATCH('vehicles specifications'!$D25,'energy battery'!$A$3:$A$6,0),MATCH('vehicles specifications'!$I25,'energy battery'!$B$2:$D$2,0)),"")</f>
        <v>2.5</v>
      </c>
      <c r="AB25" s="3">
        <f t="shared" si="6"/>
        <v>0.75</v>
      </c>
      <c r="AC25" s="3">
        <f t="shared" si="7"/>
        <v>3.25</v>
      </c>
      <c r="AD25">
        <v>0.25</v>
      </c>
      <c r="AE25">
        <v>0</v>
      </c>
      <c r="AF25">
        <v>0</v>
      </c>
      <c r="AG25">
        <v>0</v>
      </c>
      <c r="AH25">
        <v>0</v>
      </c>
      <c r="AI25">
        <v>0.5</v>
      </c>
      <c r="AJ25">
        <v>1</v>
      </c>
      <c r="AK25" s="6">
        <f t="shared" si="38"/>
        <v>2</v>
      </c>
      <c r="AL25">
        <f t="shared" si="8"/>
        <v>5.4774000000000001E-5</v>
      </c>
      <c r="AM25">
        <v>0</v>
      </c>
      <c r="AN25" s="2">
        <f t="shared" si="9"/>
        <v>18.05</v>
      </c>
      <c r="AO25" s="2">
        <f t="shared" si="10"/>
        <v>4.7</v>
      </c>
      <c r="AP25" s="2">
        <f t="shared" si="11"/>
        <v>3.25</v>
      </c>
      <c r="AQ25" s="6" t="s">
        <v>85</v>
      </c>
      <c r="AR25" s="20"/>
      <c r="AS25" s="5">
        <v>4.5308940859381523E-2</v>
      </c>
      <c r="AT25" s="2">
        <f t="shared" si="12"/>
        <v>63.563613392293121</v>
      </c>
      <c r="AU25" s="5">
        <v>0</v>
      </c>
      <c r="AV25" s="5">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7">
        <v>0</v>
      </c>
      <c r="CB25" s="7">
        <v>0</v>
      </c>
      <c r="CC25" s="7">
        <v>0</v>
      </c>
      <c r="CD25" s="7">
        <v>0</v>
      </c>
      <c r="CE25" s="7">
        <v>0</v>
      </c>
      <c r="CF25" s="7">
        <v>0</v>
      </c>
      <c r="CG25" s="7">
        <v>0</v>
      </c>
      <c r="CH25" s="7">
        <v>0</v>
      </c>
      <c r="CI25" s="7">
        <v>0</v>
      </c>
      <c r="CJ25" s="7">
        <v>0</v>
      </c>
      <c r="CK25" s="38">
        <f>VLOOKUP($B25,'abrasion emissions'!$O$7:$R$36,2,FALSE)</f>
        <v>1</v>
      </c>
      <c r="CL25" s="38">
        <f>VLOOKUP($B25,'abrasion emissions'!$O$7:$R$36,3,FALSE)</f>
        <v>0</v>
      </c>
      <c r="CM25" s="38">
        <f>VLOOKUP($B25,'abrasion emissions'!$O$7:$R$36,4,FALSE)</f>
        <v>0</v>
      </c>
      <c r="CN25" s="7">
        <f>((SUMIFS('abrasion emissions'!$M$7:$M$34,'abrasion emissions'!$I$7:$I$34,"PM 2.5",'abrasion emissions'!$J$7:$J$34,"urban",'abrasion emissions'!$K$7:$K$34,"Tyre",'abrasion emissions'!$L$7:$L$34,"b")*POWER(('vehicles specifications'!$Q25/1000),(1/SUMIFS('abrasion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specifications'!$P25/1000),(1/SUMIFS('abrasion emissions'!$M$7:$M$34,'abrasion emissions'!$I$7:$I$34,"PM 10",'abrasion emissions'!$J$7:$J$34,"urban",'abrasion emissions'!$K$7:$K$34,"Tyre",'abrasion emissions'!$L$7:$L$34,"c")))))/1000000</f>
        <v>4.2258279579563645E-6</v>
      </c>
      <c r="CO25" s="7">
        <f>((SUMIFS('abrasion emissions'!$M$7:$M$34,'abrasion emissions'!$I$7:$I$34,"PM 2.5",'abrasion emissions'!$J$7:$J$34,"rural",'abrasion emissions'!$K$7:$K$34,"Tyre",'abrasion emissions'!$L$7:$L$34,"b")*POWER(('vehicles specifications'!$Q25/1000),(1/SUMIFS('abrasion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specifications'!$P25/1000),(1/SUMIFS('abrasion emissions'!$M$7:$M$34,'abrasion emissions'!$I$7:$I$34,"PM 10",'abrasion emissions'!$J$7:$J$34,"rural",'abrasion emissions'!$K$7:$K$34,"Tyre",'abrasion emissions'!$L$7:$L$34,"c")))))/1000000</f>
        <v>3.2927185206696987E-6</v>
      </c>
      <c r="CP25" s="7">
        <f>((SUMIFS('abrasion emissions'!$M$7:$M$34,'abrasion emissions'!$I$7:$I$34,"PM 2.5",'abrasion emissions'!$J$7:$J$34,"motorway",'abrasion emissions'!$K$7:$K$34,"Tyre",'abrasion emissions'!$L$7:$L$34,"b")*POWER(('vehicles specifications'!$Q25/1000),(1/SUMIFS('abrasion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specifications'!$P25/1000),(1/SUMIFS('abrasion emissions'!$M$7:$M$34,'abrasion emissions'!$I$7:$I$34,"PM 10",'abrasion emissions'!$J$7:$J$34,"motorway",'abrasion emissions'!$K$7:$K$34,"Tyre",'abrasion emissions'!$L$7:$L$34,"c")))))/1000000</f>
        <v>2.815934924428819E-6</v>
      </c>
      <c r="CQ25" s="7">
        <f>((SUMIFS('abrasion emissions'!$M$7:$M$34,'abrasion emissions'!$I$7:$I$34,"PM 2.5",'abrasion emissions'!$J$7:$J$34,"urban",'abrasion emissions'!$K$7:$K$34,"Brake",'abrasion emissions'!$L$7:$L$34,"b")*POWER(('vehicles specifications'!$Q25/1000),(1/SUMIFS('abrasion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specifications'!$P25/1000),(1/SUMIFS('abrasion emissions'!$M$7:$M$34,'abrasion emissions'!$I$7:$I$34,"PM 10",'abrasion emissions'!$J$7:$J$34,"urban",'abrasion emissions'!$K$7:$K$34,"Brake",'abrasion emissions'!$L$7:$L$34,"c")))))/1000000</f>
        <v>3.9234998540415566E-6</v>
      </c>
      <c r="CR25" s="7">
        <f>((SUMIFS('abrasion emissions'!$M$7:$M$34,'abrasion emissions'!$I$7:$I$34,"PM 2.5",'abrasion emissions'!$J$7:$J$34,"rural",'abrasion emissions'!$K$7:$K$34,"Brake",'abrasion emissions'!$L$7:$L$34,"b")*POWER(('vehicles specifications'!$Q25/1000),(1/SUMIFS('abrasion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specifications'!$P25/1000),(1/SUMIFS('abrasion emissions'!$M$7:$M$34,'abrasion emissions'!$I$7:$I$34,"PM 10",'abrasion emissions'!$J$7:$J$34,"rural",'abrasion emissions'!$K$7:$K$34,"Brake",'abrasion emissions'!$L$7:$L$34,"c")))))/1000000</f>
        <v>1.1403544017575488E-6</v>
      </c>
      <c r="CS25" s="7">
        <f>((SUMIFS('abrasion emissions'!$M$7:$M$34,'abrasion emissions'!$I$7:$I$34,"PM 2.5",'abrasion emissions'!$J$7:$J$34,"motorway",'abrasion emissions'!$K$7:$K$34,"Brake",'abrasion emissions'!$L$7:$L$34,"b")*POWER(('vehicles specifications'!$Q25/1000),(1/SUMIFS('abrasion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specifications'!$P25/1000),(1/SUMIFS('abrasion emissions'!$M$7:$M$34,'abrasion emissions'!$I$7:$I$34,"PM 10",'abrasion emissions'!$J$7:$J$34,"motorway",'abrasion emissions'!$K$7:$K$34,"Brake",'abrasion emissions'!$L$7:$L$34,"c")))))/1000000</f>
        <v>1.9688072341666679E-7</v>
      </c>
      <c r="CT25" s="7">
        <f>((SUMIFS('abrasion emissions'!$M$7:$M$38,'abrasion emissions'!$I$7:$I$38,"PM 2.5",'abrasion emissions'!$K$7:$K$38,"Re-susp.",'abrasion emissions'!$L$7:$L$38,"b")*POWER(('vehicles specifications'!$Q25/1000),(1/SUMIFS('abrasion emissions'!$M$7:$M$38,'abrasion emissions'!$I$7:$I$38,"PM 2.5",'abrasion emissions'!$K$7:$K$38,"Re-susp.",'abrasion emissions'!$L$7:$L$38,"c"))))+
(SUMIFS('abrasion emissions'!$M$7:$M$38,'abrasion emissions'!$I$7:$I$38,"PM 10",'abrasion emissions'!$K$7:$K$38,"Re-susp.",'abrasion emissions'!$L$7:$L$38,"b")*POWER(('vehicles specifications'!$Q25/1000),(1/SUMIFS('abrasion emissions'!$M$7:$M$38,'abrasion emissions'!$I$7:$I$38,"PM 10",'abrasion emissions'!$K$7:$K$38,"Re-susp.",'abrasion emissions'!$L$7:$L$38,"c")))))/1000000</f>
        <v>2.0585967221386468E-6</v>
      </c>
      <c r="CU25" s="7">
        <f>((SUMIFS('abrasion emissions'!$M$7:$M$38,'abrasion emissions'!$I$7:$I$38,"PM 2.5",'abrasion emissions'!$K$7:$K$38,"Road",'abrasion emissions'!$L$7:$L$38,"b")*POWER(('vehicles specifications'!$Q25/1000),(1/SUMIFS('abrasion emissions'!$M$7:$M$38,'abrasion emissions'!$I$7:$I$38,"PM 2.5",'abrasion emissions'!$K$7:$K$38,"Road",'abrasion emissions'!$L$7:$L$38,"c"))))+
(SUMIFS('abrasion emissions'!$M$7:$M$38,'abrasion emissions'!$I$7:$I$38,"PM 10",'abrasion emissions'!$K$7:$K$38,"Road",'abrasion emissions'!$L$7:$L$38,"b")*POWER(('vehicles specifications'!$Q25/1000),(1/SUMIFS('abrasion emissions'!$M$7:$M$38,'abrasion emissions'!$I$7:$I$38,"PM 10",'abrasion emissions'!$K$7:$K$38,"Road",'abrasion emissions'!$L$7:$L$38,"c")))))/1000000+CT25</f>
        <v>4.2853236082116621E-6</v>
      </c>
      <c r="CV25" s="7">
        <f t="shared" si="13"/>
        <v>4.2258279579563645E-6</v>
      </c>
      <c r="CW25" s="7">
        <f t="shared" si="14"/>
        <v>3.9234998540415566E-6</v>
      </c>
    </row>
    <row r="26" spans="1:101" x14ac:dyDescent="0.2">
      <c r="A26" t="str">
        <f t="shared" si="1"/>
        <v>Bicycle, electric (&lt;45 km/h) - 2050 - NMC - CH</v>
      </c>
      <c r="B26" t="s">
        <v>265</v>
      </c>
      <c r="D26" s="18">
        <v>2050</v>
      </c>
      <c r="E26" t="s">
        <v>37</v>
      </c>
      <c r="F26" t="s">
        <v>138</v>
      </c>
      <c r="G26" t="s">
        <v>39</v>
      </c>
      <c r="H26" t="s">
        <v>32</v>
      </c>
      <c r="I26" t="s">
        <v>43</v>
      </c>
      <c r="J26">
        <v>30000</v>
      </c>
      <c r="K26">
        <v>3000</v>
      </c>
      <c r="L26" s="2">
        <f t="shared" si="2"/>
        <v>10</v>
      </c>
      <c r="M26">
        <v>1</v>
      </c>
      <c r="N26">
        <v>75</v>
      </c>
      <c r="O26">
        <v>1</v>
      </c>
      <c r="P26" s="2">
        <f t="shared" si="0"/>
        <v>26.169999999999995</v>
      </c>
      <c r="Q26" s="2">
        <f t="shared" si="3"/>
        <v>102.16999999999999</v>
      </c>
      <c r="R26">
        <v>0.5</v>
      </c>
      <c r="S26" s="2">
        <v>19</v>
      </c>
      <c r="T26" s="1">
        <v>7.0000000000000007E-2</v>
      </c>
      <c r="U26" s="2">
        <f t="shared" si="4"/>
        <v>17.669999999999998</v>
      </c>
      <c r="V26">
        <v>0</v>
      </c>
      <c r="W26">
        <v>4.5999999999999996</v>
      </c>
      <c r="X26" s="3">
        <v>1.5</v>
      </c>
      <c r="Y26" s="1">
        <v>0.8</v>
      </c>
      <c r="Z26" s="3">
        <f t="shared" si="5"/>
        <v>1.2000000000000002</v>
      </c>
      <c r="AA26" s="3">
        <f>IF(I26&lt;&gt;"",X26/INDEX('energy battery'!$B$3:$D$6,MATCH('vehicles specifications'!$D26,'energy battery'!$A$3:$A$6,0),MATCH('vehicles specifications'!$I26,'energy battery'!$B$2:$D$2,0)),"")</f>
        <v>3</v>
      </c>
      <c r="AB26" s="3">
        <f t="shared" si="6"/>
        <v>0.89999999999999991</v>
      </c>
      <c r="AC26" s="3">
        <f t="shared" si="7"/>
        <v>3.9</v>
      </c>
      <c r="AD26">
        <v>0</v>
      </c>
      <c r="AE26">
        <v>0</v>
      </c>
      <c r="AF26">
        <v>0</v>
      </c>
      <c r="AG26">
        <v>0</v>
      </c>
      <c r="AH26">
        <v>0</v>
      </c>
      <c r="AI26">
        <v>0.5</v>
      </c>
      <c r="AJ26">
        <v>1</v>
      </c>
      <c r="AK26" s="6">
        <f t="shared" si="38"/>
        <v>2</v>
      </c>
      <c r="AL26">
        <f t="shared" si="8"/>
        <v>5.4865289999999991E-5</v>
      </c>
      <c r="AM26">
        <v>0</v>
      </c>
      <c r="AN26" s="2">
        <f t="shared" si="9"/>
        <v>17.669999999999998</v>
      </c>
      <c r="AO26" s="2">
        <f t="shared" si="10"/>
        <v>4.5999999999999996</v>
      </c>
      <c r="AP26" s="2">
        <f t="shared" si="11"/>
        <v>3.9</v>
      </c>
      <c r="AQ26" s="6" t="s">
        <v>85</v>
      </c>
      <c r="AR26" s="20"/>
      <c r="AS26" s="5">
        <v>4.5308940859381523E-2</v>
      </c>
      <c r="AT26" s="2">
        <f t="shared" si="12"/>
        <v>95.345420088439695</v>
      </c>
      <c r="AU26" s="5">
        <v>0</v>
      </c>
      <c r="AV26" s="5">
        <v>0</v>
      </c>
      <c r="AW26" s="7">
        <v>0</v>
      </c>
      <c r="AX26" s="7">
        <v>0</v>
      </c>
      <c r="AY26" s="7">
        <v>0</v>
      </c>
      <c r="AZ26" s="7">
        <v>0</v>
      </c>
      <c r="BA26" s="7">
        <v>0</v>
      </c>
      <c r="BB26" s="7">
        <v>0</v>
      </c>
      <c r="BC26" s="7">
        <v>0</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7">
        <v>0</v>
      </c>
      <c r="BY26" s="7">
        <v>0</v>
      </c>
      <c r="BZ26" s="7">
        <v>0</v>
      </c>
      <c r="CA26" s="7">
        <v>0</v>
      </c>
      <c r="CB26" s="7">
        <v>0</v>
      </c>
      <c r="CC26" s="7">
        <v>0</v>
      </c>
      <c r="CD26" s="7">
        <v>0</v>
      </c>
      <c r="CE26" s="7">
        <v>0</v>
      </c>
      <c r="CF26" s="7">
        <v>0</v>
      </c>
      <c r="CG26" s="7">
        <v>0</v>
      </c>
      <c r="CH26" s="7">
        <v>0</v>
      </c>
      <c r="CI26" s="7">
        <v>0</v>
      </c>
      <c r="CJ26" s="7">
        <v>0</v>
      </c>
      <c r="CK26" s="38">
        <f>VLOOKUP($B26,'abrasion emissions'!$O$7:$R$36,2,FALSE)</f>
        <v>1</v>
      </c>
      <c r="CL26" s="38">
        <f>VLOOKUP($B26,'abrasion emissions'!$O$7:$R$36,3,FALSE)</f>
        <v>0</v>
      </c>
      <c r="CM26" s="38">
        <f>VLOOKUP($B26,'abrasion emissions'!$O$7:$R$36,4,FALSE)</f>
        <v>0</v>
      </c>
      <c r="CN26" s="7">
        <f>((SUMIFS('abrasion emissions'!$M$7:$M$34,'abrasion emissions'!$I$7:$I$34,"PM 2.5",'abrasion emissions'!$J$7:$J$34,"urban",'abrasion emissions'!$K$7:$K$34,"Tyre",'abrasion emissions'!$L$7:$L$34,"b")*POWER(('vehicles specifications'!$Q26/1000),(1/SUMIFS('abrasion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specifications'!$P26/1000),(1/SUMIFS('abrasion emissions'!$M$7:$M$34,'abrasion emissions'!$I$7:$I$34,"PM 10",'abrasion emissions'!$J$7:$J$34,"urban",'abrasion emissions'!$K$7:$K$34,"Tyre",'abrasion emissions'!$L$7:$L$34,"c")))))/1000000</f>
        <v>4.2313962200767675E-6</v>
      </c>
      <c r="CO26" s="7">
        <f>((SUMIFS('abrasion emissions'!$M$7:$M$34,'abrasion emissions'!$I$7:$I$34,"PM 2.5",'abrasion emissions'!$J$7:$J$34,"rural",'abrasion emissions'!$K$7:$K$34,"Tyre",'abrasion emissions'!$L$7:$L$34,"b")*POWER(('vehicles specifications'!$Q26/1000),(1/SUMIFS('abrasion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specifications'!$P26/1000),(1/SUMIFS('abrasion emissions'!$M$7:$M$34,'abrasion emissions'!$I$7:$I$34,"PM 10",'abrasion emissions'!$J$7:$J$34,"rural",'abrasion emissions'!$K$7:$K$34,"Tyre",'abrasion emissions'!$L$7:$L$34,"c")))))/1000000</f>
        <v>3.2970489068519658E-6</v>
      </c>
      <c r="CP26" s="7">
        <f>((SUMIFS('abrasion emissions'!$M$7:$M$34,'abrasion emissions'!$I$7:$I$34,"PM 2.5",'abrasion emissions'!$J$7:$J$34,"motorway",'abrasion emissions'!$K$7:$K$34,"Tyre",'abrasion emissions'!$L$7:$L$34,"b")*POWER(('vehicles specifications'!$Q26/1000),(1/SUMIFS('abrasion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specifications'!$P26/1000),(1/SUMIFS('abrasion emissions'!$M$7:$M$34,'abrasion emissions'!$I$7:$I$34,"PM 10",'abrasion emissions'!$J$7:$J$34,"motorway",'abrasion emissions'!$K$7:$K$34,"Tyre",'abrasion emissions'!$L$7:$L$34,"c")))))/1000000</f>
        <v>2.8196173474429288E-6</v>
      </c>
      <c r="CQ26" s="7">
        <f>((SUMIFS('abrasion emissions'!$M$7:$M$34,'abrasion emissions'!$I$7:$I$34,"PM 2.5",'abrasion emissions'!$J$7:$J$34,"urban",'abrasion emissions'!$K$7:$K$34,"Brake",'abrasion emissions'!$L$7:$L$34,"b")*POWER(('vehicles specifications'!$Q26/1000),(1/SUMIFS('abrasion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specifications'!$P26/1000),(1/SUMIFS('abrasion emissions'!$M$7:$M$34,'abrasion emissions'!$I$7:$I$34,"PM 10",'abrasion emissions'!$J$7:$J$34,"urban",'abrasion emissions'!$K$7:$K$34,"Brake",'abrasion emissions'!$L$7:$L$34,"c")))))/1000000</f>
        <v>3.9285145743745862E-6</v>
      </c>
      <c r="CR26" s="7">
        <f>((SUMIFS('abrasion emissions'!$M$7:$M$34,'abrasion emissions'!$I$7:$I$34,"PM 2.5",'abrasion emissions'!$J$7:$J$34,"rural",'abrasion emissions'!$K$7:$K$34,"Brake",'abrasion emissions'!$L$7:$L$34,"b")*POWER(('vehicles specifications'!$Q26/1000),(1/SUMIFS('abrasion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specifications'!$P26/1000),(1/SUMIFS('abrasion emissions'!$M$7:$M$34,'abrasion emissions'!$I$7:$I$34,"PM 10",'abrasion emissions'!$J$7:$J$34,"rural",'abrasion emissions'!$K$7:$K$34,"Brake",'abrasion emissions'!$L$7:$L$34,"c")))))/1000000</f>
        <v>1.1421334918401469E-6</v>
      </c>
      <c r="CS26" s="7">
        <f>((SUMIFS('abrasion emissions'!$M$7:$M$34,'abrasion emissions'!$I$7:$I$34,"PM 2.5",'abrasion emissions'!$J$7:$J$34,"motorway",'abrasion emissions'!$K$7:$K$34,"Brake",'abrasion emissions'!$L$7:$L$34,"b")*POWER(('vehicles specifications'!$Q26/1000),(1/SUMIFS('abrasion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specifications'!$P26/1000),(1/SUMIFS('abrasion emissions'!$M$7:$M$34,'abrasion emissions'!$I$7:$I$34,"PM 10",'abrasion emissions'!$J$7:$J$34,"motorway",'abrasion emissions'!$K$7:$K$34,"Brake",'abrasion emissions'!$L$7:$L$34,"c")))))/1000000</f>
        <v>1.9722348104079455E-7</v>
      </c>
      <c r="CT26" s="7">
        <f>((SUMIFS('abrasion emissions'!$M$7:$M$38,'abrasion emissions'!$I$7:$I$38,"PM 2.5",'abrasion emissions'!$K$7:$K$38,"Re-susp.",'abrasion emissions'!$L$7:$L$38,"b")*POWER(('vehicles specifications'!$Q26/1000),(1/SUMIFS('abrasion emissions'!$M$7:$M$38,'abrasion emissions'!$I$7:$I$38,"PM 2.5",'abrasion emissions'!$K$7:$K$38,"Re-susp.",'abrasion emissions'!$L$7:$L$38,"c"))))+
(SUMIFS('abrasion emissions'!$M$7:$M$38,'abrasion emissions'!$I$7:$I$38,"PM 10",'abrasion emissions'!$K$7:$K$38,"Re-susp.",'abrasion emissions'!$L$7:$L$38,"b")*POWER(('vehicles specifications'!$Q26/1000),(1/SUMIFS('abrasion emissions'!$M$7:$M$38,'abrasion emissions'!$I$7:$I$38,"PM 10",'abrasion emissions'!$K$7:$K$38,"Re-susp.",'abrasion emissions'!$L$7:$L$38,"c")))))/1000000</f>
        <v>2.0617155719299752E-6</v>
      </c>
      <c r="CU26" s="7">
        <f>((SUMIFS('abrasion emissions'!$M$7:$M$38,'abrasion emissions'!$I$7:$I$38,"PM 2.5",'abrasion emissions'!$K$7:$K$38,"Road",'abrasion emissions'!$L$7:$L$38,"b")*POWER(('vehicles specifications'!$Q26/1000),(1/SUMIFS('abrasion emissions'!$M$7:$M$38,'abrasion emissions'!$I$7:$I$38,"PM 2.5",'abrasion emissions'!$K$7:$K$38,"Road",'abrasion emissions'!$L$7:$L$38,"c"))))+
(SUMIFS('abrasion emissions'!$M$7:$M$38,'abrasion emissions'!$I$7:$I$38,"PM 10",'abrasion emissions'!$K$7:$K$38,"Road",'abrasion emissions'!$L$7:$L$38,"b")*POWER(('vehicles specifications'!$Q26/1000),(1/SUMIFS('abrasion emissions'!$M$7:$M$38,'abrasion emissions'!$I$7:$I$38,"PM 10",'abrasion emissions'!$K$7:$K$38,"Road",'abrasion emissions'!$L$7:$L$38,"c")))))/1000000+CT26</f>
        <v>4.2909159122347196E-6</v>
      </c>
      <c r="CV26" s="7">
        <f t="shared" si="13"/>
        <v>4.2313962200767675E-6</v>
      </c>
      <c r="CW26" s="7">
        <f t="shared" si="14"/>
        <v>3.9285145743745862E-6</v>
      </c>
    </row>
    <row r="27" spans="1:101" x14ac:dyDescent="0.2">
      <c r="A27" t="str">
        <f t="shared" si="1"/>
        <v>Bicycle, electric, cargo bike - 2020 - NMC - CH</v>
      </c>
      <c r="B27" t="s">
        <v>271</v>
      </c>
      <c r="D27" s="18">
        <v>2020</v>
      </c>
      <c r="E27" t="s">
        <v>37</v>
      </c>
      <c r="F27" t="s">
        <v>138</v>
      </c>
      <c r="G27" t="s">
        <v>39</v>
      </c>
      <c r="H27" t="s">
        <v>32</v>
      </c>
      <c r="I27" t="s">
        <v>43</v>
      </c>
      <c r="J27">
        <v>20000</v>
      </c>
      <c r="K27">
        <v>2000</v>
      </c>
      <c r="L27" s="2">
        <f t="shared" si="2"/>
        <v>10</v>
      </c>
      <c r="M27">
        <v>1</v>
      </c>
      <c r="N27">
        <v>75</v>
      </c>
      <c r="O27">
        <v>50</v>
      </c>
      <c r="P27" s="2">
        <f t="shared" si="0"/>
        <v>45.25</v>
      </c>
      <c r="Q27" s="2">
        <f t="shared" si="3"/>
        <v>170.25</v>
      </c>
      <c r="R27">
        <v>0.25</v>
      </c>
      <c r="S27" s="2">
        <v>38</v>
      </c>
      <c r="T27" s="1">
        <v>0</v>
      </c>
      <c r="U27" s="2">
        <f t="shared" si="4"/>
        <v>38</v>
      </c>
      <c r="V27">
        <v>0</v>
      </c>
      <c r="W27">
        <v>4</v>
      </c>
      <c r="X27" s="3">
        <v>0.5</v>
      </c>
      <c r="Y27" s="1">
        <v>0.8</v>
      </c>
      <c r="Z27" s="3">
        <f t="shared" si="5"/>
        <v>0.4</v>
      </c>
      <c r="AA27" s="3">
        <f>IF(I27&lt;&gt;"",X27/INDEX('energy battery'!$B$3:$D$6,MATCH('vehicles specifications'!$D27,'energy battery'!$A$3:$A$6,0),MATCH('vehicles specifications'!$I27,'energy battery'!$B$2:$D$2,0)),"")</f>
        <v>2.5</v>
      </c>
      <c r="AB27" s="3">
        <f t="shared" si="6"/>
        <v>0.75</v>
      </c>
      <c r="AC27" s="3">
        <f t="shared" si="7"/>
        <v>3.25</v>
      </c>
      <c r="AD27">
        <v>1</v>
      </c>
      <c r="AE27">
        <v>0</v>
      </c>
      <c r="AF27">
        <v>0</v>
      </c>
      <c r="AG27">
        <v>0</v>
      </c>
      <c r="AH27">
        <v>0</v>
      </c>
      <c r="AI27">
        <v>0.5</v>
      </c>
      <c r="AJ27">
        <v>1</v>
      </c>
      <c r="AK27" s="6">
        <f t="shared" si="38"/>
        <v>1.3333333333333333</v>
      </c>
      <c r="AL27">
        <f t="shared" si="8"/>
        <v>9.1424250000000001E-5</v>
      </c>
      <c r="AM27">
        <v>0</v>
      </c>
      <c r="AN27" s="2">
        <f t="shared" si="9"/>
        <v>38</v>
      </c>
      <c r="AO27" s="2">
        <f t="shared" si="10"/>
        <v>4</v>
      </c>
      <c r="AP27" s="2">
        <f t="shared" si="11"/>
        <v>3.25</v>
      </c>
      <c r="AQ27" s="6" t="s">
        <v>85</v>
      </c>
      <c r="AR27" s="20"/>
      <c r="AS27" s="5">
        <v>3.4708323163290214E-2</v>
      </c>
      <c r="AT27" s="2">
        <f t="shared" si="12"/>
        <v>41.48860759493671</v>
      </c>
      <c r="AU27" s="5">
        <v>0</v>
      </c>
      <c r="AV27" s="5">
        <v>0</v>
      </c>
      <c r="AW27" s="7">
        <v>0</v>
      </c>
      <c r="AX27" s="7">
        <v>0</v>
      </c>
      <c r="AY27" s="7">
        <v>0</v>
      </c>
      <c r="AZ27" s="7">
        <v>0</v>
      </c>
      <c r="BA27" s="7">
        <v>0</v>
      </c>
      <c r="BB27" s="7">
        <v>0</v>
      </c>
      <c r="BC27" s="7">
        <v>0</v>
      </c>
      <c r="BD27" s="7">
        <v>0</v>
      </c>
      <c r="BE27" s="7">
        <v>0</v>
      </c>
      <c r="BF27" s="7">
        <v>0</v>
      </c>
      <c r="BG27" s="7">
        <v>0</v>
      </c>
      <c r="BH27" s="7">
        <v>0</v>
      </c>
      <c r="BI27" s="7">
        <v>0</v>
      </c>
      <c r="BJ27" s="7">
        <v>0</v>
      </c>
      <c r="BK27" s="7">
        <v>0</v>
      </c>
      <c r="BL27" s="7">
        <v>0</v>
      </c>
      <c r="BM27" s="7">
        <v>0</v>
      </c>
      <c r="BN27" s="7">
        <v>0</v>
      </c>
      <c r="BO27" s="7">
        <v>0</v>
      </c>
      <c r="BP27" s="7">
        <v>0</v>
      </c>
      <c r="BQ27" s="7">
        <v>0</v>
      </c>
      <c r="BR27" s="7">
        <v>0</v>
      </c>
      <c r="BS27" s="7">
        <v>0</v>
      </c>
      <c r="BT27" s="7">
        <v>0</v>
      </c>
      <c r="BU27" s="7">
        <v>0</v>
      </c>
      <c r="BV27" s="7">
        <v>0</v>
      </c>
      <c r="BW27" s="7">
        <v>0</v>
      </c>
      <c r="BX27" s="7">
        <v>0</v>
      </c>
      <c r="BY27" s="7">
        <v>0</v>
      </c>
      <c r="BZ27" s="7">
        <v>0</v>
      </c>
      <c r="CA27" s="7">
        <v>0</v>
      </c>
      <c r="CB27" s="7">
        <v>0</v>
      </c>
      <c r="CC27" s="7">
        <v>0</v>
      </c>
      <c r="CD27" s="7">
        <v>0</v>
      </c>
      <c r="CE27" s="7">
        <v>0</v>
      </c>
      <c r="CF27" s="7">
        <v>0</v>
      </c>
      <c r="CG27" s="7">
        <v>0</v>
      </c>
      <c r="CH27" s="7">
        <v>0</v>
      </c>
      <c r="CI27" s="7">
        <v>0</v>
      </c>
      <c r="CJ27" s="7">
        <v>0</v>
      </c>
      <c r="CK27" s="38">
        <f>VLOOKUP($B27,'abrasion emissions'!$O$7:$R$36,2,FALSE)</f>
        <v>1</v>
      </c>
      <c r="CL27" s="38">
        <f>VLOOKUP($B27,'abrasion emissions'!$O$7:$R$36,3,FALSE)</f>
        <v>0</v>
      </c>
      <c r="CM27" s="38">
        <f>VLOOKUP($B27,'abrasion emissions'!$O$7:$R$36,4,FALSE)</f>
        <v>0</v>
      </c>
      <c r="CN27" s="7">
        <f>((SUMIFS('abrasion emissions'!$M$7:$M$34,'abrasion emissions'!$I$7:$I$34,"PM 2.5",'abrasion emissions'!$J$7:$J$34,"urban",'abrasion emissions'!$K$7:$K$34,"Tyre",'abrasion emissions'!$L$7:$L$34,"b")*POWER(('vehicles specifications'!$Q27/1000),(1/SUMIFS('abrasion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specifications'!$P27/1000),(1/SUMIFS('abrasion emissions'!$M$7:$M$34,'abrasion emissions'!$I$7:$I$34,"PM 10",'abrasion emissions'!$J$7:$J$34,"urban",'abrasion emissions'!$K$7:$K$34,"Tyre",'abrasion emissions'!$L$7:$L$34,"c")))))/1000000</f>
        <v>5.307335850102609E-6</v>
      </c>
      <c r="CO27" s="7">
        <f>((SUMIFS('abrasion emissions'!$M$7:$M$34,'abrasion emissions'!$I$7:$I$34,"PM 2.5",'abrasion emissions'!$J$7:$J$34,"rural",'abrasion emissions'!$K$7:$K$34,"Tyre",'abrasion emissions'!$L$7:$L$34,"b")*POWER(('vehicles specifications'!$Q27/1000),(1/SUMIFS('abrasion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specifications'!$P27/1000),(1/SUMIFS('abrasion emissions'!$M$7:$M$34,'abrasion emissions'!$I$7:$I$34,"PM 10",'abrasion emissions'!$J$7:$J$34,"rural",'abrasion emissions'!$K$7:$K$34,"Tyre",'abrasion emissions'!$L$7:$L$34,"c")))))/1000000</f>
        <v>4.1353270531173545E-6</v>
      </c>
      <c r="CP27" s="7">
        <f>((SUMIFS('abrasion emissions'!$M$7:$M$34,'abrasion emissions'!$I$7:$I$34,"PM 2.5",'abrasion emissions'!$J$7:$J$34,"motorway",'abrasion emissions'!$K$7:$K$34,"Tyre",'abrasion emissions'!$L$7:$L$34,"b")*POWER(('vehicles specifications'!$Q27/1000),(1/SUMIFS('abrasion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specifications'!$P27/1000),(1/SUMIFS('abrasion emissions'!$M$7:$M$34,'abrasion emissions'!$I$7:$I$34,"PM 10",'abrasion emissions'!$J$7:$J$34,"motorway",'abrasion emissions'!$K$7:$K$34,"Tyre",'abrasion emissions'!$L$7:$L$34,"c")))))/1000000</f>
        <v>3.536307289830545E-6</v>
      </c>
      <c r="CQ27" s="7">
        <f>((SUMIFS('abrasion emissions'!$M$7:$M$34,'abrasion emissions'!$I$7:$I$34,"PM 2.5",'abrasion emissions'!$J$7:$J$34,"urban",'abrasion emissions'!$K$7:$K$34,"Brake",'abrasion emissions'!$L$7:$L$34,"b")*POWER(('vehicles specifications'!$Q27/1000),(1/SUMIFS('abrasion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specifications'!$P27/1000),(1/SUMIFS('abrasion emissions'!$M$7:$M$34,'abrasion emissions'!$I$7:$I$34,"PM 10",'abrasion emissions'!$J$7:$J$34,"urban",'abrasion emissions'!$K$7:$K$34,"Brake",'abrasion emissions'!$L$7:$L$34,"c")))))/1000000</f>
        <v>5.1556634746423041E-6</v>
      </c>
      <c r="CR27" s="7">
        <f>((SUMIFS('abrasion emissions'!$M$7:$M$34,'abrasion emissions'!$I$7:$I$34,"PM 2.5",'abrasion emissions'!$J$7:$J$34,"rural",'abrasion emissions'!$K$7:$K$34,"Brake",'abrasion emissions'!$L$7:$L$34,"b")*POWER(('vehicles specifications'!$Q27/1000),(1/SUMIFS('abrasion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specifications'!$P27/1000),(1/SUMIFS('abrasion emissions'!$M$7:$M$34,'abrasion emissions'!$I$7:$I$34,"PM 10",'abrasion emissions'!$J$7:$J$34,"rural",'abrasion emissions'!$K$7:$K$34,"Brake",'abrasion emissions'!$L$7:$L$34,"c")))))/1000000</f>
        <v>1.6108746278502062E-6</v>
      </c>
      <c r="CS27" s="7">
        <f>((SUMIFS('abrasion emissions'!$M$7:$M$34,'abrasion emissions'!$I$7:$I$34,"PM 2.5",'abrasion emissions'!$J$7:$J$34,"motorway",'abrasion emissions'!$K$7:$K$34,"Brake",'abrasion emissions'!$L$7:$L$34,"b")*POWER(('vehicles specifications'!$Q27/1000),(1/SUMIFS('abrasion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specifications'!$P27/1000),(1/SUMIFS('abrasion emissions'!$M$7:$M$34,'abrasion emissions'!$I$7:$I$34,"PM 10",'abrasion emissions'!$J$7:$J$34,"motorway",'abrasion emissions'!$K$7:$K$34,"Brake",'abrasion emissions'!$L$7:$L$34,"c")))))/1000000</f>
        <v>2.9314621230767643E-7</v>
      </c>
      <c r="CT27" s="7">
        <f>((SUMIFS('abrasion emissions'!$M$7:$M$38,'abrasion emissions'!$I$7:$I$38,"PM 2.5",'abrasion emissions'!$K$7:$K$38,"Re-susp.",'abrasion emissions'!$L$7:$L$38,"b")*POWER(('vehicles specifications'!$Q27/1000),(1/SUMIFS('abrasion emissions'!$M$7:$M$38,'abrasion emissions'!$I$7:$I$38,"PM 2.5",'abrasion emissions'!$K$7:$K$38,"Re-susp.",'abrasion emissions'!$L$7:$L$38,"c"))))+
(SUMIFS('abrasion emissions'!$M$7:$M$38,'abrasion emissions'!$I$7:$I$38,"PM 10",'abrasion emissions'!$K$7:$K$38,"Re-susp.",'abrasion emissions'!$L$7:$L$38,"b")*POWER(('vehicles specifications'!$Q27/1000),(1/SUMIFS('abrasion emissions'!$M$7:$M$38,'abrasion emissions'!$I$7:$I$38,"PM 10",'abrasion emissions'!$K$7:$K$38,"Re-susp.",'abrasion emissions'!$L$7:$L$38,"c")))))/1000000</f>
        <v>3.2796850448478635E-6</v>
      </c>
      <c r="CU27" s="7">
        <f>((SUMIFS('abrasion emissions'!$M$7:$M$38,'abrasion emissions'!$I$7:$I$38,"PM 2.5",'abrasion emissions'!$K$7:$K$38,"Road",'abrasion emissions'!$L$7:$L$38,"b")*POWER(('vehicles specifications'!$Q27/1000),(1/SUMIFS('abrasion emissions'!$M$7:$M$38,'abrasion emissions'!$I$7:$I$38,"PM 2.5",'abrasion emissions'!$K$7:$K$38,"Road",'abrasion emissions'!$L$7:$L$38,"c"))))+
(SUMIFS('abrasion emissions'!$M$7:$M$38,'abrasion emissions'!$I$7:$I$38,"PM 10",'abrasion emissions'!$K$7:$K$38,"Road",'abrasion emissions'!$L$7:$L$38,"b")*POWER(('vehicles specifications'!$Q27/1000),(1/SUMIFS('abrasion emissions'!$M$7:$M$38,'abrasion emissions'!$I$7:$I$38,"PM 10",'abrasion emissions'!$K$7:$K$38,"Road",'abrasion emissions'!$L$7:$L$38,"c")))))/1000000+CT27</f>
        <v>6.4129100619129601E-6</v>
      </c>
      <c r="CV27" s="7">
        <f t="shared" si="13"/>
        <v>5.307335850102609E-6</v>
      </c>
      <c r="CW27" s="7">
        <f t="shared" si="14"/>
        <v>5.1556634746423041E-6</v>
      </c>
    </row>
    <row r="28" spans="1:101" x14ac:dyDescent="0.2">
      <c r="A28" t="str">
        <f t="shared" si="1"/>
        <v>Bicycle, electric, cargo bike - 2030 - NMC - CH</v>
      </c>
      <c r="B28" t="s">
        <v>271</v>
      </c>
      <c r="D28" s="18">
        <v>2030</v>
      </c>
      <c r="E28" t="s">
        <v>37</v>
      </c>
      <c r="F28" t="s">
        <v>138</v>
      </c>
      <c r="G28" t="s">
        <v>39</v>
      </c>
      <c r="H28" t="s">
        <v>32</v>
      </c>
      <c r="I28" t="s">
        <v>43</v>
      </c>
      <c r="J28">
        <v>20000</v>
      </c>
      <c r="K28">
        <v>2000</v>
      </c>
      <c r="L28" s="2">
        <f t="shared" si="2"/>
        <v>10</v>
      </c>
      <c r="M28">
        <v>1</v>
      </c>
      <c r="N28">
        <v>75</v>
      </c>
      <c r="O28">
        <v>50</v>
      </c>
      <c r="P28" s="2">
        <f t="shared" si="0"/>
        <v>43.793333333333329</v>
      </c>
      <c r="Q28" s="2">
        <f t="shared" si="3"/>
        <v>168.79333333333332</v>
      </c>
      <c r="R28">
        <v>0.25</v>
      </c>
      <c r="S28" s="2">
        <v>38</v>
      </c>
      <c r="T28" s="1">
        <v>0.03</v>
      </c>
      <c r="U28" s="2">
        <f t="shared" si="4"/>
        <v>36.86</v>
      </c>
      <c r="V28">
        <v>0</v>
      </c>
      <c r="W28">
        <v>3.9</v>
      </c>
      <c r="X28" s="3">
        <v>0.7</v>
      </c>
      <c r="Y28" s="1">
        <v>0.8</v>
      </c>
      <c r="Z28" s="3">
        <f t="shared" si="5"/>
        <v>0.55999999999999994</v>
      </c>
      <c r="AA28" s="3">
        <f>IF(I28&lt;&gt;"",X28/INDEX('energy battery'!$B$3:$D$6,MATCH('vehicles specifications'!$D28,'energy battery'!$A$3:$A$6,0),MATCH('vehicles specifications'!$I28,'energy battery'!$B$2:$D$2,0)),"")</f>
        <v>2.3333333333333335</v>
      </c>
      <c r="AB28" s="3">
        <f t="shared" si="6"/>
        <v>0.70000000000000007</v>
      </c>
      <c r="AC28" s="3">
        <f t="shared" si="7"/>
        <v>3.0333333333333337</v>
      </c>
      <c r="AD28">
        <v>0.5</v>
      </c>
      <c r="AE28">
        <v>0</v>
      </c>
      <c r="AF28">
        <v>0</v>
      </c>
      <c r="AG28">
        <v>0</v>
      </c>
      <c r="AH28">
        <v>0</v>
      </c>
      <c r="AI28">
        <v>0.5</v>
      </c>
      <c r="AJ28">
        <v>1</v>
      </c>
      <c r="AK28" s="6">
        <f t="shared" si="38"/>
        <v>1.3333333333333333</v>
      </c>
      <c r="AL28">
        <f t="shared" si="8"/>
        <v>9.0642019999999992E-5</v>
      </c>
      <c r="AM28">
        <v>0</v>
      </c>
      <c r="AN28" s="2">
        <f t="shared" si="9"/>
        <v>36.86</v>
      </c>
      <c r="AO28" s="2">
        <f t="shared" si="10"/>
        <v>3.9</v>
      </c>
      <c r="AP28" s="2">
        <f t="shared" si="11"/>
        <v>3.0333333333333337</v>
      </c>
      <c r="AQ28" s="6" t="s">
        <v>85</v>
      </c>
      <c r="AR28" s="20"/>
      <c r="AS28" s="5">
        <v>3.4708323163290214E-2</v>
      </c>
      <c r="AT28" s="2">
        <f t="shared" si="12"/>
        <v>58.084050632911385</v>
      </c>
      <c r="AU28" s="5">
        <v>0</v>
      </c>
      <c r="AV28" s="5">
        <v>0</v>
      </c>
      <c r="AW28" s="7">
        <v>0</v>
      </c>
      <c r="AX28" s="7">
        <v>0</v>
      </c>
      <c r="AY28" s="7">
        <v>0</v>
      </c>
      <c r="AZ28" s="7">
        <v>0</v>
      </c>
      <c r="BA28" s="7">
        <v>0</v>
      </c>
      <c r="BB28" s="7">
        <v>0</v>
      </c>
      <c r="BC28" s="7">
        <v>0</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7">
        <v>0</v>
      </c>
      <c r="CC28" s="7">
        <v>0</v>
      </c>
      <c r="CD28" s="7">
        <v>0</v>
      </c>
      <c r="CE28" s="7">
        <v>0</v>
      </c>
      <c r="CF28" s="7">
        <v>0</v>
      </c>
      <c r="CG28" s="7">
        <v>0</v>
      </c>
      <c r="CH28" s="7">
        <v>0</v>
      </c>
      <c r="CI28" s="7">
        <v>0</v>
      </c>
      <c r="CJ28" s="7">
        <v>0</v>
      </c>
      <c r="CK28" s="38">
        <f>VLOOKUP($B28,'abrasion emissions'!$O$7:$R$36,2,FALSE)</f>
        <v>1</v>
      </c>
      <c r="CL28" s="38">
        <f>VLOOKUP($B28,'abrasion emissions'!$O$7:$R$36,3,FALSE)</f>
        <v>0</v>
      </c>
      <c r="CM28" s="38">
        <f>VLOOKUP($B28,'abrasion emissions'!$O$7:$R$36,4,FALSE)</f>
        <v>0</v>
      </c>
      <c r="CN28" s="7">
        <f>((SUMIFS('abrasion emissions'!$M$7:$M$34,'abrasion emissions'!$I$7:$I$34,"PM 2.5",'abrasion emissions'!$J$7:$J$34,"urban",'abrasion emissions'!$K$7:$K$34,"Tyre",'abrasion emissions'!$L$7:$L$34,"b")*POWER(('vehicles specifications'!$Q28/1000),(1/SUMIFS('abrasion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specifications'!$P28/1000),(1/SUMIFS('abrasion emissions'!$M$7:$M$34,'abrasion emissions'!$I$7:$I$34,"PM 10",'abrasion emissions'!$J$7:$J$34,"urban",'abrasion emissions'!$K$7:$K$34,"Tyre",'abrasion emissions'!$L$7:$L$34,"c")))))/1000000</f>
        <v>5.2718476303726863E-6</v>
      </c>
      <c r="CO28" s="7">
        <f>((SUMIFS('abrasion emissions'!$M$7:$M$34,'abrasion emissions'!$I$7:$I$34,"PM 2.5",'abrasion emissions'!$J$7:$J$34,"rural",'abrasion emissions'!$K$7:$K$34,"Tyre",'abrasion emissions'!$L$7:$L$34,"b")*POWER(('vehicles specifications'!$Q28/1000),(1/SUMIFS('abrasion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specifications'!$P28/1000),(1/SUMIFS('abrasion emissions'!$M$7:$M$34,'abrasion emissions'!$I$7:$I$34,"PM 10",'abrasion emissions'!$J$7:$J$34,"rural",'abrasion emissions'!$K$7:$K$34,"Tyre",'abrasion emissions'!$L$7:$L$34,"c")))))/1000000</f>
        <v>4.1077275831644373E-6</v>
      </c>
      <c r="CP28" s="7">
        <f>((SUMIFS('abrasion emissions'!$M$7:$M$34,'abrasion emissions'!$I$7:$I$34,"PM 2.5",'abrasion emissions'!$J$7:$J$34,"motorway",'abrasion emissions'!$K$7:$K$34,"Tyre",'abrasion emissions'!$L$7:$L$34,"b")*POWER(('vehicles specifications'!$Q28/1000),(1/SUMIFS('abrasion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specifications'!$P28/1000),(1/SUMIFS('abrasion emissions'!$M$7:$M$34,'abrasion emissions'!$I$7:$I$34,"PM 10",'abrasion emissions'!$J$7:$J$34,"motorway",'abrasion emissions'!$K$7:$K$34,"Tyre",'abrasion emissions'!$L$7:$L$34,"c")))))/1000000</f>
        <v>3.5128360476428557E-6</v>
      </c>
      <c r="CQ28" s="7">
        <f>((SUMIFS('abrasion emissions'!$M$7:$M$34,'abrasion emissions'!$I$7:$I$34,"PM 2.5",'abrasion emissions'!$J$7:$J$34,"urban",'abrasion emissions'!$K$7:$K$34,"Brake",'abrasion emissions'!$L$7:$L$34,"b")*POWER(('vehicles specifications'!$Q28/1000),(1/SUMIFS('abrasion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specifications'!$P28/1000),(1/SUMIFS('abrasion emissions'!$M$7:$M$34,'abrasion emissions'!$I$7:$I$34,"PM 10",'abrasion emissions'!$J$7:$J$34,"urban",'abrasion emissions'!$K$7:$K$34,"Brake",'abrasion emissions'!$L$7:$L$34,"c")))))/1000000</f>
        <v>5.1220542818673449E-6</v>
      </c>
      <c r="CR28" s="7">
        <f>((SUMIFS('abrasion emissions'!$M$7:$M$34,'abrasion emissions'!$I$7:$I$34,"PM 2.5",'abrasion emissions'!$J$7:$J$34,"rural",'abrasion emissions'!$K$7:$K$34,"Brake",'abrasion emissions'!$L$7:$L$34,"b")*POWER(('vehicles specifications'!$Q28/1000),(1/SUMIFS('abrasion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specifications'!$P28/1000),(1/SUMIFS('abrasion emissions'!$M$7:$M$34,'abrasion emissions'!$I$7:$I$34,"PM 10",'abrasion emissions'!$J$7:$J$34,"rural",'abrasion emissions'!$K$7:$K$34,"Brake",'abrasion emissions'!$L$7:$L$34,"c")))))/1000000</f>
        <v>1.59804659517023E-6</v>
      </c>
      <c r="CS28" s="7">
        <f>((SUMIFS('abrasion emissions'!$M$7:$M$34,'abrasion emissions'!$I$7:$I$34,"PM 2.5",'abrasion emissions'!$J$7:$J$34,"motorway",'abrasion emissions'!$K$7:$K$34,"Brake",'abrasion emissions'!$L$7:$L$34,"b")*POWER(('vehicles specifications'!$Q28/1000),(1/SUMIFS('abrasion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specifications'!$P28/1000),(1/SUMIFS('abrasion emissions'!$M$7:$M$34,'abrasion emissions'!$I$7:$I$34,"PM 10",'abrasion emissions'!$J$7:$J$34,"motorway",'abrasion emissions'!$K$7:$K$34,"Brake",'abrasion emissions'!$L$7:$L$34,"c")))))/1000000</f>
        <v>2.9053946530829619E-7</v>
      </c>
      <c r="CT28" s="7">
        <f>((SUMIFS('abrasion emissions'!$M$7:$M$38,'abrasion emissions'!$I$7:$I$38,"PM 2.5",'abrasion emissions'!$K$7:$K$38,"Re-susp.",'abrasion emissions'!$L$7:$L$38,"b")*POWER(('vehicles specifications'!$Q28/1000),(1/SUMIFS('abrasion emissions'!$M$7:$M$38,'abrasion emissions'!$I$7:$I$38,"PM 2.5",'abrasion emissions'!$K$7:$K$38,"Re-susp.",'abrasion emissions'!$L$7:$L$38,"c"))))+
(SUMIFS('abrasion emissions'!$M$7:$M$38,'abrasion emissions'!$I$7:$I$38,"PM 10",'abrasion emissions'!$K$7:$K$38,"Re-susp.",'abrasion emissions'!$L$7:$L$38,"b")*POWER(('vehicles specifications'!$Q28/1000),(1/SUMIFS('abrasion emissions'!$M$7:$M$38,'abrasion emissions'!$I$7:$I$38,"PM 10",'abrasion emissions'!$K$7:$K$38,"Re-susp.",'abrasion emissions'!$L$7:$L$38,"c")))))/1000000</f>
        <v>3.2541649718223282E-6</v>
      </c>
      <c r="CU28" s="7">
        <f>((SUMIFS('abrasion emissions'!$M$7:$M$38,'abrasion emissions'!$I$7:$I$38,"PM 2.5",'abrasion emissions'!$K$7:$K$38,"Road",'abrasion emissions'!$L$7:$L$38,"b")*POWER(('vehicles specifications'!$Q28/1000),(1/SUMIFS('abrasion emissions'!$M$7:$M$38,'abrasion emissions'!$I$7:$I$38,"PM 2.5",'abrasion emissions'!$K$7:$K$38,"Road",'abrasion emissions'!$L$7:$L$38,"c"))))+
(SUMIFS('abrasion emissions'!$M$7:$M$38,'abrasion emissions'!$I$7:$I$38,"PM 10",'abrasion emissions'!$K$7:$K$38,"Road",'abrasion emissions'!$L$7:$L$38,"b")*POWER(('vehicles specifications'!$Q28/1000),(1/SUMIFS('abrasion emissions'!$M$7:$M$38,'abrasion emissions'!$I$7:$I$38,"PM 10",'abrasion emissions'!$K$7:$K$38,"Road",'abrasion emissions'!$L$7:$L$38,"c")))))/1000000+CT28</f>
        <v>6.369492396306806E-6</v>
      </c>
      <c r="CV28" s="7">
        <f t="shared" si="13"/>
        <v>5.2718476303726863E-6</v>
      </c>
      <c r="CW28" s="7">
        <f t="shared" si="14"/>
        <v>5.1220542818673449E-6</v>
      </c>
    </row>
    <row r="29" spans="1:101" x14ac:dyDescent="0.2">
      <c r="A29" t="str">
        <f t="shared" si="1"/>
        <v>Bicycle, electric, cargo bike - 2040 - NMC - CH</v>
      </c>
      <c r="B29" t="s">
        <v>271</v>
      </c>
      <c r="D29" s="18">
        <v>2040</v>
      </c>
      <c r="E29" t="s">
        <v>37</v>
      </c>
      <c r="F29" t="s">
        <v>138</v>
      </c>
      <c r="G29" t="s">
        <v>39</v>
      </c>
      <c r="H29" t="s">
        <v>32</v>
      </c>
      <c r="I29" t="s">
        <v>43</v>
      </c>
      <c r="J29">
        <v>20000</v>
      </c>
      <c r="K29">
        <v>2000</v>
      </c>
      <c r="L29" s="2">
        <f t="shared" si="2"/>
        <v>10</v>
      </c>
      <c r="M29">
        <v>1</v>
      </c>
      <c r="N29">
        <v>75</v>
      </c>
      <c r="O29">
        <v>50</v>
      </c>
      <c r="P29" s="2">
        <f t="shared" si="0"/>
        <v>42.5</v>
      </c>
      <c r="Q29" s="2">
        <f t="shared" si="3"/>
        <v>167.5</v>
      </c>
      <c r="R29">
        <v>0.25</v>
      </c>
      <c r="S29" s="2">
        <v>38</v>
      </c>
      <c r="T29" s="1">
        <v>0.05</v>
      </c>
      <c r="U29" s="2">
        <f t="shared" si="4"/>
        <v>36.1</v>
      </c>
      <c r="V29">
        <v>0</v>
      </c>
      <c r="W29">
        <v>3.8</v>
      </c>
      <c r="X29" s="3">
        <v>0.8</v>
      </c>
      <c r="Y29" s="1">
        <v>0.8</v>
      </c>
      <c r="Z29" s="3">
        <f t="shared" si="5"/>
        <v>0.64000000000000012</v>
      </c>
      <c r="AA29" s="3">
        <f>IF(I29&lt;&gt;"",X29/INDEX('energy battery'!$B$3:$D$6,MATCH('vehicles specifications'!$D29,'energy battery'!$A$3:$A$6,0),MATCH('vehicles specifications'!$I29,'energy battery'!$B$2:$D$2,0)),"")</f>
        <v>2</v>
      </c>
      <c r="AB29" s="3">
        <f t="shared" si="6"/>
        <v>0.6</v>
      </c>
      <c r="AC29" s="3">
        <f t="shared" si="7"/>
        <v>2.6</v>
      </c>
      <c r="AD29">
        <v>0.25</v>
      </c>
      <c r="AE29">
        <v>0</v>
      </c>
      <c r="AF29">
        <v>0</v>
      </c>
      <c r="AG29">
        <v>0</v>
      </c>
      <c r="AH29">
        <v>0</v>
      </c>
      <c r="AI29">
        <v>0.5</v>
      </c>
      <c r="AJ29">
        <v>1</v>
      </c>
      <c r="AK29" s="6">
        <f t="shared" si="38"/>
        <v>1.3333333333333333</v>
      </c>
      <c r="AL29">
        <f t="shared" si="8"/>
        <v>8.9947500000000006E-5</v>
      </c>
      <c r="AM29">
        <v>0</v>
      </c>
      <c r="AN29" s="2">
        <f t="shared" si="9"/>
        <v>36.1</v>
      </c>
      <c r="AO29" s="2">
        <f t="shared" si="10"/>
        <v>3.8</v>
      </c>
      <c r="AP29" s="2">
        <f t="shared" si="11"/>
        <v>2.6</v>
      </c>
      <c r="AQ29" s="6" t="s">
        <v>85</v>
      </c>
      <c r="AR29" s="20"/>
      <c r="AS29" s="5">
        <v>3.4708323163290214E-2</v>
      </c>
      <c r="AT29" s="2">
        <f t="shared" si="12"/>
        <v>66.381772151898744</v>
      </c>
      <c r="AU29" s="5">
        <v>0</v>
      </c>
      <c r="AV29" s="5">
        <v>0</v>
      </c>
      <c r="AW29" s="7">
        <v>0</v>
      </c>
      <c r="AX29" s="7">
        <v>0</v>
      </c>
      <c r="AY29" s="7">
        <v>0</v>
      </c>
      <c r="AZ29" s="7">
        <v>0</v>
      </c>
      <c r="BA29" s="7">
        <v>0</v>
      </c>
      <c r="BB29" s="7">
        <v>0</v>
      </c>
      <c r="BC29" s="7">
        <v>0</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7">
        <v>0</v>
      </c>
      <c r="BY29" s="7">
        <v>0</v>
      </c>
      <c r="BZ29" s="7">
        <v>0</v>
      </c>
      <c r="CA29" s="7">
        <v>0</v>
      </c>
      <c r="CB29" s="7">
        <v>0</v>
      </c>
      <c r="CC29" s="7">
        <v>0</v>
      </c>
      <c r="CD29" s="7">
        <v>0</v>
      </c>
      <c r="CE29" s="7">
        <v>0</v>
      </c>
      <c r="CF29" s="7">
        <v>0</v>
      </c>
      <c r="CG29" s="7">
        <v>0</v>
      </c>
      <c r="CH29" s="7">
        <v>0</v>
      </c>
      <c r="CI29" s="7">
        <v>0</v>
      </c>
      <c r="CJ29" s="7">
        <v>0</v>
      </c>
      <c r="CK29" s="38">
        <f>VLOOKUP($B29,'abrasion emissions'!$O$7:$R$36,2,FALSE)</f>
        <v>1</v>
      </c>
      <c r="CL29" s="38">
        <f>VLOOKUP($B29,'abrasion emissions'!$O$7:$R$36,3,FALSE)</f>
        <v>0</v>
      </c>
      <c r="CM29" s="38">
        <f>VLOOKUP($B29,'abrasion emissions'!$O$7:$R$36,4,FALSE)</f>
        <v>0</v>
      </c>
      <c r="CN29" s="7">
        <f>((SUMIFS('abrasion emissions'!$M$7:$M$34,'abrasion emissions'!$I$7:$I$34,"PM 2.5",'abrasion emissions'!$J$7:$J$34,"urban",'abrasion emissions'!$K$7:$K$34,"Tyre",'abrasion emissions'!$L$7:$L$34,"b")*POWER(('vehicles specifications'!$Q29/1000),(1/SUMIFS('abrasion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specifications'!$P29/1000),(1/SUMIFS('abrasion emissions'!$M$7:$M$34,'abrasion emissions'!$I$7:$I$34,"PM 10",'abrasion emissions'!$J$7:$J$34,"urban",'abrasion emissions'!$K$7:$K$34,"Tyre",'abrasion emissions'!$L$7:$L$34,"c")))))/1000000</f>
        <v>5.2399420093405223E-6</v>
      </c>
      <c r="CO29" s="7">
        <f>((SUMIFS('abrasion emissions'!$M$7:$M$34,'abrasion emissions'!$I$7:$I$34,"PM 2.5",'abrasion emissions'!$J$7:$J$34,"rural",'abrasion emissions'!$K$7:$K$34,"Tyre",'abrasion emissions'!$L$7:$L$34,"b")*POWER(('vehicles specifications'!$Q29/1000),(1/SUMIFS('abrasion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specifications'!$P29/1000),(1/SUMIFS('abrasion emissions'!$M$7:$M$34,'abrasion emissions'!$I$7:$I$34,"PM 10",'abrasion emissions'!$J$7:$J$34,"rural",'abrasion emissions'!$K$7:$K$34,"Tyre",'abrasion emissions'!$L$7:$L$34,"c")))))/1000000</f>
        <v>4.0829147924434842E-6</v>
      </c>
      <c r="CP29" s="7">
        <f>((SUMIFS('abrasion emissions'!$M$7:$M$34,'abrasion emissions'!$I$7:$I$34,"PM 2.5",'abrasion emissions'!$J$7:$J$34,"motorway",'abrasion emissions'!$K$7:$K$34,"Tyre",'abrasion emissions'!$L$7:$L$34,"b")*POWER(('vehicles specifications'!$Q29/1000),(1/SUMIFS('abrasion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specifications'!$P29/1000),(1/SUMIFS('abrasion emissions'!$M$7:$M$34,'abrasion emissions'!$I$7:$I$34,"PM 10",'abrasion emissions'!$J$7:$J$34,"motorway",'abrasion emissions'!$K$7:$K$34,"Tyre",'abrasion emissions'!$L$7:$L$34,"c")))))/1000000</f>
        <v>3.4917358290534222E-6</v>
      </c>
      <c r="CQ29" s="7">
        <f>((SUMIFS('abrasion emissions'!$M$7:$M$34,'abrasion emissions'!$I$7:$I$34,"PM 2.5",'abrasion emissions'!$J$7:$J$34,"urban",'abrasion emissions'!$K$7:$K$34,"Brake",'abrasion emissions'!$L$7:$L$34,"b")*POWER(('vehicles specifications'!$Q29/1000),(1/SUMIFS('abrasion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specifications'!$P29/1000),(1/SUMIFS('abrasion emissions'!$M$7:$M$34,'abrasion emissions'!$I$7:$I$34,"PM 10",'abrasion emissions'!$J$7:$J$34,"urban",'abrasion emissions'!$K$7:$K$34,"Brake",'abrasion emissions'!$L$7:$L$34,"c")))))/1000000</f>
        <v>5.0919597087390986E-6</v>
      </c>
      <c r="CR29" s="7">
        <f>((SUMIFS('abrasion emissions'!$M$7:$M$34,'abrasion emissions'!$I$7:$I$34,"PM 2.5",'abrasion emissions'!$J$7:$J$34,"rural",'abrasion emissions'!$K$7:$K$34,"Brake",'abrasion emissions'!$L$7:$L$34,"b")*POWER(('vehicles specifications'!$Q29/1000),(1/SUMIFS('abrasion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specifications'!$P29/1000),(1/SUMIFS('abrasion emissions'!$M$7:$M$34,'abrasion emissions'!$I$7:$I$34,"PM 10",'abrasion emissions'!$J$7:$J$34,"rural",'abrasion emissions'!$K$7:$K$34,"Brake",'abrasion emissions'!$L$7:$L$34,"c")))))/1000000</f>
        <v>1.5865918729986505E-6</v>
      </c>
      <c r="CS29" s="7">
        <f>((SUMIFS('abrasion emissions'!$M$7:$M$34,'abrasion emissions'!$I$7:$I$34,"PM 2.5",'abrasion emissions'!$J$7:$J$34,"motorway",'abrasion emissions'!$K$7:$K$34,"Brake",'abrasion emissions'!$L$7:$L$34,"b")*POWER(('vehicles specifications'!$Q29/1000),(1/SUMIFS('abrasion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specifications'!$P29/1000),(1/SUMIFS('abrasion emissions'!$M$7:$M$34,'abrasion emissions'!$I$7:$I$34,"PM 10",'abrasion emissions'!$J$7:$J$34,"motorway",'abrasion emissions'!$K$7:$K$34,"Brake",'abrasion emissions'!$L$7:$L$34,"c")))))/1000000</f>
        <v>2.8821626217666933E-7</v>
      </c>
      <c r="CT29" s="7">
        <f>((SUMIFS('abrasion emissions'!$M$7:$M$38,'abrasion emissions'!$I$7:$I$38,"PM 2.5",'abrasion emissions'!$K$7:$K$38,"Re-susp.",'abrasion emissions'!$L$7:$L$38,"b")*POWER(('vehicles specifications'!$Q29/1000),(1/SUMIFS('abrasion emissions'!$M$7:$M$38,'abrasion emissions'!$I$7:$I$38,"PM 2.5",'abrasion emissions'!$K$7:$K$38,"Re-susp.",'abrasion emissions'!$L$7:$L$38,"c"))))+
(SUMIFS('abrasion emissions'!$M$7:$M$38,'abrasion emissions'!$I$7:$I$38,"PM 10",'abrasion emissions'!$K$7:$K$38,"Re-susp.",'abrasion emissions'!$L$7:$L$38,"b")*POWER(('vehicles specifications'!$Q29/1000),(1/SUMIFS('abrasion emissions'!$M$7:$M$38,'abrasion emissions'!$I$7:$I$38,"PM 10",'abrasion emissions'!$K$7:$K$38,"Re-susp.",'abrasion emissions'!$L$7:$L$38,"c")))))/1000000</f>
        <v>3.2314896366056883E-6</v>
      </c>
      <c r="CU29" s="7">
        <f>((SUMIFS('abrasion emissions'!$M$7:$M$38,'abrasion emissions'!$I$7:$I$38,"PM 2.5",'abrasion emissions'!$K$7:$K$38,"Road",'abrasion emissions'!$L$7:$L$38,"b")*POWER(('vehicles specifications'!$Q29/1000),(1/SUMIFS('abrasion emissions'!$M$7:$M$38,'abrasion emissions'!$I$7:$I$38,"PM 2.5",'abrasion emissions'!$K$7:$K$38,"Road",'abrasion emissions'!$L$7:$L$38,"c"))))+
(SUMIFS('abrasion emissions'!$M$7:$M$38,'abrasion emissions'!$I$7:$I$38,"PM 10",'abrasion emissions'!$K$7:$K$38,"Road",'abrasion emissions'!$L$7:$L$38,"b")*POWER(('vehicles specifications'!$Q29/1000),(1/SUMIFS('abrasion emissions'!$M$7:$M$38,'abrasion emissions'!$I$7:$I$38,"PM 10",'abrasion emissions'!$K$7:$K$38,"Road",'abrasion emissions'!$L$7:$L$38,"c")))))/1000000+CT29</f>
        <v>6.3308830992789148E-6</v>
      </c>
      <c r="CV29" s="7">
        <f t="shared" si="13"/>
        <v>5.2399420093405223E-6</v>
      </c>
      <c r="CW29" s="7">
        <f t="shared" si="14"/>
        <v>5.0919597087390986E-6</v>
      </c>
    </row>
    <row r="30" spans="1:101" x14ac:dyDescent="0.2">
      <c r="A30" t="str">
        <f t="shared" si="1"/>
        <v>Bicycle, electric, cargo bike - 2050 - NMC - CH</v>
      </c>
      <c r="B30" t="s">
        <v>271</v>
      </c>
      <c r="D30" s="18">
        <v>2050</v>
      </c>
      <c r="E30" t="s">
        <v>37</v>
      </c>
      <c r="F30" t="s">
        <v>138</v>
      </c>
      <c r="G30" t="s">
        <v>39</v>
      </c>
      <c r="H30" t="s">
        <v>32</v>
      </c>
      <c r="I30" t="s">
        <v>43</v>
      </c>
      <c r="J30">
        <v>20000</v>
      </c>
      <c r="K30">
        <v>2000</v>
      </c>
      <c r="L30" s="2">
        <f t="shared" si="2"/>
        <v>10</v>
      </c>
      <c r="M30">
        <v>1</v>
      </c>
      <c r="N30">
        <v>75</v>
      </c>
      <c r="O30">
        <v>50</v>
      </c>
      <c r="P30" s="2">
        <f t="shared" si="0"/>
        <v>41.64</v>
      </c>
      <c r="Q30" s="2">
        <f t="shared" si="3"/>
        <v>166.64</v>
      </c>
      <c r="R30">
        <v>0.25</v>
      </c>
      <c r="S30" s="2">
        <v>38</v>
      </c>
      <c r="T30" s="1">
        <v>7.0000000000000007E-2</v>
      </c>
      <c r="U30" s="2">
        <f t="shared" si="4"/>
        <v>35.339999999999996</v>
      </c>
      <c r="V30">
        <v>0</v>
      </c>
      <c r="W30">
        <v>3.7</v>
      </c>
      <c r="X30" s="3">
        <v>1</v>
      </c>
      <c r="Y30" s="1">
        <v>0.8</v>
      </c>
      <c r="Z30" s="3">
        <f t="shared" si="5"/>
        <v>0.8</v>
      </c>
      <c r="AA30" s="3">
        <f>IF(I30&lt;&gt;"",X30/INDEX('energy battery'!$B$3:$D$6,MATCH('vehicles specifications'!$D30,'energy battery'!$A$3:$A$6,0),MATCH('vehicles specifications'!$I30,'energy battery'!$B$2:$D$2,0)),"")</f>
        <v>2</v>
      </c>
      <c r="AB30" s="3">
        <f t="shared" si="6"/>
        <v>0.6</v>
      </c>
      <c r="AC30" s="3">
        <f t="shared" si="7"/>
        <v>2.6</v>
      </c>
      <c r="AD30">
        <v>0</v>
      </c>
      <c r="AE30">
        <v>0</v>
      </c>
      <c r="AF30">
        <v>0</v>
      </c>
      <c r="AG30">
        <v>0</v>
      </c>
      <c r="AH30">
        <v>0</v>
      </c>
      <c r="AI30">
        <v>0.5</v>
      </c>
      <c r="AJ30">
        <v>1</v>
      </c>
      <c r="AK30" s="6">
        <f t="shared" si="38"/>
        <v>1.3333333333333333</v>
      </c>
      <c r="AL30">
        <f t="shared" si="8"/>
        <v>8.9485679999999995E-5</v>
      </c>
      <c r="AM30">
        <v>0</v>
      </c>
      <c r="AN30" s="2">
        <f t="shared" si="9"/>
        <v>35.339999999999996</v>
      </c>
      <c r="AO30" s="2">
        <f t="shared" si="10"/>
        <v>3.7</v>
      </c>
      <c r="AP30" s="2">
        <f t="shared" si="11"/>
        <v>2.6</v>
      </c>
      <c r="AQ30" s="6" t="s">
        <v>85</v>
      </c>
      <c r="AR30" s="20"/>
      <c r="AS30" s="5">
        <v>3.4708323163290214E-2</v>
      </c>
      <c r="AT30" s="2">
        <f t="shared" si="12"/>
        <v>82.977215189873419</v>
      </c>
      <c r="AU30" s="5">
        <v>0</v>
      </c>
      <c r="AV30" s="5">
        <v>0</v>
      </c>
      <c r="AW30" s="7">
        <v>0</v>
      </c>
      <c r="AX30" s="7">
        <v>0</v>
      </c>
      <c r="AY30" s="7">
        <v>0</v>
      </c>
      <c r="AZ30" s="7">
        <v>0</v>
      </c>
      <c r="BA30" s="7">
        <v>0</v>
      </c>
      <c r="BB30" s="7">
        <v>0</v>
      </c>
      <c r="BC30" s="7">
        <v>0</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7">
        <v>0</v>
      </c>
      <c r="BY30" s="7">
        <v>0</v>
      </c>
      <c r="BZ30" s="7">
        <v>0</v>
      </c>
      <c r="CA30" s="7">
        <v>0</v>
      </c>
      <c r="CB30" s="7">
        <v>0</v>
      </c>
      <c r="CC30" s="7">
        <v>0</v>
      </c>
      <c r="CD30" s="7">
        <v>0</v>
      </c>
      <c r="CE30" s="7">
        <v>0</v>
      </c>
      <c r="CF30" s="7">
        <v>0</v>
      </c>
      <c r="CG30" s="7">
        <v>0</v>
      </c>
      <c r="CH30" s="7">
        <v>0</v>
      </c>
      <c r="CI30" s="7">
        <v>0</v>
      </c>
      <c r="CJ30" s="7">
        <v>0</v>
      </c>
      <c r="CK30" s="38">
        <f>VLOOKUP($B30,'abrasion emissions'!$O$7:$R$36,2,FALSE)</f>
        <v>1</v>
      </c>
      <c r="CL30" s="38">
        <f>VLOOKUP($B30,'abrasion emissions'!$O$7:$R$36,3,FALSE)</f>
        <v>0</v>
      </c>
      <c r="CM30" s="38">
        <f>VLOOKUP($B30,'abrasion emissions'!$O$7:$R$36,4,FALSE)</f>
        <v>0</v>
      </c>
      <c r="CN30" s="7">
        <f>((SUMIFS('abrasion emissions'!$M$7:$M$34,'abrasion emissions'!$I$7:$I$34,"PM 2.5",'abrasion emissions'!$J$7:$J$34,"urban",'abrasion emissions'!$K$7:$K$34,"Tyre",'abrasion emissions'!$L$7:$L$34,"b")*POWER(('vehicles specifications'!$Q30/1000),(1/SUMIFS('abrasion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specifications'!$P30/1000),(1/SUMIFS('abrasion emissions'!$M$7:$M$34,'abrasion emissions'!$I$7:$I$34,"PM 10",'abrasion emissions'!$J$7:$J$34,"urban",'abrasion emissions'!$K$7:$K$34,"Tyre",'abrasion emissions'!$L$7:$L$34,"c")))))/1000000</f>
        <v>5.2185117330067561E-6</v>
      </c>
      <c r="CO30" s="7">
        <f>((SUMIFS('abrasion emissions'!$M$7:$M$34,'abrasion emissions'!$I$7:$I$34,"PM 2.5",'abrasion emissions'!$J$7:$J$34,"rural",'abrasion emissions'!$K$7:$K$34,"Tyre",'abrasion emissions'!$L$7:$L$34,"b")*POWER(('vehicles specifications'!$Q30/1000),(1/SUMIFS('abrasion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specifications'!$P30/1000),(1/SUMIFS('abrasion emissions'!$M$7:$M$34,'abrasion emissions'!$I$7:$I$34,"PM 10",'abrasion emissions'!$J$7:$J$34,"rural",'abrasion emissions'!$K$7:$K$34,"Tyre",'abrasion emissions'!$L$7:$L$34,"c")))))/1000000</f>
        <v>4.0662488599771351E-6</v>
      </c>
      <c r="CP30" s="7">
        <f>((SUMIFS('abrasion emissions'!$M$7:$M$34,'abrasion emissions'!$I$7:$I$34,"PM 2.5",'abrasion emissions'!$J$7:$J$34,"motorway",'abrasion emissions'!$K$7:$K$34,"Tyre",'abrasion emissions'!$L$7:$L$34,"b")*POWER(('vehicles specifications'!$Q30/1000),(1/SUMIFS('abrasion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specifications'!$P30/1000),(1/SUMIFS('abrasion emissions'!$M$7:$M$34,'abrasion emissions'!$I$7:$I$34,"PM 10",'abrasion emissions'!$J$7:$J$34,"motorway",'abrasion emissions'!$K$7:$K$34,"Tyre",'abrasion emissions'!$L$7:$L$34,"c")))))/1000000</f>
        <v>3.4775641417735192E-6</v>
      </c>
      <c r="CQ30" s="7">
        <f>((SUMIFS('abrasion emissions'!$M$7:$M$34,'abrasion emissions'!$I$7:$I$34,"PM 2.5",'abrasion emissions'!$J$7:$J$34,"urban",'abrasion emissions'!$K$7:$K$34,"Brake",'abrasion emissions'!$L$7:$L$34,"b")*POWER(('vehicles specifications'!$Q30/1000),(1/SUMIFS('abrasion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specifications'!$P30/1000),(1/SUMIFS('abrasion emissions'!$M$7:$M$34,'abrasion emissions'!$I$7:$I$34,"PM 10",'abrasion emissions'!$J$7:$J$34,"urban",'abrasion emissions'!$K$7:$K$34,"Brake",'abrasion emissions'!$L$7:$L$34,"c")))))/1000000</f>
        <v>5.0718117291060781E-6</v>
      </c>
      <c r="CR30" s="7">
        <f>((SUMIFS('abrasion emissions'!$M$7:$M$34,'abrasion emissions'!$I$7:$I$34,"PM 2.5",'abrasion emissions'!$J$7:$J$34,"rural",'abrasion emissions'!$K$7:$K$34,"Brake",'abrasion emissions'!$L$7:$L$34,"b")*POWER(('vehicles specifications'!$Q30/1000),(1/SUMIFS('abrasion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specifications'!$P30/1000),(1/SUMIFS('abrasion emissions'!$M$7:$M$34,'abrasion emissions'!$I$7:$I$34,"PM 10",'abrasion emissions'!$J$7:$J$34,"rural",'abrasion emissions'!$K$7:$K$34,"Brake",'abrasion emissions'!$L$7:$L$34,"c")))))/1000000</f>
        <v>1.5789401928249315E-6</v>
      </c>
      <c r="CS30" s="7">
        <f>((SUMIFS('abrasion emissions'!$M$7:$M$34,'abrasion emissions'!$I$7:$I$34,"PM 2.5",'abrasion emissions'!$J$7:$J$34,"motorway",'abrasion emissions'!$K$7:$K$34,"Brake",'abrasion emissions'!$L$7:$L$34,"b")*POWER(('vehicles specifications'!$Q30/1000),(1/SUMIFS('abrasion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specifications'!$P30/1000),(1/SUMIFS('abrasion emissions'!$M$7:$M$34,'abrasion emissions'!$I$7:$I$34,"PM 10",'abrasion emissions'!$J$7:$J$34,"motorway",'abrasion emissions'!$K$7:$K$34,"Brake",'abrasion emissions'!$L$7:$L$34,"c")))))/1000000</f>
        <v>2.8666677785993169E-7</v>
      </c>
      <c r="CT30" s="7">
        <f>((SUMIFS('abrasion emissions'!$M$7:$M$38,'abrasion emissions'!$I$7:$I$38,"PM 2.5",'abrasion emissions'!$K$7:$K$38,"Re-susp.",'abrasion emissions'!$L$7:$L$38,"b")*POWER(('vehicles specifications'!$Q30/1000),(1/SUMIFS('abrasion emissions'!$M$7:$M$38,'abrasion emissions'!$I$7:$I$38,"PM 2.5",'abrasion emissions'!$K$7:$K$38,"Re-susp.",'abrasion emissions'!$L$7:$L$38,"c"))))+
(SUMIFS('abrasion emissions'!$M$7:$M$38,'abrasion emissions'!$I$7:$I$38,"PM 10",'abrasion emissions'!$K$7:$K$38,"Re-susp.",'abrasion emissions'!$L$7:$L$38,"b")*POWER(('vehicles specifications'!$Q30/1000),(1/SUMIFS('abrasion emissions'!$M$7:$M$38,'abrasion emissions'!$I$7:$I$38,"PM 10",'abrasion emissions'!$K$7:$K$38,"Re-susp.",'abrasion emissions'!$L$7:$L$38,"c")))))/1000000</f>
        <v>3.2164029018452979E-6</v>
      </c>
      <c r="CU30" s="7">
        <f>((SUMIFS('abrasion emissions'!$M$7:$M$38,'abrasion emissions'!$I$7:$I$38,"PM 2.5",'abrasion emissions'!$K$7:$K$38,"Road",'abrasion emissions'!$L$7:$L$38,"b")*POWER(('vehicles specifications'!$Q30/1000),(1/SUMIFS('abrasion emissions'!$M$7:$M$38,'abrasion emissions'!$I$7:$I$38,"PM 2.5",'abrasion emissions'!$K$7:$K$38,"Road",'abrasion emissions'!$L$7:$L$38,"c"))))+
(SUMIFS('abrasion emissions'!$M$7:$M$38,'abrasion emissions'!$I$7:$I$38,"PM 10",'abrasion emissions'!$K$7:$K$38,"Road",'abrasion emissions'!$L$7:$L$38,"b")*POWER(('vehicles specifications'!$Q30/1000),(1/SUMIFS('abrasion emissions'!$M$7:$M$38,'abrasion emissions'!$I$7:$I$38,"PM 10",'abrasion emissions'!$K$7:$K$38,"Road",'abrasion emissions'!$L$7:$L$38,"c")))))/1000000+CT30</f>
        <v>6.305178396338356E-6</v>
      </c>
      <c r="CV30" s="7">
        <f t="shared" si="13"/>
        <v>5.2185117330067561E-6</v>
      </c>
      <c r="CW30" s="7">
        <f t="shared" si="14"/>
        <v>5.0718117291060781E-6</v>
      </c>
    </row>
    <row r="31" spans="1:101" x14ac:dyDescent="0.2">
      <c r="A31" t="str">
        <f t="shared" ref="A31:A42" si="39">B31&amp;" - "&amp;D31&amp;" - "&amp;IF(I31&lt;&gt;"",I31&amp;" - "&amp;E31,E31)</f>
        <v>Bicycle, electric (&lt;25 km/h) - 2020 - LFP - CH</v>
      </c>
      <c r="B31" t="s">
        <v>264</v>
      </c>
      <c r="D31" s="18">
        <v>2020</v>
      </c>
      <c r="E31" t="s">
        <v>37</v>
      </c>
      <c r="F31" t="s">
        <v>138</v>
      </c>
      <c r="G31" t="s">
        <v>39</v>
      </c>
      <c r="H31" t="s">
        <v>32</v>
      </c>
      <c r="I31" t="s">
        <v>44</v>
      </c>
      <c r="J31">
        <v>20000</v>
      </c>
      <c r="K31">
        <v>2000</v>
      </c>
      <c r="L31" s="2">
        <f t="shared" ref="L31:L42" si="40">J31/K31</f>
        <v>10</v>
      </c>
      <c r="M31">
        <v>1</v>
      </c>
      <c r="N31">
        <v>75</v>
      </c>
      <c r="O31">
        <v>1</v>
      </c>
      <c r="P31" s="2">
        <f t="shared" ref="P31:P42" si="41">SUM(U31,V31,W31,AC31,AF31,AH31)</f>
        <v>24</v>
      </c>
      <c r="Q31" s="2">
        <f t="shared" ref="Q31:Q42" si="42">P31+(M31*N31)+O31</f>
        <v>100</v>
      </c>
      <c r="R31">
        <v>0.25</v>
      </c>
      <c r="S31" s="2">
        <v>16</v>
      </c>
      <c r="T31" s="1">
        <v>0</v>
      </c>
      <c r="U31" s="2">
        <f t="shared" ref="U31:U42" si="43">S31*(1-T31)</f>
        <v>16</v>
      </c>
      <c r="V31">
        <v>0</v>
      </c>
      <c r="W31">
        <v>4</v>
      </c>
      <c r="X31" s="3">
        <v>0.5</v>
      </c>
      <c r="Y31" s="1">
        <v>0.8</v>
      </c>
      <c r="Z31" s="3">
        <f t="shared" ref="Z31:Z42" si="44">Y31*X31</f>
        <v>0.4</v>
      </c>
      <c r="AA31" s="3">
        <f>IF(I31&lt;&gt;"",X31/INDEX('energy battery'!$B$3:$D$6,MATCH('vehicles specifications'!$D31,'energy battery'!$A$3:$A$6,0),MATCH('vehicles specifications'!$I31,'energy battery'!$B$2:$D$2,0)),"")</f>
        <v>3.3333333333333335</v>
      </c>
      <c r="AB31" s="3">
        <f>IF(AA31&lt;&gt;"",0.2*AA31,"")</f>
        <v>0.66666666666666674</v>
      </c>
      <c r="AC31" s="3">
        <f t="shared" ref="AC31:AC42" si="45">IF(AA31&lt;&gt;"",AB31+AA31,"")</f>
        <v>4</v>
      </c>
      <c r="AD31">
        <v>1</v>
      </c>
      <c r="AE31">
        <v>0</v>
      </c>
      <c r="AF31">
        <v>0</v>
      </c>
      <c r="AG31">
        <v>0</v>
      </c>
      <c r="AH31">
        <v>0</v>
      </c>
      <c r="AI31">
        <v>0.5</v>
      </c>
      <c r="AJ31">
        <v>1</v>
      </c>
      <c r="AK31" s="6">
        <f t="shared" si="38"/>
        <v>1.3333333333333333</v>
      </c>
      <c r="AL31">
        <f t="shared" ref="AL31:AL42" si="46">0.000537/1000*Q31</f>
        <v>5.3699999999999997E-5</v>
      </c>
      <c r="AM31">
        <v>0</v>
      </c>
      <c r="AN31" s="2">
        <f t="shared" ref="AN31:AN42" si="47">U31</f>
        <v>16</v>
      </c>
      <c r="AO31" s="2">
        <f t="shared" ref="AO31:AO42" si="48">SUM(V31:W31)</f>
        <v>4</v>
      </c>
      <c r="AP31" s="2">
        <f t="shared" ref="AP31:AP42" si="49">AC31</f>
        <v>4</v>
      </c>
      <c r="AQ31" s="6" t="s">
        <v>85</v>
      </c>
      <c r="AR31" s="20"/>
      <c r="AS31" s="5">
        <v>2.4670639149862349E-2</v>
      </c>
      <c r="AT31" s="2">
        <f t="shared" si="12"/>
        <v>58.368978251949123</v>
      </c>
      <c r="AU31" s="5">
        <v>0</v>
      </c>
      <c r="AV31" s="5">
        <v>0</v>
      </c>
      <c r="AW31" s="7">
        <v>0</v>
      </c>
      <c r="AX31" s="7">
        <v>0</v>
      </c>
      <c r="AY31" s="7">
        <v>0</v>
      </c>
      <c r="AZ31" s="7">
        <v>0</v>
      </c>
      <c r="BA31" s="7">
        <v>0</v>
      </c>
      <c r="BB31" s="7">
        <v>0</v>
      </c>
      <c r="BC31" s="7">
        <v>0</v>
      </c>
      <c r="BD31" s="7">
        <v>0</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7">
        <v>0</v>
      </c>
      <c r="BY31" s="7">
        <v>0</v>
      </c>
      <c r="BZ31" s="7">
        <v>0</v>
      </c>
      <c r="CA31" s="7">
        <v>0</v>
      </c>
      <c r="CB31" s="7">
        <v>0</v>
      </c>
      <c r="CC31" s="7">
        <v>0</v>
      </c>
      <c r="CD31" s="7">
        <v>0</v>
      </c>
      <c r="CE31" s="7">
        <v>0</v>
      </c>
      <c r="CF31" s="7">
        <v>0</v>
      </c>
      <c r="CG31" s="7">
        <v>0</v>
      </c>
      <c r="CH31" s="7">
        <v>0</v>
      </c>
      <c r="CI31" s="7">
        <v>0</v>
      </c>
      <c r="CJ31" s="7">
        <v>0</v>
      </c>
      <c r="CK31" s="38">
        <f>VLOOKUP($B31,'abrasion emissions'!$O$7:$R$36,2,FALSE)</f>
        <v>1</v>
      </c>
      <c r="CL31" s="38">
        <f>VLOOKUP($B31,'abrasion emissions'!$O$7:$R$36,3,FALSE)</f>
        <v>0</v>
      </c>
      <c r="CM31" s="38">
        <f>VLOOKUP($B31,'abrasion emissions'!$O$7:$R$36,4,FALSE)</f>
        <v>0</v>
      </c>
      <c r="CN31" s="7">
        <f>((SUMIFS('abrasion emissions'!$M$7:$M$34,'abrasion emissions'!$I$7:$I$34,"PM 2.5",'abrasion emissions'!$J$7:$J$34,"urban",'abrasion emissions'!$K$7:$K$34,"Tyre",'abrasion emissions'!$L$7:$L$34,"b")*POWER(('vehicles specifications'!$Q31/1000),(1/SUMIFS('abrasion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specifications'!$P31/1000),(1/SUMIFS('abrasion emissions'!$M$7:$M$34,'abrasion emissions'!$I$7:$I$34,"PM 10",'abrasion emissions'!$J$7:$J$34,"urban",'abrasion emissions'!$K$7:$K$34,"Tyre",'abrasion emissions'!$L$7:$L$34,"c")))))/1000000</f>
        <v>4.1591895278234826E-6</v>
      </c>
      <c r="CO31" s="7">
        <f>((SUMIFS('abrasion emissions'!$M$7:$M$34,'abrasion emissions'!$I$7:$I$34,"PM 2.5",'abrasion emissions'!$J$7:$J$34,"rural",'abrasion emissions'!$K$7:$K$34,"Tyre",'abrasion emissions'!$L$7:$L$34,"b")*POWER(('vehicles specifications'!$Q31/1000),(1/SUMIFS('abrasion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specifications'!$P31/1000),(1/SUMIFS('abrasion emissions'!$M$7:$M$34,'abrasion emissions'!$I$7:$I$34,"PM 10",'abrasion emissions'!$J$7:$J$34,"rural",'abrasion emissions'!$K$7:$K$34,"Tyre",'abrasion emissions'!$L$7:$L$34,"c")))))/1000000</f>
        <v>3.2408957651554966E-6</v>
      </c>
      <c r="CP31" s="7">
        <f>((SUMIFS('abrasion emissions'!$M$7:$M$34,'abrasion emissions'!$I$7:$I$34,"PM 2.5",'abrasion emissions'!$J$7:$J$34,"motorway",'abrasion emissions'!$K$7:$K$34,"Tyre",'abrasion emissions'!$L$7:$L$34,"b")*POWER(('vehicles specifications'!$Q31/1000),(1/SUMIFS('abrasion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specifications'!$P31/1000),(1/SUMIFS('abrasion emissions'!$M$7:$M$34,'abrasion emissions'!$I$7:$I$34,"PM 10",'abrasion emissions'!$J$7:$J$34,"motorway",'abrasion emissions'!$K$7:$K$34,"Tyre",'abrasion emissions'!$L$7:$L$34,"c")))))/1000000</f>
        <v>2.7718698602316813E-6</v>
      </c>
      <c r="CQ31" s="7">
        <f>((SUMIFS('abrasion emissions'!$M$7:$M$34,'abrasion emissions'!$I$7:$I$34,"PM 2.5",'abrasion emissions'!$J$7:$J$34,"urban",'abrasion emissions'!$K$7:$K$34,"Brake",'abrasion emissions'!$L$7:$L$34,"b")*POWER(('vehicles specifications'!$Q31/1000),(1/SUMIFS('abrasion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specifications'!$P31/1000),(1/SUMIFS('abrasion emissions'!$M$7:$M$34,'abrasion emissions'!$I$7:$I$34,"PM 10",'abrasion emissions'!$J$7:$J$34,"urban",'abrasion emissions'!$K$7:$K$34,"Brake",'abrasion emissions'!$L$7:$L$34,"c")))))/1000000</f>
        <v>3.86381934741146E-6</v>
      </c>
      <c r="CR31" s="7">
        <f>((SUMIFS('abrasion emissions'!$M$7:$M$34,'abrasion emissions'!$I$7:$I$34,"PM 2.5",'abrasion emissions'!$J$7:$J$34,"rural",'abrasion emissions'!$K$7:$K$34,"Brake",'abrasion emissions'!$L$7:$L$34,"b")*POWER(('vehicles specifications'!$Q31/1000),(1/SUMIFS('abrasion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specifications'!$P31/1000),(1/SUMIFS('abrasion emissions'!$M$7:$M$34,'abrasion emissions'!$I$7:$I$34,"PM 10",'abrasion emissions'!$J$7:$J$34,"rural",'abrasion emissions'!$K$7:$K$34,"Brake",'abrasion emissions'!$L$7:$L$34,"c")))))/1000000</f>
        <v>1.1192616457740851E-6</v>
      </c>
      <c r="CS31" s="7">
        <f>((SUMIFS('abrasion emissions'!$M$7:$M$34,'abrasion emissions'!$I$7:$I$34,"PM 2.5",'abrasion emissions'!$J$7:$J$34,"motorway",'abrasion emissions'!$K$7:$K$34,"Brake",'abrasion emissions'!$L$7:$L$34,"b")*POWER(('vehicles specifications'!$Q31/1000),(1/SUMIFS('abrasion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specifications'!$P31/1000),(1/SUMIFS('abrasion emissions'!$M$7:$M$34,'abrasion emissions'!$I$7:$I$34,"PM 10",'abrasion emissions'!$J$7:$J$34,"motorway",'abrasion emissions'!$K$7:$K$34,"Brake",'abrasion emissions'!$L$7:$L$34,"c")))))/1000000</f>
        <v>1.9282766423350817E-7</v>
      </c>
      <c r="CT31" s="7">
        <f>((SUMIFS('abrasion emissions'!$M$7:$M$38,'abrasion emissions'!$I$7:$I$38,"PM 2.5",'abrasion emissions'!$K$7:$K$38,"Re-susp.",'abrasion emissions'!$L$7:$L$38,"b")*POWER(('vehicles specifications'!$Q31/1000),(1/SUMIFS('abrasion emissions'!$M$7:$M$38,'abrasion emissions'!$I$7:$I$38,"PM 2.5",'abrasion emissions'!$K$7:$K$38,"Re-susp.",'abrasion emissions'!$L$7:$L$38,"c"))))+
(SUMIFS('abrasion emissions'!$M$7:$M$38,'abrasion emissions'!$I$7:$I$38,"PM 10",'abrasion emissions'!$K$7:$K$38,"Re-susp.",'abrasion emissions'!$L$7:$L$38,"b")*POWER(('vehicles specifications'!$Q31/1000),(1/SUMIFS('abrasion emissions'!$M$7:$M$38,'abrasion emissions'!$I$7:$I$38,"PM 10",'abrasion emissions'!$K$7:$K$38,"Re-susp.",'abrasion emissions'!$L$7:$L$38,"c")))))/1000000</f>
        <v>2.0218686526849886E-6</v>
      </c>
      <c r="CU31" s="7">
        <f>((SUMIFS('abrasion emissions'!$M$7:$M$38,'abrasion emissions'!$I$7:$I$38,"PM 2.5",'abrasion emissions'!$K$7:$K$38,"Road",'abrasion emissions'!$L$7:$L$38,"b")*POWER(('vehicles specifications'!$Q31/1000),(1/SUMIFS('abrasion emissions'!$M$7:$M$38,'abrasion emissions'!$I$7:$I$38,"PM 2.5",'abrasion emissions'!$K$7:$K$38,"Road",'abrasion emissions'!$L$7:$L$38,"c"))))+
(SUMIFS('abrasion emissions'!$M$7:$M$38,'abrasion emissions'!$I$7:$I$38,"PM 10",'abrasion emissions'!$K$7:$K$38,"Road",'abrasion emissions'!$L$7:$L$38,"b")*POWER(('vehicles specifications'!$Q31/1000),(1/SUMIFS('abrasion emissions'!$M$7:$M$38,'abrasion emissions'!$I$7:$I$38,"PM 10",'abrasion emissions'!$K$7:$K$38,"Road",'abrasion emissions'!$L$7:$L$38,"c")))))/1000000+CT31</f>
        <v>4.2193920365175101E-6</v>
      </c>
      <c r="CV31" s="7">
        <f t="shared" si="13"/>
        <v>4.1591895278234826E-6</v>
      </c>
      <c r="CW31" s="7">
        <f t="shared" si="14"/>
        <v>3.86381934741146E-6</v>
      </c>
    </row>
    <row r="32" spans="1:101" x14ac:dyDescent="0.2">
      <c r="A32" t="str">
        <f t="shared" si="39"/>
        <v>Bicycle, electric (&lt;25 km/h) - 2030 - LFP - CH</v>
      </c>
      <c r="B32" t="s">
        <v>264</v>
      </c>
      <c r="D32" s="18">
        <v>2030</v>
      </c>
      <c r="E32" t="s">
        <v>37</v>
      </c>
      <c r="F32" t="s">
        <v>138</v>
      </c>
      <c r="G32" t="s">
        <v>39</v>
      </c>
      <c r="H32" t="s">
        <v>32</v>
      </c>
      <c r="I32" t="s">
        <v>44</v>
      </c>
      <c r="J32">
        <v>20000</v>
      </c>
      <c r="K32">
        <v>2000</v>
      </c>
      <c r="L32" s="2">
        <f t="shared" si="40"/>
        <v>10</v>
      </c>
      <c r="M32">
        <v>1</v>
      </c>
      <c r="N32">
        <v>75</v>
      </c>
      <c r="O32">
        <v>1</v>
      </c>
      <c r="P32" s="2">
        <f t="shared" si="41"/>
        <v>24.75333333333333</v>
      </c>
      <c r="Q32" s="2">
        <f t="shared" si="42"/>
        <v>100.75333333333333</v>
      </c>
      <c r="R32">
        <v>0.25</v>
      </c>
      <c r="S32" s="2">
        <v>16</v>
      </c>
      <c r="T32" s="1">
        <v>0.03</v>
      </c>
      <c r="U32" s="2">
        <f t="shared" si="43"/>
        <v>15.52</v>
      </c>
      <c r="V32">
        <v>0</v>
      </c>
      <c r="W32">
        <v>3.9</v>
      </c>
      <c r="X32" s="3">
        <v>0.8</v>
      </c>
      <c r="Y32" s="1">
        <v>0.8</v>
      </c>
      <c r="Z32" s="3">
        <f t="shared" si="44"/>
        <v>0.64000000000000012</v>
      </c>
      <c r="AA32" s="3">
        <f>IF(I32&lt;&gt;"",X32/INDEX('energy battery'!$B$3:$D$6,MATCH('vehicles specifications'!$D32,'energy battery'!$A$3:$A$6,0),MATCH('vehicles specifications'!$I32,'energy battery'!$B$2:$D$2,0)),"")</f>
        <v>4.4444444444444446</v>
      </c>
      <c r="AB32" s="3">
        <f t="shared" ref="AB32:AB34" si="50">IF(AA32&lt;&gt;"",0.2*AA32,"")</f>
        <v>0.88888888888888895</v>
      </c>
      <c r="AC32" s="3">
        <f t="shared" si="45"/>
        <v>5.3333333333333339</v>
      </c>
      <c r="AD32">
        <v>0.5</v>
      </c>
      <c r="AE32">
        <v>0</v>
      </c>
      <c r="AF32">
        <v>0</v>
      </c>
      <c r="AG32">
        <v>0</v>
      </c>
      <c r="AH32">
        <v>0</v>
      </c>
      <c r="AI32">
        <v>0.5</v>
      </c>
      <c r="AJ32">
        <v>1</v>
      </c>
      <c r="AK32" s="6">
        <f t="shared" si="38"/>
        <v>1.3333333333333333</v>
      </c>
      <c r="AL32">
        <f t="shared" si="46"/>
        <v>5.410454E-5</v>
      </c>
      <c r="AM32">
        <v>0</v>
      </c>
      <c r="AN32" s="2">
        <f t="shared" si="47"/>
        <v>15.52</v>
      </c>
      <c r="AO32" s="2">
        <f t="shared" si="48"/>
        <v>3.9</v>
      </c>
      <c r="AP32" s="2">
        <f t="shared" si="49"/>
        <v>5.3333333333333339</v>
      </c>
      <c r="AQ32" s="6" t="s">
        <v>85</v>
      </c>
      <c r="AR32" s="20"/>
      <c r="AS32" s="5">
        <v>2.4670639149862349E-2</v>
      </c>
      <c r="AT32" s="2">
        <f t="shared" si="12"/>
        <v>93.390365203118606</v>
      </c>
      <c r="AU32" s="5">
        <v>0</v>
      </c>
      <c r="AV32" s="5">
        <v>0</v>
      </c>
      <c r="AW32" s="7">
        <v>0</v>
      </c>
      <c r="AX32" s="7">
        <v>0</v>
      </c>
      <c r="AY32" s="7">
        <v>0</v>
      </c>
      <c r="AZ32" s="7">
        <v>0</v>
      </c>
      <c r="BA32" s="7">
        <v>0</v>
      </c>
      <c r="BB32" s="7">
        <v>0</v>
      </c>
      <c r="BC32" s="7">
        <v>0</v>
      </c>
      <c r="BD32" s="7">
        <v>0</v>
      </c>
      <c r="BE32" s="7">
        <v>0</v>
      </c>
      <c r="BF32" s="7">
        <v>0</v>
      </c>
      <c r="BG32" s="7">
        <v>0</v>
      </c>
      <c r="BH32" s="7">
        <v>0</v>
      </c>
      <c r="BI32" s="7">
        <v>0</v>
      </c>
      <c r="BJ32" s="7">
        <v>0</v>
      </c>
      <c r="BK32" s="7">
        <v>0</v>
      </c>
      <c r="BL32" s="7">
        <v>0</v>
      </c>
      <c r="BM32" s="7">
        <v>0</v>
      </c>
      <c r="BN32" s="7">
        <v>0</v>
      </c>
      <c r="BO32" s="7">
        <v>0</v>
      </c>
      <c r="BP32" s="7">
        <v>0</v>
      </c>
      <c r="BQ32" s="7">
        <v>0</v>
      </c>
      <c r="BR32" s="7">
        <v>0</v>
      </c>
      <c r="BS32" s="7">
        <v>0</v>
      </c>
      <c r="BT32" s="7">
        <v>0</v>
      </c>
      <c r="BU32" s="7">
        <v>0</v>
      </c>
      <c r="BV32" s="7">
        <v>0</v>
      </c>
      <c r="BW32" s="7">
        <v>0</v>
      </c>
      <c r="BX32" s="7">
        <v>0</v>
      </c>
      <c r="BY32" s="7">
        <v>0</v>
      </c>
      <c r="BZ32" s="7">
        <v>0</v>
      </c>
      <c r="CA32" s="7">
        <v>0</v>
      </c>
      <c r="CB32" s="7">
        <v>0</v>
      </c>
      <c r="CC32" s="7">
        <v>0</v>
      </c>
      <c r="CD32" s="7">
        <v>0</v>
      </c>
      <c r="CE32" s="7">
        <v>0</v>
      </c>
      <c r="CF32" s="7">
        <v>0</v>
      </c>
      <c r="CG32" s="7">
        <v>0</v>
      </c>
      <c r="CH32" s="7">
        <v>0</v>
      </c>
      <c r="CI32" s="7">
        <v>0</v>
      </c>
      <c r="CJ32" s="7">
        <v>0</v>
      </c>
      <c r="CK32" s="38">
        <f>VLOOKUP($B32,'abrasion emissions'!$O$7:$R$36,2,FALSE)</f>
        <v>1</v>
      </c>
      <c r="CL32" s="38">
        <f>VLOOKUP($B32,'abrasion emissions'!$O$7:$R$36,3,FALSE)</f>
        <v>0</v>
      </c>
      <c r="CM32" s="38">
        <f>VLOOKUP($B32,'abrasion emissions'!$O$7:$R$36,4,FALSE)</f>
        <v>0</v>
      </c>
      <c r="CN32" s="7">
        <f>((SUMIFS('abrasion emissions'!$M$7:$M$34,'abrasion emissions'!$I$7:$I$34,"PM 2.5",'abrasion emissions'!$J$7:$J$34,"urban",'abrasion emissions'!$K$7:$K$34,"Tyre",'abrasion emissions'!$L$7:$L$34,"b")*POWER(('vehicles specifications'!$Q32/1000),(1/SUMIFS('abrasion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specifications'!$P32/1000),(1/SUMIFS('abrasion emissions'!$M$7:$M$34,'abrasion emissions'!$I$7:$I$34,"PM 10",'abrasion emissions'!$J$7:$J$34,"urban",'abrasion emissions'!$K$7:$K$34,"Tyre",'abrasion emissions'!$L$7:$L$34,"c")))))/1000000</f>
        <v>4.1845408894143447E-6</v>
      </c>
      <c r="CO32" s="7">
        <f>((SUMIFS('abrasion emissions'!$M$7:$M$34,'abrasion emissions'!$I$7:$I$34,"PM 2.5",'abrasion emissions'!$J$7:$J$34,"rural",'abrasion emissions'!$K$7:$K$34,"Tyre",'abrasion emissions'!$L$7:$L$34,"b")*POWER(('vehicles specifications'!$Q32/1000),(1/SUMIFS('abrasion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specifications'!$P32/1000),(1/SUMIFS('abrasion emissions'!$M$7:$M$34,'abrasion emissions'!$I$7:$I$34,"PM 10",'abrasion emissions'!$J$7:$J$34,"rural",'abrasion emissions'!$K$7:$K$34,"Tyre",'abrasion emissions'!$L$7:$L$34,"c")))))/1000000</f>
        <v>3.2606104814169257E-6</v>
      </c>
      <c r="CP32" s="7">
        <f>((SUMIFS('abrasion emissions'!$M$7:$M$34,'abrasion emissions'!$I$7:$I$34,"PM 2.5",'abrasion emissions'!$J$7:$J$34,"motorway",'abrasion emissions'!$K$7:$K$34,"Tyre",'abrasion emissions'!$L$7:$L$34,"b")*POWER(('vehicles specifications'!$Q32/1000),(1/SUMIFS('abrasion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specifications'!$P32/1000),(1/SUMIFS('abrasion emissions'!$M$7:$M$34,'abrasion emissions'!$I$7:$I$34,"PM 10",'abrasion emissions'!$J$7:$J$34,"motorway",'abrasion emissions'!$K$7:$K$34,"Tyre",'abrasion emissions'!$L$7:$L$34,"c")))))/1000000</f>
        <v>2.7886326081834377E-6</v>
      </c>
      <c r="CQ32" s="7">
        <f>((SUMIFS('abrasion emissions'!$M$7:$M$34,'abrasion emissions'!$I$7:$I$34,"PM 2.5",'abrasion emissions'!$J$7:$J$34,"urban",'abrasion emissions'!$K$7:$K$34,"Brake",'abrasion emissions'!$L$7:$L$34,"b")*POWER(('vehicles specifications'!$Q32/1000),(1/SUMIFS('abrasion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specifications'!$P32/1000),(1/SUMIFS('abrasion emissions'!$M$7:$M$34,'abrasion emissions'!$I$7:$I$34,"PM 10",'abrasion emissions'!$J$7:$J$34,"urban",'abrasion emissions'!$K$7:$K$34,"Brake",'abrasion emissions'!$L$7:$L$34,"c")))))/1000000</f>
        <v>3.8864503090339279E-6</v>
      </c>
      <c r="CR32" s="7">
        <f>((SUMIFS('abrasion emissions'!$M$7:$M$34,'abrasion emissions'!$I$7:$I$34,"PM 2.5",'abrasion emissions'!$J$7:$J$34,"rural",'abrasion emissions'!$K$7:$K$34,"Brake",'abrasion emissions'!$L$7:$L$34,"b")*POWER(('vehicles specifications'!$Q32/1000),(1/SUMIFS('abrasion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specifications'!$P32/1000),(1/SUMIFS('abrasion emissions'!$M$7:$M$34,'abrasion emissions'!$I$7:$I$34,"PM 10",'abrasion emissions'!$J$7:$J$34,"rural",'abrasion emissions'!$K$7:$K$34,"Brake",'abrasion emissions'!$L$7:$L$34,"c")))))/1000000</f>
        <v>1.1272423973821869E-6</v>
      </c>
      <c r="CS32" s="7">
        <f>((SUMIFS('abrasion emissions'!$M$7:$M$34,'abrasion emissions'!$I$7:$I$34,"PM 2.5",'abrasion emissions'!$J$7:$J$34,"motorway",'abrasion emissions'!$K$7:$K$34,"Brake",'abrasion emissions'!$L$7:$L$34,"b")*POWER(('vehicles specifications'!$Q32/1000),(1/SUMIFS('abrasion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specifications'!$P32/1000),(1/SUMIFS('abrasion emissions'!$M$7:$M$34,'abrasion emissions'!$I$7:$I$34,"PM 10",'abrasion emissions'!$J$7:$J$34,"motorway",'abrasion emissions'!$K$7:$K$34,"Brake",'abrasion emissions'!$L$7:$L$34,"c")))))/1000000</f>
        <v>1.9435885709687684E-7</v>
      </c>
      <c r="CT32" s="7">
        <f>((SUMIFS('abrasion emissions'!$M$7:$M$38,'abrasion emissions'!$I$7:$I$38,"PM 2.5",'abrasion emissions'!$K$7:$K$38,"Re-susp.",'abrasion emissions'!$L$7:$L$38,"b")*POWER(('vehicles specifications'!$Q32/1000),(1/SUMIFS('abrasion emissions'!$M$7:$M$38,'abrasion emissions'!$I$7:$I$38,"PM 2.5",'abrasion emissions'!$K$7:$K$38,"Re-susp.",'abrasion emissions'!$L$7:$L$38,"c"))))+
(SUMIFS('abrasion emissions'!$M$7:$M$38,'abrasion emissions'!$I$7:$I$38,"PM 10",'abrasion emissions'!$K$7:$K$38,"Re-susp.",'abrasion emissions'!$L$7:$L$38,"b")*POWER(('vehicles specifications'!$Q32/1000),(1/SUMIFS('abrasion emissions'!$M$7:$M$38,'abrasion emissions'!$I$7:$I$38,"PM 10",'abrasion emissions'!$K$7:$K$38,"Re-susp.",'abrasion emissions'!$L$7:$L$38,"c")))))/1000000</f>
        <v>2.0357106609979695E-6</v>
      </c>
      <c r="CU32" s="7">
        <f>((SUMIFS('abrasion emissions'!$M$7:$M$38,'abrasion emissions'!$I$7:$I$38,"PM 2.5",'abrasion emissions'!$K$7:$K$38,"Road",'abrasion emissions'!$L$7:$L$38,"b")*POWER(('vehicles specifications'!$Q32/1000),(1/SUMIFS('abrasion emissions'!$M$7:$M$38,'abrasion emissions'!$I$7:$I$38,"PM 2.5",'abrasion emissions'!$K$7:$K$38,"Road",'abrasion emissions'!$L$7:$L$38,"c"))))+
(SUMIFS('abrasion emissions'!$M$7:$M$38,'abrasion emissions'!$I$7:$I$38,"PM 10",'abrasion emissions'!$K$7:$K$38,"Road",'abrasion emissions'!$L$7:$L$38,"b")*POWER(('vehicles specifications'!$Q32/1000),(1/SUMIFS('abrasion emissions'!$M$7:$M$38,'abrasion emissions'!$I$7:$I$38,"PM 10",'abrasion emissions'!$K$7:$K$38,"Road",'abrasion emissions'!$L$7:$L$38,"c")))))/1000000+CT32</f>
        <v>4.2442566849175639E-6</v>
      </c>
      <c r="CV32" s="7">
        <f t="shared" si="13"/>
        <v>4.1845408894143447E-6</v>
      </c>
      <c r="CW32" s="7">
        <f t="shared" si="14"/>
        <v>3.8864503090339279E-6</v>
      </c>
    </row>
    <row r="33" spans="1:101" x14ac:dyDescent="0.2">
      <c r="A33" t="str">
        <f t="shared" si="39"/>
        <v>Bicycle, electric (&lt;25 km/h) - 2040 - LFP - CH</v>
      </c>
      <c r="B33" t="s">
        <v>264</v>
      </c>
      <c r="D33" s="18">
        <v>2040</v>
      </c>
      <c r="E33" t="s">
        <v>37</v>
      </c>
      <c r="F33" t="s">
        <v>138</v>
      </c>
      <c r="G33" t="s">
        <v>39</v>
      </c>
      <c r="H33" t="s">
        <v>32</v>
      </c>
      <c r="I33" t="s">
        <v>44</v>
      </c>
      <c r="J33">
        <v>20000</v>
      </c>
      <c r="K33">
        <v>2000</v>
      </c>
      <c r="L33" s="2">
        <f t="shared" si="40"/>
        <v>10</v>
      </c>
      <c r="M33">
        <v>1</v>
      </c>
      <c r="N33">
        <v>75</v>
      </c>
      <c r="O33">
        <v>1</v>
      </c>
      <c r="P33" s="2">
        <f t="shared" si="41"/>
        <v>25.666666666666664</v>
      </c>
      <c r="Q33" s="2">
        <f t="shared" si="42"/>
        <v>101.66666666666666</v>
      </c>
      <c r="R33">
        <v>0.25</v>
      </c>
      <c r="S33" s="2">
        <v>16</v>
      </c>
      <c r="T33" s="1">
        <v>0.05</v>
      </c>
      <c r="U33" s="2">
        <f t="shared" si="43"/>
        <v>15.2</v>
      </c>
      <c r="V33">
        <v>0</v>
      </c>
      <c r="W33">
        <v>3.8</v>
      </c>
      <c r="X33" s="3">
        <v>1</v>
      </c>
      <c r="Y33" s="1">
        <v>0.8</v>
      </c>
      <c r="Z33" s="3">
        <f t="shared" si="44"/>
        <v>0.8</v>
      </c>
      <c r="AA33" s="3">
        <f>IF(I33&lt;&gt;"",X33/INDEX('energy battery'!$B$3:$D$6,MATCH('vehicles specifications'!$D33,'energy battery'!$A$3:$A$6,0),MATCH('vehicles specifications'!$I33,'energy battery'!$B$2:$D$2,0)),"")</f>
        <v>5.5555555555555554</v>
      </c>
      <c r="AB33" s="3">
        <f t="shared" si="50"/>
        <v>1.1111111111111112</v>
      </c>
      <c r="AC33" s="3">
        <f t="shared" si="45"/>
        <v>6.6666666666666661</v>
      </c>
      <c r="AD33">
        <v>0.25</v>
      </c>
      <c r="AE33">
        <v>0</v>
      </c>
      <c r="AF33">
        <v>0</v>
      </c>
      <c r="AG33">
        <v>0</v>
      </c>
      <c r="AH33">
        <v>0</v>
      </c>
      <c r="AI33">
        <v>0.5</v>
      </c>
      <c r="AJ33">
        <v>1</v>
      </c>
      <c r="AK33" s="6">
        <f t="shared" si="38"/>
        <v>1.3333333333333333</v>
      </c>
      <c r="AL33">
        <f t="shared" si="46"/>
        <v>5.4594999999999995E-5</v>
      </c>
      <c r="AM33">
        <v>0</v>
      </c>
      <c r="AN33" s="2">
        <f t="shared" si="47"/>
        <v>15.2</v>
      </c>
      <c r="AO33" s="2">
        <f t="shared" si="48"/>
        <v>3.8</v>
      </c>
      <c r="AP33" s="2">
        <f t="shared" si="49"/>
        <v>6.6666666666666661</v>
      </c>
      <c r="AQ33" s="6" t="s">
        <v>85</v>
      </c>
      <c r="AR33" s="20"/>
      <c r="AS33" s="5">
        <v>2.4670639149862349E-2</v>
      </c>
      <c r="AT33" s="2">
        <f t="shared" si="12"/>
        <v>116.73795650389825</v>
      </c>
      <c r="AU33" s="5">
        <v>0</v>
      </c>
      <c r="AV33" s="5">
        <v>0</v>
      </c>
      <c r="AW33" s="7">
        <v>0</v>
      </c>
      <c r="AX33" s="7">
        <v>0</v>
      </c>
      <c r="AY33" s="7">
        <v>0</v>
      </c>
      <c r="AZ33" s="7">
        <v>0</v>
      </c>
      <c r="BA33" s="7">
        <v>0</v>
      </c>
      <c r="BB33" s="7">
        <v>0</v>
      </c>
      <c r="BC33" s="7">
        <v>0</v>
      </c>
      <c r="BD33" s="7">
        <v>0</v>
      </c>
      <c r="BE33" s="7">
        <v>0</v>
      </c>
      <c r="BF33" s="7">
        <v>0</v>
      </c>
      <c r="BG33" s="7">
        <v>0</v>
      </c>
      <c r="BH33" s="7">
        <v>0</v>
      </c>
      <c r="BI33" s="7">
        <v>0</v>
      </c>
      <c r="BJ33" s="7">
        <v>0</v>
      </c>
      <c r="BK33" s="7">
        <v>0</v>
      </c>
      <c r="BL33" s="7">
        <v>0</v>
      </c>
      <c r="BM33" s="7">
        <v>0</v>
      </c>
      <c r="BN33" s="7">
        <v>0</v>
      </c>
      <c r="BO33" s="7">
        <v>0</v>
      </c>
      <c r="BP33" s="7">
        <v>0</v>
      </c>
      <c r="BQ33" s="7">
        <v>0</v>
      </c>
      <c r="BR33" s="7">
        <v>0</v>
      </c>
      <c r="BS33" s="7">
        <v>0</v>
      </c>
      <c r="BT33" s="7">
        <v>0</v>
      </c>
      <c r="BU33" s="7">
        <v>0</v>
      </c>
      <c r="BV33" s="7">
        <v>0</v>
      </c>
      <c r="BW33" s="7">
        <v>0</v>
      </c>
      <c r="BX33" s="7">
        <v>0</v>
      </c>
      <c r="BY33" s="7">
        <v>0</v>
      </c>
      <c r="BZ33" s="7">
        <v>0</v>
      </c>
      <c r="CA33" s="7">
        <v>0</v>
      </c>
      <c r="CB33" s="7">
        <v>0</v>
      </c>
      <c r="CC33" s="7">
        <v>0</v>
      </c>
      <c r="CD33" s="7">
        <v>0</v>
      </c>
      <c r="CE33" s="7">
        <v>0</v>
      </c>
      <c r="CF33" s="7">
        <v>0</v>
      </c>
      <c r="CG33" s="7">
        <v>0</v>
      </c>
      <c r="CH33" s="7">
        <v>0</v>
      </c>
      <c r="CI33" s="7">
        <v>0</v>
      </c>
      <c r="CJ33" s="7">
        <v>0</v>
      </c>
      <c r="CK33" s="38">
        <f>VLOOKUP($B33,'abrasion emissions'!$O$7:$R$36,2,FALSE)</f>
        <v>1</v>
      </c>
      <c r="CL33" s="38">
        <f>VLOOKUP($B33,'abrasion emissions'!$O$7:$R$36,3,FALSE)</f>
        <v>0</v>
      </c>
      <c r="CM33" s="38">
        <f>VLOOKUP($B33,'abrasion emissions'!$O$7:$R$36,4,FALSE)</f>
        <v>0</v>
      </c>
      <c r="CN33" s="7">
        <f>((SUMIFS('abrasion emissions'!$M$7:$M$34,'abrasion emissions'!$I$7:$I$34,"PM 2.5",'abrasion emissions'!$J$7:$J$34,"urban",'abrasion emissions'!$K$7:$K$34,"Tyre",'abrasion emissions'!$L$7:$L$34,"b")*POWER(('vehicles specifications'!$Q33/1000),(1/SUMIFS('abrasion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specifications'!$P33/1000),(1/SUMIFS('abrasion emissions'!$M$7:$M$34,'abrasion emissions'!$I$7:$I$34,"PM 10",'abrasion emissions'!$J$7:$J$34,"urban",'abrasion emissions'!$K$7:$K$34,"Tyre",'abrasion emissions'!$L$7:$L$34,"c")))))/1000000</f>
        <v>4.214867464251057E-6</v>
      </c>
      <c r="CO33" s="7">
        <f>((SUMIFS('abrasion emissions'!$M$7:$M$34,'abrasion emissions'!$I$7:$I$34,"PM 2.5",'abrasion emissions'!$J$7:$J$34,"rural",'abrasion emissions'!$K$7:$K$34,"Tyre",'abrasion emissions'!$L$7:$L$34,"b")*POWER(('vehicles specifications'!$Q33/1000),(1/SUMIFS('abrasion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specifications'!$P33/1000),(1/SUMIFS('abrasion emissions'!$M$7:$M$34,'abrasion emissions'!$I$7:$I$34,"PM 10",'abrasion emissions'!$J$7:$J$34,"rural",'abrasion emissions'!$K$7:$K$34,"Tyre",'abrasion emissions'!$L$7:$L$34,"c")))))/1000000</f>
        <v>3.2841946951657294E-6</v>
      </c>
      <c r="CP33" s="7">
        <f>((SUMIFS('abrasion emissions'!$M$7:$M$34,'abrasion emissions'!$I$7:$I$34,"PM 2.5",'abrasion emissions'!$J$7:$J$34,"motorway",'abrasion emissions'!$K$7:$K$34,"Tyre",'abrasion emissions'!$L$7:$L$34,"b")*POWER(('vehicles specifications'!$Q33/1000),(1/SUMIFS('abrasion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specifications'!$P33/1000),(1/SUMIFS('abrasion emissions'!$M$7:$M$34,'abrasion emissions'!$I$7:$I$34,"PM 10",'abrasion emissions'!$J$7:$J$34,"motorway",'abrasion emissions'!$K$7:$K$34,"Tyre",'abrasion emissions'!$L$7:$L$34,"c")))))/1000000</f>
        <v>2.8086866581576578E-6</v>
      </c>
      <c r="CQ33" s="7">
        <f>((SUMIFS('abrasion emissions'!$M$7:$M$34,'abrasion emissions'!$I$7:$I$34,"PM 2.5",'abrasion emissions'!$J$7:$J$34,"urban",'abrasion emissions'!$K$7:$K$34,"Brake",'abrasion emissions'!$L$7:$L$34,"b")*POWER(('vehicles specifications'!$Q33/1000),(1/SUMIFS('abrasion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specifications'!$P33/1000),(1/SUMIFS('abrasion emissions'!$M$7:$M$34,'abrasion emissions'!$I$7:$I$34,"PM 10",'abrasion emissions'!$J$7:$J$34,"urban",'abrasion emissions'!$K$7:$K$34,"Brake",'abrasion emissions'!$L$7:$L$34,"c")))))/1000000</f>
        <v>3.9136413205889548E-6</v>
      </c>
      <c r="CR33" s="7">
        <f>((SUMIFS('abrasion emissions'!$M$7:$M$34,'abrasion emissions'!$I$7:$I$34,"PM 2.5",'abrasion emissions'!$J$7:$J$34,"rural",'abrasion emissions'!$K$7:$K$34,"Brake",'abrasion emissions'!$L$7:$L$34,"b")*POWER(('vehicles specifications'!$Q33/1000),(1/SUMIFS('abrasion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specifications'!$P33/1000),(1/SUMIFS('abrasion emissions'!$M$7:$M$34,'abrasion emissions'!$I$7:$I$34,"PM 10",'abrasion emissions'!$J$7:$J$34,"rural",'abrasion emissions'!$K$7:$K$34,"Brake",'abrasion emissions'!$L$7:$L$34,"c")))))/1000000</f>
        <v>1.1368598595792827E-6</v>
      </c>
      <c r="CS33" s="7">
        <f>((SUMIFS('abrasion emissions'!$M$7:$M$34,'abrasion emissions'!$I$7:$I$34,"PM 2.5",'abrasion emissions'!$J$7:$J$34,"motorway",'abrasion emissions'!$K$7:$K$34,"Brake",'abrasion emissions'!$L$7:$L$34,"b")*POWER(('vehicles specifications'!$Q33/1000),(1/SUMIFS('abrasion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specifications'!$P33/1000),(1/SUMIFS('abrasion emissions'!$M$7:$M$34,'abrasion emissions'!$I$7:$I$34,"PM 10",'abrasion emissions'!$J$7:$J$34,"motorway",'abrasion emissions'!$K$7:$K$34,"Brake",'abrasion emissions'!$L$7:$L$34,"c")))))/1000000</f>
        <v>1.9620786898796311E-7</v>
      </c>
      <c r="CT33" s="7">
        <f>((SUMIFS('abrasion emissions'!$M$7:$M$38,'abrasion emissions'!$I$7:$I$38,"PM 2.5",'abrasion emissions'!$K$7:$K$38,"Re-susp.",'abrasion emissions'!$L$7:$L$38,"b")*POWER(('vehicles specifications'!$Q33/1000),(1/SUMIFS('abrasion emissions'!$M$7:$M$38,'abrasion emissions'!$I$7:$I$38,"PM 2.5",'abrasion emissions'!$K$7:$K$38,"Re-susp.",'abrasion emissions'!$L$7:$L$38,"c"))))+
(SUMIFS('abrasion emissions'!$M$7:$M$38,'abrasion emissions'!$I$7:$I$38,"PM 10",'abrasion emissions'!$K$7:$K$38,"Re-susp.",'abrasion emissions'!$L$7:$L$38,"b")*POWER(('vehicles specifications'!$Q33/1000),(1/SUMIFS('abrasion emissions'!$M$7:$M$38,'abrasion emissions'!$I$7:$I$38,"PM 10",'abrasion emissions'!$K$7:$K$38,"Re-susp.",'abrasion emissions'!$L$7:$L$38,"c")))))/1000000</f>
        <v>2.0524799577925673E-6</v>
      </c>
      <c r="CU33" s="7">
        <f>((SUMIFS('abrasion emissions'!$M$7:$M$38,'abrasion emissions'!$I$7:$I$38,"PM 2.5",'abrasion emissions'!$K$7:$K$38,"Road",'abrasion emissions'!$L$7:$L$38,"b")*POWER(('vehicles specifications'!$Q33/1000),(1/SUMIFS('abrasion emissions'!$M$7:$M$38,'abrasion emissions'!$I$7:$I$38,"PM 2.5",'abrasion emissions'!$K$7:$K$38,"Road",'abrasion emissions'!$L$7:$L$38,"c"))))+
(SUMIFS('abrasion emissions'!$M$7:$M$38,'abrasion emissions'!$I$7:$I$38,"PM 10",'abrasion emissions'!$K$7:$K$38,"Road",'abrasion emissions'!$L$7:$L$38,"b")*POWER(('vehicles specifications'!$Q33/1000),(1/SUMIFS('abrasion emissions'!$M$7:$M$38,'abrasion emissions'!$I$7:$I$38,"PM 10",'abrasion emissions'!$K$7:$K$38,"Road",'abrasion emissions'!$L$7:$L$38,"c")))))/1000000+CT33</f>
        <v>4.2743529408913396E-6</v>
      </c>
      <c r="CV33" s="7">
        <f t="shared" si="13"/>
        <v>4.214867464251057E-6</v>
      </c>
      <c r="CW33" s="7">
        <f t="shared" si="14"/>
        <v>3.9136413205889548E-6</v>
      </c>
    </row>
    <row r="34" spans="1:101" x14ac:dyDescent="0.2">
      <c r="A34" t="str">
        <f t="shared" si="39"/>
        <v>Bicycle, electric (&lt;25 km/h) - 2050 - LFP - CH</v>
      </c>
      <c r="B34" t="s">
        <v>264</v>
      </c>
      <c r="D34" s="18">
        <v>2050</v>
      </c>
      <c r="E34" t="s">
        <v>37</v>
      </c>
      <c r="F34" t="s">
        <v>138</v>
      </c>
      <c r="G34" t="s">
        <v>39</v>
      </c>
      <c r="H34" t="s">
        <v>32</v>
      </c>
      <c r="I34" t="s">
        <v>44</v>
      </c>
      <c r="J34">
        <v>20000</v>
      </c>
      <c r="K34">
        <v>2000</v>
      </c>
      <c r="L34" s="2">
        <f t="shared" si="40"/>
        <v>10</v>
      </c>
      <c r="M34">
        <v>1</v>
      </c>
      <c r="N34">
        <v>75</v>
      </c>
      <c r="O34">
        <v>1</v>
      </c>
      <c r="P34" s="2">
        <f t="shared" si="41"/>
        <v>27.58</v>
      </c>
      <c r="Q34" s="2">
        <f t="shared" si="42"/>
        <v>103.58</v>
      </c>
      <c r="R34">
        <v>0.25</v>
      </c>
      <c r="S34" s="2">
        <v>16</v>
      </c>
      <c r="T34" s="1">
        <v>7.0000000000000007E-2</v>
      </c>
      <c r="U34" s="2">
        <f t="shared" si="43"/>
        <v>14.879999999999999</v>
      </c>
      <c r="V34">
        <v>0</v>
      </c>
      <c r="W34">
        <v>3.7</v>
      </c>
      <c r="X34" s="3">
        <v>1.5</v>
      </c>
      <c r="Y34" s="1">
        <v>0.8</v>
      </c>
      <c r="Z34" s="3">
        <f t="shared" si="44"/>
        <v>1.2000000000000002</v>
      </c>
      <c r="AA34" s="3">
        <f>IF(I34&lt;&gt;"",X34/INDEX('energy battery'!$B$3:$D$6,MATCH('vehicles specifications'!$D34,'energy battery'!$A$3:$A$6,0),MATCH('vehicles specifications'!$I34,'energy battery'!$B$2:$D$2,0)),"")</f>
        <v>7.5</v>
      </c>
      <c r="AB34" s="3">
        <f t="shared" si="50"/>
        <v>1.5</v>
      </c>
      <c r="AC34" s="3">
        <f t="shared" si="45"/>
        <v>9</v>
      </c>
      <c r="AD34">
        <v>0</v>
      </c>
      <c r="AE34">
        <v>0</v>
      </c>
      <c r="AF34">
        <v>0</v>
      </c>
      <c r="AG34">
        <v>0</v>
      </c>
      <c r="AH34">
        <v>0</v>
      </c>
      <c r="AI34">
        <v>0.5</v>
      </c>
      <c r="AJ34">
        <v>1</v>
      </c>
      <c r="AK34" s="6">
        <f t="shared" si="38"/>
        <v>1.3333333333333333</v>
      </c>
      <c r="AL34">
        <f t="shared" si="46"/>
        <v>5.5622460000000002E-5</v>
      </c>
      <c r="AM34">
        <v>0</v>
      </c>
      <c r="AN34" s="2">
        <f t="shared" si="47"/>
        <v>14.879999999999999</v>
      </c>
      <c r="AO34" s="2">
        <f t="shared" si="48"/>
        <v>3.7</v>
      </c>
      <c r="AP34" s="2">
        <f t="shared" si="49"/>
        <v>9</v>
      </c>
      <c r="AQ34" s="6" t="s">
        <v>85</v>
      </c>
      <c r="AR34" s="20"/>
      <c r="AS34" s="5">
        <v>2.4670639149862349E-2</v>
      </c>
      <c r="AT34" s="2">
        <f t="shared" si="12"/>
        <v>175.10693475584739</v>
      </c>
      <c r="AU34" s="5">
        <v>0</v>
      </c>
      <c r="AV34" s="5">
        <v>0</v>
      </c>
      <c r="AW34" s="7">
        <v>0</v>
      </c>
      <c r="AX34" s="7">
        <v>0</v>
      </c>
      <c r="AY34" s="7">
        <v>0</v>
      </c>
      <c r="AZ34" s="7">
        <v>0</v>
      </c>
      <c r="BA34" s="7">
        <v>0</v>
      </c>
      <c r="BB34" s="7">
        <v>0</v>
      </c>
      <c r="BC34" s="7">
        <v>0</v>
      </c>
      <c r="BD34" s="7">
        <v>0</v>
      </c>
      <c r="BE34" s="7">
        <v>0</v>
      </c>
      <c r="BF34" s="7">
        <v>0</v>
      </c>
      <c r="BG34" s="7">
        <v>0</v>
      </c>
      <c r="BH34" s="7">
        <v>0</v>
      </c>
      <c r="BI34" s="7">
        <v>0</v>
      </c>
      <c r="BJ34" s="7">
        <v>0</v>
      </c>
      <c r="BK34" s="7">
        <v>0</v>
      </c>
      <c r="BL34" s="7">
        <v>0</v>
      </c>
      <c r="BM34" s="7">
        <v>0</v>
      </c>
      <c r="BN34" s="7">
        <v>0</v>
      </c>
      <c r="BO34" s="7">
        <v>0</v>
      </c>
      <c r="BP34" s="7">
        <v>0</v>
      </c>
      <c r="BQ34" s="7">
        <v>0</v>
      </c>
      <c r="BR34" s="7">
        <v>0</v>
      </c>
      <c r="BS34" s="7">
        <v>0</v>
      </c>
      <c r="BT34" s="7">
        <v>0</v>
      </c>
      <c r="BU34" s="7">
        <v>0</v>
      </c>
      <c r="BV34" s="7">
        <v>0</v>
      </c>
      <c r="BW34" s="7">
        <v>0</v>
      </c>
      <c r="BX34" s="7">
        <v>0</v>
      </c>
      <c r="BY34" s="7">
        <v>0</v>
      </c>
      <c r="BZ34" s="7">
        <v>0</v>
      </c>
      <c r="CA34" s="7">
        <v>0</v>
      </c>
      <c r="CB34" s="7">
        <v>0</v>
      </c>
      <c r="CC34" s="7">
        <v>0</v>
      </c>
      <c r="CD34" s="7">
        <v>0</v>
      </c>
      <c r="CE34" s="7">
        <v>0</v>
      </c>
      <c r="CF34" s="7">
        <v>0</v>
      </c>
      <c r="CG34" s="7">
        <v>0</v>
      </c>
      <c r="CH34" s="7">
        <v>0</v>
      </c>
      <c r="CI34" s="7">
        <v>0</v>
      </c>
      <c r="CJ34" s="7">
        <v>0</v>
      </c>
      <c r="CK34" s="38">
        <f>VLOOKUP($B34,'abrasion emissions'!$O$7:$R$36,2,FALSE)</f>
        <v>1</v>
      </c>
      <c r="CL34" s="38">
        <f>VLOOKUP($B34,'abrasion emissions'!$O$7:$R$36,3,FALSE)</f>
        <v>0</v>
      </c>
      <c r="CM34" s="38">
        <f>VLOOKUP($B34,'abrasion emissions'!$O$7:$R$36,4,FALSE)</f>
        <v>0</v>
      </c>
      <c r="CN34" s="7">
        <f>((SUMIFS('abrasion emissions'!$M$7:$M$34,'abrasion emissions'!$I$7:$I$34,"PM 2.5",'abrasion emissions'!$J$7:$J$34,"urban",'abrasion emissions'!$K$7:$K$34,"Tyre",'abrasion emissions'!$L$7:$L$34,"b")*POWER(('vehicles specifications'!$Q34/1000),(1/SUMIFS('abrasion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specifications'!$P34/1000),(1/SUMIFS('abrasion emissions'!$M$7:$M$34,'abrasion emissions'!$I$7:$I$34,"PM 10",'abrasion emissions'!$J$7:$J$34,"urban",'abrasion emissions'!$K$7:$K$34,"Tyre",'abrasion emissions'!$L$7:$L$34,"c")))))/1000000</f>
        <v>4.2770365426043568E-6</v>
      </c>
      <c r="CO34" s="7">
        <f>((SUMIFS('abrasion emissions'!$M$7:$M$34,'abrasion emissions'!$I$7:$I$34,"PM 2.5",'abrasion emissions'!$J$7:$J$34,"rural",'abrasion emissions'!$K$7:$K$34,"Tyre",'abrasion emissions'!$L$7:$L$34,"b")*POWER(('vehicles specifications'!$Q34/1000),(1/SUMIFS('abrasion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specifications'!$P34/1000),(1/SUMIFS('abrasion emissions'!$M$7:$M$34,'abrasion emissions'!$I$7:$I$34,"PM 10",'abrasion emissions'!$J$7:$J$34,"rural",'abrasion emissions'!$K$7:$K$34,"Tyre",'abrasion emissions'!$L$7:$L$34,"c")))))/1000000</f>
        <v>3.3325435927432185E-6</v>
      </c>
      <c r="CP34" s="7">
        <f>((SUMIFS('abrasion emissions'!$M$7:$M$34,'abrasion emissions'!$I$7:$I$34,"PM 2.5",'abrasion emissions'!$J$7:$J$34,"motorway",'abrasion emissions'!$K$7:$K$34,"Tyre",'abrasion emissions'!$L$7:$L$34,"b")*POWER(('vehicles specifications'!$Q34/1000),(1/SUMIFS('abrasion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specifications'!$P34/1000),(1/SUMIFS('abrasion emissions'!$M$7:$M$34,'abrasion emissions'!$I$7:$I$34,"PM 10",'abrasion emissions'!$J$7:$J$34,"motorway",'abrasion emissions'!$K$7:$K$34,"Tyre",'abrasion emissions'!$L$7:$L$34,"c")))))/1000000</f>
        <v>2.8498024786823089E-6</v>
      </c>
      <c r="CQ34" s="7">
        <f>((SUMIFS('abrasion emissions'!$M$7:$M$34,'abrasion emissions'!$I$7:$I$34,"PM 2.5",'abrasion emissions'!$J$7:$J$34,"urban",'abrasion emissions'!$K$7:$K$34,"Brake",'abrasion emissions'!$L$7:$L$34,"b")*POWER(('vehicles specifications'!$Q34/1000),(1/SUMIFS('abrasion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specifications'!$P34/1000),(1/SUMIFS('abrasion emissions'!$M$7:$M$34,'abrasion emissions'!$I$7:$I$34,"PM 10",'abrasion emissions'!$J$7:$J$34,"urban",'abrasion emissions'!$K$7:$K$34,"Brake",'abrasion emissions'!$L$7:$L$34,"c")))))/1000000</f>
        <v>3.9697750071375261E-6</v>
      </c>
      <c r="CR34" s="7">
        <f>((SUMIFS('abrasion emissions'!$M$7:$M$34,'abrasion emissions'!$I$7:$I$34,"PM 2.5",'abrasion emissions'!$J$7:$J$34,"rural",'abrasion emissions'!$K$7:$K$34,"Brake",'abrasion emissions'!$L$7:$L$34,"b")*POWER(('vehicles specifications'!$Q34/1000),(1/SUMIFS('abrasion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specifications'!$P34/1000),(1/SUMIFS('abrasion emissions'!$M$7:$M$34,'abrasion emissions'!$I$7:$I$34,"PM 10",'abrasion emissions'!$J$7:$J$34,"rural",'abrasion emissions'!$K$7:$K$34,"Brake",'abrasion emissions'!$L$7:$L$34,"c")))))/1000000</f>
        <v>1.1568101026393505E-6</v>
      </c>
      <c r="CS34" s="7">
        <f>((SUMIFS('abrasion emissions'!$M$7:$M$34,'abrasion emissions'!$I$7:$I$34,"PM 2.5",'abrasion emissions'!$J$7:$J$34,"motorway",'abrasion emissions'!$K$7:$K$34,"Brake",'abrasion emissions'!$L$7:$L$34,"b")*POWER(('vehicles specifications'!$Q34/1000),(1/SUMIFS('abrasion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specifications'!$P34/1000),(1/SUMIFS('abrasion emissions'!$M$7:$M$34,'abrasion emissions'!$I$7:$I$34,"PM 10",'abrasion emissions'!$J$7:$J$34,"motorway",'abrasion emissions'!$K$7:$K$34,"Brake",'abrasion emissions'!$L$7:$L$34,"c")))))/1000000</f>
        <v>2.0005621939238598E-7</v>
      </c>
      <c r="CT34" s="7">
        <f>((SUMIFS('abrasion emissions'!$M$7:$M$38,'abrasion emissions'!$I$7:$I$38,"PM 2.5",'abrasion emissions'!$K$7:$K$38,"Re-susp.",'abrasion emissions'!$L$7:$L$38,"b")*POWER(('vehicles specifications'!$Q34/1000),(1/SUMIFS('abrasion emissions'!$M$7:$M$38,'abrasion emissions'!$I$7:$I$38,"PM 2.5",'abrasion emissions'!$K$7:$K$38,"Re-susp.",'abrasion emissions'!$L$7:$L$38,"c"))))+
(SUMIFS('abrasion emissions'!$M$7:$M$38,'abrasion emissions'!$I$7:$I$38,"PM 10",'abrasion emissions'!$K$7:$K$38,"Re-susp.",'abrasion emissions'!$L$7:$L$38,"b")*POWER(('vehicles specifications'!$Q34/1000),(1/SUMIFS('abrasion emissions'!$M$7:$M$38,'abrasion emissions'!$I$7:$I$38,"PM 10",'abrasion emissions'!$K$7:$K$38,"Re-susp.",'abrasion emissions'!$L$7:$L$38,"c")))))/1000000</f>
        <v>2.0875655766346007E-6</v>
      </c>
      <c r="CU34" s="7">
        <f>((SUMIFS('abrasion emissions'!$M$7:$M$38,'abrasion emissions'!$I$7:$I$38,"PM 2.5",'abrasion emissions'!$K$7:$K$38,"Road",'abrasion emissions'!$L$7:$L$38,"b")*POWER(('vehicles specifications'!$Q34/1000),(1/SUMIFS('abrasion emissions'!$M$7:$M$38,'abrasion emissions'!$I$7:$I$38,"PM 2.5",'abrasion emissions'!$K$7:$K$38,"Road",'abrasion emissions'!$L$7:$L$38,"c"))))+
(SUMIFS('abrasion emissions'!$M$7:$M$38,'abrasion emissions'!$I$7:$I$38,"PM 10",'abrasion emissions'!$K$7:$K$38,"Road",'abrasion emissions'!$L$7:$L$38,"b")*POWER(('vehicles specifications'!$Q34/1000),(1/SUMIFS('abrasion emissions'!$M$7:$M$38,'abrasion emissions'!$I$7:$I$38,"PM 10",'abrasion emissions'!$K$7:$K$38,"Road",'abrasion emissions'!$L$7:$L$38,"c")))))/1000000+CT34</f>
        <v>4.3372284590789695E-6</v>
      </c>
      <c r="CV34" s="7">
        <f t="shared" si="13"/>
        <v>4.2770365426043568E-6</v>
      </c>
      <c r="CW34" s="7">
        <f t="shared" si="14"/>
        <v>3.9697750071375261E-6</v>
      </c>
    </row>
    <row r="35" spans="1:101" x14ac:dyDescent="0.2">
      <c r="A35" t="str">
        <f t="shared" si="39"/>
        <v>Bicycle, electric (&lt;45 km/h) - 2020 - LFP - CH</v>
      </c>
      <c r="B35" t="s">
        <v>265</v>
      </c>
      <c r="D35" s="18">
        <v>2020</v>
      </c>
      <c r="E35" t="s">
        <v>37</v>
      </c>
      <c r="F35" t="s">
        <v>138</v>
      </c>
      <c r="G35" t="s">
        <v>39</v>
      </c>
      <c r="H35" t="s">
        <v>32</v>
      </c>
      <c r="I35" t="s">
        <v>44</v>
      </c>
      <c r="J35">
        <v>30000</v>
      </c>
      <c r="K35">
        <v>3000</v>
      </c>
      <c r="L35" s="2">
        <f t="shared" si="40"/>
        <v>10</v>
      </c>
      <c r="M35">
        <v>1</v>
      </c>
      <c r="N35">
        <v>75</v>
      </c>
      <c r="O35">
        <v>1</v>
      </c>
      <c r="P35" s="2">
        <f t="shared" si="41"/>
        <v>28</v>
      </c>
      <c r="Q35" s="2">
        <f t="shared" si="42"/>
        <v>104</v>
      </c>
      <c r="R35">
        <v>0.5</v>
      </c>
      <c r="S35" s="2">
        <v>19</v>
      </c>
      <c r="T35" s="1">
        <v>0</v>
      </c>
      <c r="U35" s="2">
        <f t="shared" si="43"/>
        <v>19</v>
      </c>
      <c r="V35">
        <v>0</v>
      </c>
      <c r="W35">
        <v>5</v>
      </c>
      <c r="X35" s="3">
        <v>0.5</v>
      </c>
      <c r="Y35" s="1">
        <v>0.8</v>
      </c>
      <c r="Z35" s="3">
        <f t="shared" si="44"/>
        <v>0.4</v>
      </c>
      <c r="AA35" s="3">
        <f>IF(I35&lt;&gt;"",X35/INDEX('energy battery'!$B$3:$D$6,MATCH('vehicles specifications'!$D35,'energy battery'!$A$3:$A$6,0),MATCH('vehicles specifications'!$I35,'energy battery'!$B$2:$D$2,0)),"")</f>
        <v>3.3333333333333335</v>
      </c>
      <c r="AB35" s="3">
        <f>IF(AA35&lt;&gt;"",0.2*AA35,"")</f>
        <v>0.66666666666666674</v>
      </c>
      <c r="AC35" s="3">
        <f t="shared" si="45"/>
        <v>4</v>
      </c>
      <c r="AD35">
        <v>1</v>
      </c>
      <c r="AE35">
        <v>0</v>
      </c>
      <c r="AF35">
        <v>0</v>
      </c>
      <c r="AG35">
        <v>0</v>
      </c>
      <c r="AH35">
        <v>0</v>
      </c>
      <c r="AI35">
        <v>0.5</v>
      </c>
      <c r="AJ35">
        <v>1</v>
      </c>
      <c r="AK35" s="6">
        <f t="shared" si="38"/>
        <v>2</v>
      </c>
      <c r="AL35">
        <f t="shared" si="46"/>
        <v>5.5847999999999998E-5</v>
      </c>
      <c r="AM35">
        <v>0</v>
      </c>
      <c r="AN35" s="2">
        <f t="shared" si="47"/>
        <v>19</v>
      </c>
      <c r="AO35" s="2">
        <f t="shared" si="48"/>
        <v>5</v>
      </c>
      <c r="AP35" s="2">
        <f t="shared" si="49"/>
        <v>4</v>
      </c>
      <c r="AQ35" s="6" t="s">
        <v>85</v>
      </c>
      <c r="AR35" s="20"/>
      <c r="AS35" s="5">
        <v>4.5308940859381523E-2</v>
      </c>
      <c r="AT35" s="2">
        <f t="shared" si="12"/>
        <v>31.78180669614656</v>
      </c>
      <c r="AU35" s="5">
        <v>0</v>
      </c>
      <c r="AV35" s="5">
        <v>0</v>
      </c>
      <c r="AW35" s="7">
        <v>0</v>
      </c>
      <c r="AX35" s="7">
        <v>0</v>
      </c>
      <c r="AY35" s="7">
        <v>0</v>
      </c>
      <c r="AZ35" s="7">
        <v>0</v>
      </c>
      <c r="BA35" s="7">
        <v>0</v>
      </c>
      <c r="BB35" s="7">
        <v>0</v>
      </c>
      <c r="BC35" s="7">
        <v>0</v>
      </c>
      <c r="BD35" s="7">
        <v>0</v>
      </c>
      <c r="BE35" s="7">
        <v>0</v>
      </c>
      <c r="BF35" s="7">
        <v>0</v>
      </c>
      <c r="BG35" s="7">
        <v>0</v>
      </c>
      <c r="BH35" s="7">
        <v>0</v>
      </c>
      <c r="BI35" s="7">
        <v>0</v>
      </c>
      <c r="BJ35" s="7">
        <v>0</v>
      </c>
      <c r="BK35" s="7">
        <v>0</v>
      </c>
      <c r="BL35" s="7">
        <v>0</v>
      </c>
      <c r="BM35" s="7">
        <v>0</v>
      </c>
      <c r="BN35" s="7">
        <v>0</v>
      </c>
      <c r="BO35" s="7">
        <v>0</v>
      </c>
      <c r="BP35" s="7">
        <v>0</v>
      </c>
      <c r="BQ35" s="7">
        <v>0</v>
      </c>
      <c r="BR35" s="7">
        <v>0</v>
      </c>
      <c r="BS35" s="7">
        <v>0</v>
      </c>
      <c r="BT35" s="7">
        <v>0</v>
      </c>
      <c r="BU35" s="7">
        <v>0</v>
      </c>
      <c r="BV35" s="7">
        <v>0</v>
      </c>
      <c r="BW35" s="7">
        <v>0</v>
      </c>
      <c r="BX35" s="7">
        <v>0</v>
      </c>
      <c r="BY35" s="7">
        <v>0</v>
      </c>
      <c r="BZ35" s="7">
        <v>0</v>
      </c>
      <c r="CA35" s="7">
        <v>0</v>
      </c>
      <c r="CB35" s="7">
        <v>0</v>
      </c>
      <c r="CC35" s="7">
        <v>0</v>
      </c>
      <c r="CD35" s="7">
        <v>0</v>
      </c>
      <c r="CE35" s="7">
        <v>0</v>
      </c>
      <c r="CF35" s="7">
        <v>0</v>
      </c>
      <c r="CG35" s="7">
        <v>0</v>
      </c>
      <c r="CH35" s="7">
        <v>0</v>
      </c>
      <c r="CI35" s="7">
        <v>0</v>
      </c>
      <c r="CJ35" s="7">
        <v>0</v>
      </c>
      <c r="CK35" s="38">
        <f>VLOOKUP($B35,'abrasion emissions'!$O$7:$R$36,2,FALSE)</f>
        <v>1</v>
      </c>
      <c r="CL35" s="38">
        <f>VLOOKUP($B35,'abrasion emissions'!$O$7:$R$36,3,FALSE)</f>
        <v>0</v>
      </c>
      <c r="CM35" s="38">
        <f>VLOOKUP($B35,'abrasion emissions'!$O$7:$R$36,4,FALSE)</f>
        <v>0</v>
      </c>
      <c r="CN35" s="7">
        <f>((SUMIFS('abrasion emissions'!$M$7:$M$34,'abrasion emissions'!$I$7:$I$34,"PM 2.5",'abrasion emissions'!$J$7:$J$34,"urban",'abrasion emissions'!$K$7:$K$34,"Tyre",'abrasion emissions'!$L$7:$L$34,"b")*POWER(('vehicles specifications'!$Q35/1000),(1/SUMIFS('abrasion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specifications'!$P35/1000),(1/SUMIFS('abrasion emissions'!$M$7:$M$34,'abrasion emissions'!$I$7:$I$34,"PM 10",'abrasion emissions'!$J$7:$J$34,"urban",'abrasion emissions'!$K$7:$K$34,"Tyre",'abrasion emissions'!$L$7:$L$34,"c")))))/1000000</f>
        <v>4.2904503795224867E-6</v>
      </c>
      <c r="CO35" s="7">
        <f>((SUMIFS('abrasion emissions'!$M$7:$M$34,'abrasion emissions'!$I$7:$I$34,"PM 2.5",'abrasion emissions'!$J$7:$J$34,"rural",'abrasion emissions'!$K$7:$K$34,"Tyre",'abrasion emissions'!$L$7:$L$34,"b")*POWER(('vehicles specifications'!$Q35/1000),(1/SUMIFS('abrasion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specifications'!$P35/1000),(1/SUMIFS('abrasion emissions'!$M$7:$M$34,'abrasion emissions'!$I$7:$I$34,"PM 10",'abrasion emissions'!$J$7:$J$34,"rural",'abrasion emissions'!$K$7:$K$34,"Tyre",'abrasion emissions'!$L$7:$L$34,"c")))))/1000000</f>
        <v>3.3429758031278732E-6</v>
      </c>
      <c r="CP35" s="7">
        <f>((SUMIFS('abrasion emissions'!$M$7:$M$34,'abrasion emissions'!$I$7:$I$34,"PM 2.5",'abrasion emissions'!$J$7:$J$34,"motorway",'abrasion emissions'!$K$7:$K$34,"Tyre",'abrasion emissions'!$L$7:$L$34,"b")*POWER(('vehicles specifications'!$Q35/1000),(1/SUMIFS('abrasion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specifications'!$P35/1000),(1/SUMIFS('abrasion emissions'!$M$7:$M$34,'abrasion emissions'!$I$7:$I$34,"PM 10",'abrasion emissions'!$J$7:$J$34,"motorway",'abrasion emissions'!$K$7:$K$34,"Tyre",'abrasion emissions'!$L$7:$L$34,"c")))))/1000000</f>
        <v>2.8586746869088923E-6</v>
      </c>
      <c r="CQ35" s="7">
        <f>((SUMIFS('abrasion emissions'!$M$7:$M$34,'abrasion emissions'!$I$7:$I$34,"PM 2.5",'abrasion emissions'!$J$7:$J$34,"urban",'abrasion emissions'!$K$7:$K$34,"Brake",'abrasion emissions'!$L$7:$L$34,"b")*POWER(('vehicles specifications'!$Q35/1000),(1/SUMIFS('abrasion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specifications'!$P35/1000),(1/SUMIFS('abrasion emissions'!$M$7:$M$34,'abrasion emissions'!$I$7:$I$34,"PM 10",'abrasion emissions'!$J$7:$J$34,"urban",'abrasion emissions'!$K$7:$K$34,"Brake",'abrasion emissions'!$L$7:$L$34,"c")))))/1000000</f>
        <v>3.9819540299553051E-6</v>
      </c>
      <c r="CR35" s="7">
        <f>((SUMIFS('abrasion emissions'!$M$7:$M$34,'abrasion emissions'!$I$7:$I$34,"PM 2.5",'abrasion emissions'!$J$7:$J$34,"rural",'abrasion emissions'!$K$7:$K$34,"Brake",'abrasion emissions'!$L$7:$L$34,"b")*POWER(('vehicles specifications'!$Q35/1000),(1/SUMIFS('abrasion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specifications'!$P35/1000),(1/SUMIFS('abrasion emissions'!$M$7:$M$34,'abrasion emissions'!$I$7:$I$34,"PM 10",'abrasion emissions'!$J$7:$J$34,"rural",'abrasion emissions'!$K$7:$K$34,"Brake",'abrasion emissions'!$L$7:$L$34,"c")))))/1000000</f>
        <v>1.1611551729763012E-6</v>
      </c>
      <c r="CS35" s="7">
        <f>((SUMIFS('abrasion emissions'!$M$7:$M$34,'abrasion emissions'!$I$7:$I$34,"PM 2.5",'abrasion emissions'!$J$7:$J$34,"motorway",'abrasion emissions'!$K$7:$K$34,"Brake",'abrasion emissions'!$L$7:$L$34,"b")*POWER(('vehicles specifications'!$Q35/1000),(1/SUMIFS('abrasion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specifications'!$P35/1000),(1/SUMIFS('abrasion emissions'!$M$7:$M$34,'abrasion emissions'!$I$7:$I$34,"PM 10",'abrasion emissions'!$J$7:$J$34,"motorway",'abrasion emissions'!$K$7:$K$34,"Brake",'abrasion emissions'!$L$7:$L$34,"c")))))/1000000</f>
        <v>2.0089659765514957E-7</v>
      </c>
      <c r="CT35" s="7">
        <f>((SUMIFS('abrasion emissions'!$M$7:$M$38,'abrasion emissions'!$I$7:$I$38,"PM 2.5",'abrasion emissions'!$K$7:$K$38,"Re-susp.",'abrasion emissions'!$L$7:$L$38,"b")*POWER(('vehicles specifications'!$Q35/1000),(1/SUMIFS('abrasion emissions'!$M$7:$M$38,'abrasion emissions'!$I$7:$I$38,"PM 2.5",'abrasion emissions'!$K$7:$K$38,"Re-susp.",'abrasion emissions'!$L$7:$L$38,"c"))))+
(SUMIFS('abrasion emissions'!$M$7:$M$38,'abrasion emissions'!$I$7:$I$38,"PM 10",'abrasion emissions'!$K$7:$K$38,"Re-susp.",'abrasion emissions'!$L$7:$L$38,"b")*POWER(('vehicles specifications'!$Q35/1000),(1/SUMIFS('abrasion emissions'!$M$7:$M$38,'abrasion emissions'!$I$7:$I$38,"PM 10",'abrasion emissions'!$K$7:$K$38,"Re-susp.",'abrasion emissions'!$L$7:$L$38,"c")))))/1000000</f>
        <v>2.0952593765996613E-6</v>
      </c>
      <c r="CU35" s="7">
        <f>((SUMIFS('abrasion emissions'!$M$7:$M$38,'abrasion emissions'!$I$7:$I$38,"PM 2.5",'abrasion emissions'!$K$7:$K$38,"Road",'abrasion emissions'!$L$7:$L$38,"b")*POWER(('vehicles specifications'!$Q35/1000),(1/SUMIFS('abrasion emissions'!$M$7:$M$38,'abrasion emissions'!$I$7:$I$38,"PM 2.5",'abrasion emissions'!$K$7:$K$38,"Road",'abrasion emissions'!$L$7:$L$38,"c"))))+
(SUMIFS('abrasion emissions'!$M$7:$M$38,'abrasion emissions'!$I$7:$I$38,"PM 10",'abrasion emissions'!$K$7:$K$38,"Road",'abrasion emissions'!$L$7:$L$38,"b")*POWER(('vehicles specifications'!$Q35/1000),(1/SUMIFS('abrasion emissions'!$M$7:$M$38,'abrasion emissions'!$I$7:$I$38,"PM 10",'abrasion emissions'!$K$7:$K$38,"Road",'abrasion emissions'!$L$7:$L$38,"c")))))/1000000+CT35</f>
        <v>4.3509995005806409E-6</v>
      </c>
      <c r="CV35" s="7">
        <f t="shared" si="13"/>
        <v>4.2904503795224867E-6</v>
      </c>
      <c r="CW35" s="7">
        <f t="shared" si="14"/>
        <v>3.9819540299553051E-6</v>
      </c>
    </row>
    <row r="36" spans="1:101" x14ac:dyDescent="0.2">
      <c r="A36" t="str">
        <f t="shared" si="39"/>
        <v>Bicycle, electric (&lt;45 km/h) - 2030 - LFP - CH</v>
      </c>
      <c r="B36" t="s">
        <v>265</v>
      </c>
      <c r="D36" s="18">
        <v>2030</v>
      </c>
      <c r="E36" t="s">
        <v>37</v>
      </c>
      <c r="F36" t="s">
        <v>138</v>
      </c>
      <c r="G36" t="s">
        <v>39</v>
      </c>
      <c r="H36" t="s">
        <v>32</v>
      </c>
      <c r="I36" t="s">
        <v>44</v>
      </c>
      <c r="J36">
        <v>30000</v>
      </c>
      <c r="K36">
        <v>3000</v>
      </c>
      <c r="L36" s="2">
        <f t="shared" si="40"/>
        <v>10</v>
      </c>
      <c r="M36">
        <v>1</v>
      </c>
      <c r="N36">
        <v>75</v>
      </c>
      <c r="O36">
        <v>1</v>
      </c>
      <c r="P36" s="2">
        <f t="shared" si="41"/>
        <v>28.663333333333334</v>
      </c>
      <c r="Q36" s="2">
        <f t="shared" si="42"/>
        <v>104.66333333333333</v>
      </c>
      <c r="R36">
        <v>0.5</v>
      </c>
      <c r="S36" s="2">
        <v>19</v>
      </c>
      <c r="T36" s="1">
        <v>0.03</v>
      </c>
      <c r="U36" s="2">
        <f t="shared" si="43"/>
        <v>18.43</v>
      </c>
      <c r="V36">
        <v>0</v>
      </c>
      <c r="W36">
        <v>4.9000000000000004</v>
      </c>
      <c r="X36" s="3">
        <v>0.8</v>
      </c>
      <c r="Y36" s="1">
        <v>0.8</v>
      </c>
      <c r="Z36" s="3">
        <f t="shared" si="44"/>
        <v>0.64000000000000012</v>
      </c>
      <c r="AA36" s="3">
        <f>IF(I36&lt;&gt;"",X36/INDEX('energy battery'!$B$3:$D$6,MATCH('vehicles specifications'!$D36,'energy battery'!$A$3:$A$6,0),MATCH('vehicles specifications'!$I36,'energy battery'!$B$2:$D$2,0)),"")</f>
        <v>4.4444444444444446</v>
      </c>
      <c r="AB36" s="3">
        <f t="shared" ref="AB36:AB38" si="51">IF(AA36&lt;&gt;"",0.2*AA36,"")</f>
        <v>0.88888888888888895</v>
      </c>
      <c r="AC36" s="3">
        <f t="shared" si="45"/>
        <v>5.3333333333333339</v>
      </c>
      <c r="AD36">
        <v>0.5</v>
      </c>
      <c r="AE36">
        <v>0</v>
      </c>
      <c r="AF36">
        <v>0</v>
      </c>
      <c r="AG36">
        <v>0</v>
      </c>
      <c r="AH36">
        <v>0</v>
      </c>
      <c r="AI36">
        <v>0.5</v>
      </c>
      <c r="AJ36">
        <v>1</v>
      </c>
      <c r="AK36" s="6">
        <f t="shared" si="38"/>
        <v>2</v>
      </c>
      <c r="AL36">
        <f t="shared" si="46"/>
        <v>5.6204209999999994E-5</v>
      </c>
      <c r="AM36">
        <v>0</v>
      </c>
      <c r="AN36" s="2">
        <f t="shared" si="47"/>
        <v>18.43</v>
      </c>
      <c r="AO36" s="2">
        <f t="shared" si="48"/>
        <v>4.9000000000000004</v>
      </c>
      <c r="AP36" s="2">
        <f t="shared" si="49"/>
        <v>5.3333333333333339</v>
      </c>
      <c r="AQ36" s="6" t="s">
        <v>85</v>
      </c>
      <c r="AR36" s="20"/>
      <c r="AS36" s="5">
        <v>4.5308940859381523E-2</v>
      </c>
      <c r="AT36" s="2">
        <f t="shared" si="12"/>
        <v>50.850890713834502</v>
      </c>
      <c r="AU36" s="5">
        <v>0</v>
      </c>
      <c r="AV36" s="5">
        <v>0</v>
      </c>
      <c r="AW36" s="7">
        <v>0</v>
      </c>
      <c r="AX36" s="7">
        <v>0</v>
      </c>
      <c r="AY36" s="7">
        <v>0</v>
      </c>
      <c r="AZ36" s="7">
        <v>0</v>
      </c>
      <c r="BA36" s="7">
        <v>0</v>
      </c>
      <c r="BB36" s="7">
        <v>0</v>
      </c>
      <c r="BC36" s="7">
        <v>0</v>
      </c>
      <c r="BD36" s="7">
        <v>0</v>
      </c>
      <c r="BE36" s="7">
        <v>0</v>
      </c>
      <c r="BF36" s="7">
        <v>0</v>
      </c>
      <c r="BG36" s="7">
        <v>0</v>
      </c>
      <c r="BH36" s="7">
        <v>0</v>
      </c>
      <c r="BI36" s="7">
        <v>0</v>
      </c>
      <c r="BJ36" s="7">
        <v>0</v>
      </c>
      <c r="BK36" s="7">
        <v>0</v>
      </c>
      <c r="BL36" s="7">
        <v>0</v>
      </c>
      <c r="BM36" s="7">
        <v>0</v>
      </c>
      <c r="BN36" s="7">
        <v>0</v>
      </c>
      <c r="BO36" s="7">
        <v>0</v>
      </c>
      <c r="BP36" s="7">
        <v>0</v>
      </c>
      <c r="BQ36" s="7">
        <v>0</v>
      </c>
      <c r="BR36" s="7">
        <v>0</v>
      </c>
      <c r="BS36" s="7">
        <v>0</v>
      </c>
      <c r="BT36" s="7">
        <v>0</v>
      </c>
      <c r="BU36" s="7">
        <v>0</v>
      </c>
      <c r="BV36" s="7">
        <v>0</v>
      </c>
      <c r="BW36" s="7">
        <v>0</v>
      </c>
      <c r="BX36" s="7">
        <v>0</v>
      </c>
      <c r="BY36" s="7">
        <v>0</v>
      </c>
      <c r="BZ36" s="7">
        <v>0</v>
      </c>
      <c r="CA36" s="7">
        <v>0</v>
      </c>
      <c r="CB36" s="7">
        <v>0</v>
      </c>
      <c r="CC36" s="7">
        <v>0</v>
      </c>
      <c r="CD36" s="7">
        <v>0</v>
      </c>
      <c r="CE36" s="7">
        <v>0</v>
      </c>
      <c r="CF36" s="7">
        <v>0</v>
      </c>
      <c r="CG36" s="7">
        <v>0</v>
      </c>
      <c r="CH36" s="7">
        <v>0</v>
      </c>
      <c r="CI36" s="7">
        <v>0</v>
      </c>
      <c r="CJ36" s="7">
        <v>0</v>
      </c>
      <c r="CK36" s="38">
        <f>VLOOKUP($B36,'abrasion emissions'!$O$7:$R$36,2,FALSE)</f>
        <v>1</v>
      </c>
      <c r="CL36" s="38">
        <f>VLOOKUP($B36,'abrasion emissions'!$O$7:$R$36,3,FALSE)</f>
        <v>0</v>
      </c>
      <c r="CM36" s="38">
        <f>VLOOKUP($B36,'abrasion emissions'!$O$7:$R$36,4,FALSE)</f>
        <v>0</v>
      </c>
      <c r="CN36" s="7">
        <f>((SUMIFS('abrasion emissions'!$M$7:$M$34,'abrasion emissions'!$I$7:$I$34,"PM 2.5",'abrasion emissions'!$J$7:$J$34,"urban",'abrasion emissions'!$K$7:$K$34,"Tyre",'abrasion emissions'!$L$7:$L$34,"b")*POWER(('vehicles specifications'!$Q36/1000),(1/SUMIFS('abrasion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specifications'!$P36/1000),(1/SUMIFS('abrasion emissions'!$M$7:$M$34,'abrasion emissions'!$I$7:$I$34,"PM 10",'abrasion emissions'!$J$7:$J$34,"urban",'abrasion emissions'!$K$7:$K$34,"Tyre",'abrasion emissions'!$L$7:$L$34,"c")))))/1000000</f>
        <v>4.3114733281385076E-6</v>
      </c>
      <c r="CO36" s="7">
        <f>((SUMIFS('abrasion emissions'!$M$7:$M$34,'abrasion emissions'!$I$7:$I$34,"PM 2.5",'abrasion emissions'!$J$7:$J$34,"rural",'abrasion emissions'!$K$7:$K$34,"Tyre",'abrasion emissions'!$L$7:$L$34,"b")*POWER(('vehicles specifications'!$Q36/1000),(1/SUMIFS('abrasion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specifications'!$P36/1000),(1/SUMIFS('abrasion emissions'!$M$7:$M$34,'abrasion emissions'!$I$7:$I$34,"PM 10",'abrasion emissions'!$J$7:$J$34,"rural",'abrasion emissions'!$K$7:$K$34,"Tyre",'abrasion emissions'!$L$7:$L$34,"c")))))/1000000</f>
        <v>3.3593259586381149E-6</v>
      </c>
      <c r="CP36" s="7">
        <f>((SUMIFS('abrasion emissions'!$M$7:$M$34,'abrasion emissions'!$I$7:$I$34,"PM 2.5",'abrasion emissions'!$J$7:$J$34,"motorway",'abrasion emissions'!$K$7:$K$34,"Tyre",'abrasion emissions'!$L$7:$L$34,"b")*POWER(('vehicles specifications'!$Q36/1000),(1/SUMIFS('abrasion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specifications'!$P36/1000),(1/SUMIFS('abrasion emissions'!$M$7:$M$34,'abrasion emissions'!$I$7:$I$34,"PM 10",'abrasion emissions'!$J$7:$J$34,"motorway",'abrasion emissions'!$K$7:$K$34,"Tyre",'abrasion emissions'!$L$7:$L$34,"c")))))/1000000</f>
        <v>2.8725803558756663E-6</v>
      </c>
      <c r="CQ36" s="7">
        <f>((SUMIFS('abrasion emissions'!$M$7:$M$34,'abrasion emissions'!$I$7:$I$34,"PM 2.5",'abrasion emissions'!$J$7:$J$34,"urban",'abrasion emissions'!$K$7:$K$34,"Brake",'abrasion emissions'!$L$7:$L$34,"b")*POWER(('vehicles specifications'!$Q36/1000),(1/SUMIFS('abrasion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specifications'!$P36/1000),(1/SUMIFS('abrasion emissions'!$M$7:$M$34,'abrasion emissions'!$I$7:$I$34,"PM 10",'abrasion emissions'!$J$7:$J$34,"urban",'abrasion emissions'!$K$7:$K$34,"Brake",'abrasion emissions'!$L$7:$L$34,"c")))))/1000000</f>
        <v>4.0010887186766688E-6</v>
      </c>
      <c r="CR36" s="7">
        <f>((SUMIFS('abrasion emissions'!$M$7:$M$34,'abrasion emissions'!$I$7:$I$34,"PM 2.5",'abrasion emissions'!$J$7:$J$34,"rural",'abrasion emissions'!$K$7:$K$34,"Brake",'abrasion emissions'!$L$7:$L$34,"b")*POWER(('vehicles specifications'!$Q36/1000),(1/SUMIFS('abrasion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specifications'!$P36/1000),(1/SUMIFS('abrasion emissions'!$M$7:$M$34,'abrasion emissions'!$I$7:$I$34,"PM 10",'abrasion emissions'!$J$7:$J$34,"rural",'abrasion emissions'!$K$7:$K$34,"Brake",'abrasion emissions'!$L$7:$L$34,"c")))))/1000000</f>
        <v>1.1679934461124606E-6</v>
      </c>
      <c r="CS36" s="7">
        <f>((SUMIFS('abrasion emissions'!$M$7:$M$34,'abrasion emissions'!$I$7:$I$34,"PM 2.5",'abrasion emissions'!$J$7:$J$34,"motorway",'abrasion emissions'!$K$7:$K$34,"Brake",'abrasion emissions'!$L$7:$L$34,"b")*POWER(('vehicles specifications'!$Q36/1000),(1/SUMIFS('abrasion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specifications'!$P36/1000),(1/SUMIFS('abrasion emissions'!$M$7:$M$34,'abrasion emissions'!$I$7:$I$34,"PM 10",'abrasion emissions'!$J$7:$J$34,"motorway",'abrasion emissions'!$K$7:$K$34,"Brake",'abrasion emissions'!$L$7:$L$34,"c")))))/1000000</f>
        <v>2.0222075652271754E-7</v>
      </c>
      <c r="CT36" s="7">
        <f>((SUMIFS('abrasion emissions'!$M$7:$M$38,'abrasion emissions'!$I$7:$I$38,"PM 2.5",'abrasion emissions'!$K$7:$K$38,"Re-susp.",'abrasion emissions'!$L$7:$L$38,"b")*POWER(('vehicles specifications'!$Q36/1000),(1/SUMIFS('abrasion emissions'!$M$7:$M$38,'abrasion emissions'!$I$7:$I$38,"PM 2.5",'abrasion emissions'!$K$7:$K$38,"Re-susp.",'abrasion emissions'!$L$7:$L$38,"c"))))+
(SUMIFS('abrasion emissions'!$M$7:$M$38,'abrasion emissions'!$I$7:$I$38,"PM 10",'abrasion emissions'!$K$7:$K$38,"Re-susp.",'abrasion emissions'!$L$7:$L$38,"b")*POWER(('vehicles specifications'!$Q36/1000),(1/SUMIFS('abrasion emissions'!$M$7:$M$38,'abrasion emissions'!$I$7:$I$38,"PM 10",'abrasion emissions'!$K$7:$K$38,"Re-susp.",'abrasion emissions'!$L$7:$L$38,"c")))))/1000000</f>
        <v>2.1074049480443473E-6</v>
      </c>
      <c r="CU36" s="7">
        <f>((SUMIFS('abrasion emissions'!$M$7:$M$38,'abrasion emissions'!$I$7:$I$38,"PM 2.5",'abrasion emissions'!$K$7:$K$38,"Road",'abrasion emissions'!$L$7:$L$38,"b")*POWER(('vehicles specifications'!$Q36/1000),(1/SUMIFS('abrasion emissions'!$M$7:$M$38,'abrasion emissions'!$I$7:$I$38,"PM 2.5",'abrasion emissions'!$K$7:$K$38,"Road",'abrasion emissions'!$L$7:$L$38,"c"))))+
(SUMIFS('abrasion emissions'!$M$7:$M$38,'abrasion emissions'!$I$7:$I$38,"PM 10",'abrasion emissions'!$K$7:$K$38,"Road",'abrasion emissions'!$L$7:$L$38,"b")*POWER(('vehicles specifications'!$Q36/1000),(1/SUMIFS('abrasion emissions'!$M$7:$M$38,'abrasion emissions'!$I$7:$I$38,"PM 10",'abrasion emissions'!$K$7:$K$38,"Road",'abrasion emissions'!$L$7:$L$38,"c")))))/1000000+CT36</f>
        <v>4.3727266199853108E-6</v>
      </c>
      <c r="CV36" s="7">
        <f t="shared" si="13"/>
        <v>4.3114733281385076E-6</v>
      </c>
      <c r="CW36" s="7">
        <f t="shared" si="14"/>
        <v>4.0010887186766688E-6</v>
      </c>
    </row>
    <row r="37" spans="1:101" x14ac:dyDescent="0.2">
      <c r="A37" t="str">
        <f t="shared" si="39"/>
        <v>Bicycle, electric (&lt;45 km/h) - 2040 - LFP - CH</v>
      </c>
      <c r="B37" t="s">
        <v>265</v>
      </c>
      <c r="D37" s="18">
        <v>2040</v>
      </c>
      <c r="E37" t="s">
        <v>37</v>
      </c>
      <c r="F37" t="s">
        <v>138</v>
      </c>
      <c r="G37" t="s">
        <v>39</v>
      </c>
      <c r="H37" t="s">
        <v>32</v>
      </c>
      <c r="I37" t="s">
        <v>44</v>
      </c>
      <c r="J37">
        <v>30000</v>
      </c>
      <c r="K37">
        <v>3000</v>
      </c>
      <c r="L37" s="2">
        <f t="shared" si="40"/>
        <v>10</v>
      </c>
      <c r="M37">
        <v>1</v>
      </c>
      <c r="N37">
        <v>75</v>
      </c>
      <c r="O37">
        <v>1</v>
      </c>
      <c r="P37" s="2">
        <f t="shared" si="41"/>
        <v>29.416666666666664</v>
      </c>
      <c r="Q37" s="2">
        <f t="shared" si="42"/>
        <v>105.41666666666666</v>
      </c>
      <c r="R37">
        <v>0.5</v>
      </c>
      <c r="S37" s="2">
        <v>19</v>
      </c>
      <c r="T37" s="1">
        <v>0.05</v>
      </c>
      <c r="U37" s="2">
        <f t="shared" si="43"/>
        <v>18.05</v>
      </c>
      <c r="V37">
        <v>0</v>
      </c>
      <c r="W37">
        <v>4.7</v>
      </c>
      <c r="X37" s="3">
        <v>1</v>
      </c>
      <c r="Y37" s="1">
        <v>0.8</v>
      </c>
      <c r="Z37" s="3">
        <f t="shared" si="44"/>
        <v>0.8</v>
      </c>
      <c r="AA37" s="3">
        <f>IF(I37&lt;&gt;"",X37/INDEX('energy battery'!$B$3:$D$6,MATCH('vehicles specifications'!$D37,'energy battery'!$A$3:$A$6,0),MATCH('vehicles specifications'!$I37,'energy battery'!$B$2:$D$2,0)),"")</f>
        <v>5.5555555555555554</v>
      </c>
      <c r="AB37" s="3">
        <f t="shared" si="51"/>
        <v>1.1111111111111112</v>
      </c>
      <c r="AC37" s="3">
        <f t="shared" si="45"/>
        <v>6.6666666666666661</v>
      </c>
      <c r="AD37">
        <v>0.25</v>
      </c>
      <c r="AE37">
        <v>0</v>
      </c>
      <c r="AF37">
        <v>0</v>
      </c>
      <c r="AG37">
        <v>0</v>
      </c>
      <c r="AH37">
        <v>0</v>
      </c>
      <c r="AI37">
        <v>0.5</v>
      </c>
      <c r="AJ37">
        <v>1</v>
      </c>
      <c r="AK37" s="6">
        <f t="shared" si="38"/>
        <v>2</v>
      </c>
      <c r="AL37">
        <f t="shared" si="46"/>
        <v>5.6608749999999996E-5</v>
      </c>
      <c r="AM37">
        <v>0</v>
      </c>
      <c r="AN37" s="2">
        <f t="shared" si="47"/>
        <v>18.05</v>
      </c>
      <c r="AO37" s="2">
        <f t="shared" si="48"/>
        <v>4.7</v>
      </c>
      <c r="AP37" s="2">
        <f t="shared" si="49"/>
        <v>6.6666666666666661</v>
      </c>
      <c r="AQ37" s="6" t="s">
        <v>85</v>
      </c>
      <c r="AR37" s="20"/>
      <c r="AS37" s="5">
        <v>4.5308940859381523E-2</v>
      </c>
      <c r="AT37" s="2">
        <f t="shared" si="12"/>
        <v>63.563613392293121</v>
      </c>
      <c r="AU37" s="5">
        <v>0</v>
      </c>
      <c r="AV37" s="5">
        <v>0</v>
      </c>
      <c r="AW37" s="7">
        <v>0</v>
      </c>
      <c r="AX37" s="7">
        <v>0</v>
      </c>
      <c r="AY37" s="7">
        <v>0</v>
      </c>
      <c r="AZ37" s="7">
        <v>0</v>
      </c>
      <c r="BA37" s="7">
        <v>0</v>
      </c>
      <c r="BB37" s="7">
        <v>0</v>
      </c>
      <c r="BC37" s="7">
        <v>0</v>
      </c>
      <c r="BD37" s="7">
        <v>0</v>
      </c>
      <c r="BE37" s="7">
        <v>0</v>
      </c>
      <c r="BF37" s="7">
        <v>0</v>
      </c>
      <c r="BG37" s="7">
        <v>0</v>
      </c>
      <c r="BH37" s="7">
        <v>0</v>
      </c>
      <c r="BI37" s="7">
        <v>0</v>
      </c>
      <c r="BJ37" s="7">
        <v>0</v>
      </c>
      <c r="BK37" s="7">
        <v>0</v>
      </c>
      <c r="BL37" s="7">
        <v>0</v>
      </c>
      <c r="BM37" s="7">
        <v>0</v>
      </c>
      <c r="BN37" s="7">
        <v>0</v>
      </c>
      <c r="BO37" s="7">
        <v>0</v>
      </c>
      <c r="BP37" s="7">
        <v>0</v>
      </c>
      <c r="BQ37" s="7">
        <v>0</v>
      </c>
      <c r="BR37" s="7">
        <v>0</v>
      </c>
      <c r="BS37" s="7">
        <v>0</v>
      </c>
      <c r="BT37" s="7">
        <v>0</v>
      </c>
      <c r="BU37" s="7">
        <v>0</v>
      </c>
      <c r="BV37" s="7">
        <v>0</v>
      </c>
      <c r="BW37" s="7">
        <v>0</v>
      </c>
      <c r="BX37" s="7">
        <v>0</v>
      </c>
      <c r="BY37" s="7">
        <v>0</v>
      </c>
      <c r="BZ37" s="7">
        <v>0</v>
      </c>
      <c r="CA37" s="7">
        <v>0</v>
      </c>
      <c r="CB37" s="7">
        <v>0</v>
      </c>
      <c r="CC37" s="7">
        <v>0</v>
      </c>
      <c r="CD37" s="7">
        <v>0</v>
      </c>
      <c r="CE37" s="7">
        <v>0</v>
      </c>
      <c r="CF37" s="7">
        <v>0</v>
      </c>
      <c r="CG37" s="7">
        <v>0</v>
      </c>
      <c r="CH37" s="7">
        <v>0</v>
      </c>
      <c r="CI37" s="7">
        <v>0</v>
      </c>
      <c r="CJ37" s="7">
        <v>0</v>
      </c>
      <c r="CK37" s="38">
        <f>VLOOKUP($B37,'abrasion emissions'!$O$7:$R$36,2,FALSE)</f>
        <v>1</v>
      </c>
      <c r="CL37" s="38">
        <f>VLOOKUP($B37,'abrasion emissions'!$O$7:$R$36,3,FALSE)</f>
        <v>0</v>
      </c>
      <c r="CM37" s="38">
        <f>VLOOKUP($B37,'abrasion emissions'!$O$7:$R$36,4,FALSE)</f>
        <v>0</v>
      </c>
      <c r="CN37" s="7">
        <f>((SUMIFS('abrasion emissions'!$M$7:$M$34,'abrasion emissions'!$I$7:$I$34,"PM 2.5",'abrasion emissions'!$J$7:$J$34,"urban",'abrasion emissions'!$K$7:$K$34,"Tyre",'abrasion emissions'!$L$7:$L$34,"b")*POWER(('vehicles specifications'!$Q37/1000),(1/SUMIFS('abrasion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specifications'!$P37/1000),(1/SUMIFS('abrasion emissions'!$M$7:$M$34,'abrasion emissions'!$I$7:$I$34,"PM 10",'abrasion emissions'!$J$7:$J$34,"urban",'abrasion emissions'!$K$7:$K$34,"Tyre",'abrasion emissions'!$L$7:$L$34,"c")))))/1000000</f>
        <v>4.3351145553325093E-6</v>
      </c>
      <c r="CO37" s="7">
        <f>((SUMIFS('abrasion emissions'!$M$7:$M$34,'abrasion emissions'!$I$7:$I$34,"PM 2.5",'abrasion emissions'!$J$7:$J$34,"rural",'abrasion emissions'!$K$7:$K$34,"Tyre",'abrasion emissions'!$L$7:$L$34,"b")*POWER(('vehicles specifications'!$Q37/1000),(1/SUMIFS('abrasion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specifications'!$P37/1000),(1/SUMIFS('abrasion emissions'!$M$7:$M$34,'abrasion emissions'!$I$7:$I$34,"PM 10",'abrasion emissions'!$J$7:$J$34,"rural",'abrasion emissions'!$K$7:$K$34,"Tyre",'abrasion emissions'!$L$7:$L$34,"c")))))/1000000</f>
        <v>3.3777126920472523E-6</v>
      </c>
      <c r="CP37" s="7">
        <f>((SUMIFS('abrasion emissions'!$M$7:$M$34,'abrasion emissions'!$I$7:$I$34,"PM 2.5",'abrasion emissions'!$J$7:$J$34,"motorway",'abrasion emissions'!$K$7:$K$34,"Tyre",'abrasion emissions'!$L$7:$L$34,"b")*POWER(('vehicles specifications'!$Q37/1000),(1/SUMIFS('abrasion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specifications'!$P37/1000),(1/SUMIFS('abrasion emissions'!$M$7:$M$34,'abrasion emissions'!$I$7:$I$34,"PM 10",'abrasion emissions'!$J$7:$J$34,"motorway",'abrasion emissions'!$K$7:$K$34,"Tyre",'abrasion emissions'!$L$7:$L$34,"c")))))/1000000</f>
        <v>2.8882187878272151E-6</v>
      </c>
      <c r="CQ37" s="7">
        <f>((SUMIFS('abrasion emissions'!$M$7:$M$34,'abrasion emissions'!$I$7:$I$34,"PM 2.5",'abrasion emissions'!$J$7:$J$34,"urban",'abrasion emissions'!$K$7:$K$34,"Brake",'abrasion emissions'!$L$7:$L$34,"b")*POWER(('vehicles specifications'!$Q37/1000),(1/SUMIFS('abrasion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specifications'!$P37/1000),(1/SUMIFS('abrasion emissions'!$M$7:$M$34,'abrasion emissions'!$I$7:$I$34,"PM 10",'abrasion emissions'!$J$7:$J$34,"urban",'abrasion emissions'!$K$7:$K$34,"Brake",'abrasion emissions'!$L$7:$L$34,"c")))))/1000000</f>
        <v>4.0226741413672842E-6</v>
      </c>
      <c r="CR37" s="7">
        <f>((SUMIFS('abrasion emissions'!$M$7:$M$34,'abrasion emissions'!$I$7:$I$34,"PM 2.5",'abrasion emissions'!$J$7:$J$34,"rural",'abrasion emissions'!$K$7:$K$34,"Brake",'abrasion emissions'!$L$7:$L$34,"b")*POWER(('vehicles specifications'!$Q37/1000),(1/SUMIFS('abrasion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specifications'!$P37/1000),(1/SUMIFS('abrasion emissions'!$M$7:$M$34,'abrasion emissions'!$I$7:$I$34,"PM 10",'abrasion emissions'!$J$7:$J$34,"rural",'abrasion emissions'!$K$7:$K$34,"Brake",'abrasion emissions'!$L$7:$L$34,"c")))))/1000000</f>
        <v>1.175724408499676E-6</v>
      </c>
      <c r="CS37" s="7">
        <f>((SUMIFS('abrasion emissions'!$M$7:$M$34,'abrasion emissions'!$I$7:$I$34,"PM 2.5",'abrasion emissions'!$J$7:$J$34,"motorway",'abrasion emissions'!$K$7:$K$34,"Brake",'abrasion emissions'!$L$7:$L$34,"b")*POWER(('vehicles specifications'!$Q37/1000),(1/SUMIFS('abrasion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specifications'!$P37/1000),(1/SUMIFS('abrasion emissions'!$M$7:$M$34,'abrasion emissions'!$I$7:$I$34,"PM 10",'abrasion emissions'!$J$7:$J$34,"motorway",'abrasion emissions'!$K$7:$K$34,"Brake",'abrasion emissions'!$L$7:$L$34,"c")))))/1000000</f>
        <v>2.0372005501270186E-7</v>
      </c>
      <c r="CT37" s="7">
        <f>((SUMIFS('abrasion emissions'!$M$7:$M$38,'abrasion emissions'!$I$7:$I$38,"PM 2.5",'abrasion emissions'!$K$7:$K$38,"Re-susp.",'abrasion emissions'!$L$7:$L$38,"b")*POWER(('vehicles specifications'!$Q37/1000),(1/SUMIFS('abrasion emissions'!$M$7:$M$38,'abrasion emissions'!$I$7:$I$38,"PM 2.5",'abrasion emissions'!$K$7:$K$38,"Re-susp.",'abrasion emissions'!$L$7:$L$38,"c"))))+
(SUMIFS('abrasion emissions'!$M$7:$M$38,'abrasion emissions'!$I$7:$I$38,"PM 10",'abrasion emissions'!$K$7:$K$38,"Re-susp.",'abrasion emissions'!$L$7:$L$38,"b")*POWER(('vehicles specifications'!$Q37/1000),(1/SUMIFS('abrasion emissions'!$M$7:$M$38,'abrasion emissions'!$I$7:$I$38,"PM 10",'abrasion emissions'!$K$7:$K$38,"Re-susp.",'abrasion emissions'!$L$7:$L$38,"c")))))/1000000</f>
        <v>2.121189929715088E-6</v>
      </c>
      <c r="CU37" s="7">
        <f>((SUMIFS('abrasion emissions'!$M$7:$M$38,'abrasion emissions'!$I$7:$I$38,"PM 2.5",'abrasion emissions'!$K$7:$K$38,"Road",'abrasion emissions'!$L$7:$L$38,"b")*POWER(('vehicles specifications'!$Q37/1000),(1/SUMIFS('abrasion emissions'!$M$7:$M$38,'abrasion emissions'!$I$7:$I$38,"PM 2.5",'abrasion emissions'!$K$7:$K$38,"Road",'abrasion emissions'!$L$7:$L$38,"c"))))+
(SUMIFS('abrasion emissions'!$M$7:$M$38,'abrasion emissions'!$I$7:$I$38,"PM 10",'abrasion emissions'!$K$7:$K$38,"Road",'abrasion emissions'!$L$7:$L$38,"b")*POWER(('vehicles specifications'!$Q37/1000),(1/SUMIFS('abrasion emissions'!$M$7:$M$38,'abrasion emissions'!$I$7:$I$38,"PM 10",'abrasion emissions'!$K$7:$K$38,"Road",'abrasion emissions'!$L$7:$L$38,"c")))))/1000000+CT37</f>
        <v>4.3973686458701393E-6</v>
      </c>
      <c r="CV37" s="7">
        <f t="shared" si="13"/>
        <v>4.3351145553325093E-6</v>
      </c>
      <c r="CW37" s="7">
        <f t="shared" si="14"/>
        <v>4.0226741413672842E-6</v>
      </c>
    </row>
    <row r="38" spans="1:101" x14ac:dyDescent="0.2">
      <c r="A38" t="str">
        <f t="shared" si="39"/>
        <v>Bicycle, electric (&lt;45 km/h) - 2050 - LFP - CH</v>
      </c>
      <c r="B38" t="s">
        <v>265</v>
      </c>
      <c r="D38" s="18">
        <v>2050</v>
      </c>
      <c r="E38" t="s">
        <v>37</v>
      </c>
      <c r="F38" t="s">
        <v>138</v>
      </c>
      <c r="G38" t="s">
        <v>39</v>
      </c>
      <c r="H38" t="s">
        <v>32</v>
      </c>
      <c r="I38" t="s">
        <v>44</v>
      </c>
      <c r="J38">
        <v>30000</v>
      </c>
      <c r="K38">
        <v>3000</v>
      </c>
      <c r="L38" s="2">
        <f t="shared" si="40"/>
        <v>10</v>
      </c>
      <c r="M38">
        <v>1</v>
      </c>
      <c r="N38">
        <v>75</v>
      </c>
      <c r="O38">
        <v>1</v>
      </c>
      <c r="P38" s="2">
        <f t="shared" si="41"/>
        <v>31.269999999999996</v>
      </c>
      <c r="Q38" s="2">
        <f t="shared" si="42"/>
        <v>107.27</v>
      </c>
      <c r="R38">
        <v>0.5</v>
      </c>
      <c r="S38" s="2">
        <v>19</v>
      </c>
      <c r="T38" s="1">
        <v>7.0000000000000007E-2</v>
      </c>
      <c r="U38" s="2">
        <f t="shared" si="43"/>
        <v>17.669999999999998</v>
      </c>
      <c r="V38">
        <v>0</v>
      </c>
      <c r="W38">
        <v>4.5999999999999996</v>
      </c>
      <c r="X38" s="3">
        <v>1.5</v>
      </c>
      <c r="Y38" s="1">
        <v>0.8</v>
      </c>
      <c r="Z38" s="3">
        <f t="shared" si="44"/>
        <v>1.2000000000000002</v>
      </c>
      <c r="AA38" s="3">
        <f>IF(I38&lt;&gt;"",X38/INDEX('energy battery'!$B$3:$D$6,MATCH('vehicles specifications'!$D38,'energy battery'!$A$3:$A$6,0),MATCH('vehicles specifications'!$I38,'energy battery'!$B$2:$D$2,0)),"")</f>
        <v>7.5</v>
      </c>
      <c r="AB38" s="3">
        <f t="shared" si="51"/>
        <v>1.5</v>
      </c>
      <c r="AC38" s="3">
        <f t="shared" si="45"/>
        <v>9</v>
      </c>
      <c r="AD38">
        <v>0</v>
      </c>
      <c r="AE38">
        <v>0</v>
      </c>
      <c r="AF38">
        <v>0</v>
      </c>
      <c r="AG38">
        <v>0</v>
      </c>
      <c r="AH38">
        <v>0</v>
      </c>
      <c r="AI38">
        <v>0.5</v>
      </c>
      <c r="AJ38">
        <v>1</v>
      </c>
      <c r="AK38" s="6">
        <f t="shared" si="38"/>
        <v>2</v>
      </c>
      <c r="AL38">
        <f t="shared" si="46"/>
        <v>5.7603989999999999E-5</v>
      </c>
      <c r="AM38">
        <v>0</v>
      </c>
      <c r="AN38" s="2">
        <f t="shared" si="47"/>
        <v>17.669999999999998</v>
      </c>
      <c r="AO38" s="2">
        <f t="shared" si="48"/>
        <v>4.5999999999999996</v>
      </c>
      <c r="AP38" s="2">
        <f t="shared" si="49"/>
        <v>9</v>
      </c>
      <c r="AQ38" s="6" t="s">
        <v>85</v>
      </c>
      <c r="AR38" s="20"/>
      <c r="AS38" s="5">
        <v>4.5308940859381523E-2</v>
      </c>
      <c r="AT38" s="2">
        <f t="shared" si="12"/>
        <v>95.345420088439695</v>
      </c>
      <c r="AU38" s="5">
        <v>0</v>
      </c>
      <c r="AV38" s="5">
        <v>0</v>
      </c>
      <c r="AW38" s="7">
        <v>0</v>
      </c>
      <c r="AX38" s="7">
        <v>0</v>
      </c>
      <c r="AY38" s="7">
        <v>0</v>
      </c>
      <c r="AZ38" s="7">
        <v>0</v>
      </c>
      <c r="BA38" s="7">
        <v>0</v>
      </c>
      <c r="BB38" s="7">
        <v>0</v>
      </c>
      <c r="BC38" s="7">
        <v>0</v>
      </c>
      <c r="BD38" s="7">
        <v>0</v>
      </c>
      <c r="BE38" s="7">
        <v>0</v>
      </c>
      <c r="BF38" s="7">
        <v>0</v>
      </c>
      <c r="BG38" s="7">
        <v>0</v>
      </c>
      <c r="BH38" s="7">
        <v>0</v>
      </c>
      <c r="BI38" s="7">
        <v>0</v>
      </c>
      <c r="BJ38" s="7">
        <v>0</v>
      </c>
      <c r="BK38" s="7">
        <v>0</v>
      </c>
      <c r="BL38" s="7">
        <v>0</v>
      </c>
      <c r="BM38" s="7">
        <v>0</v>
      </c>
      <c r="BN38" s="7">
        <v>0</v>
      </c>
      <c r="BO38" s="7">
        <v>0</v>
      </c>
      <c r="BP38" s="7">
        <v>0</v>
      </c>
      <c r="BQ38" s="7">
        <v>0</v>
      </c>
      <c r="BR38" s="7">
        <v>0</v>
      </c>
      <c r="BS38" s="7">
        <v>0</v>
      </c>
      <c r="BT38" s="7">
        <v>0</v>
      </c>
      <c r="BU38" s="7">
        <v>0</v>
      </c>
      <c r="BV38" s="7">
        <v>0</v>
      </c>
      <c r="BW38" s="7">
        <v>0</v>
      </c>
      <c r="BX38" s="7">
        <v>0</v>
      </c>
      <c r="BY38" s="7">
        <v>0</v>
      </c>
      <c r="BZ38" s="7">
        <v>0</v>
      </c>
      <c r="CA38" s="7">
        <v>0</v>
      </c>
      <c r="CB38" s="7">
        <v>0</v>
      </c>
      <c r="CC38" s="7">
        <v>0</v>
      </c>
      <c r="CD38" s="7">
        <v>0</v>
      </c>
      <c r="CE38" s="7">
        <v>0</v>
      </c>
      <c r="CF38" s="7">
        <v>0</v>
      </c>
      <c r="CG38" s="7">
        <v>0</v>
      </c>
      <c r="CH38" s="7">
        <v>0</v>
      </c>
      <c r="CI38" s="7">
        <v>0</v>
      </c>
      <c r="CJ38" s="7">
        <v>0</v>
      </c>
      <c r="CK38" s="38">
        <f>VLOOKUP($B38,'abrasion emissions'!$O$7:$R$36,2,FALSE)</f>
        <v>1</v>
      </c>
      <c r="CL38" s="38">
        <f>VLOOKUP($B38,'abrasion emissions'!$O$7:$R$36,3,FALSE)</f>
        <v>0</v>
      </c>
      <c r="CM38" s="38">
        <f>VLOOKUP($B38,'abrasion emissions'!$O$7:$R$36,4,FALSE)</f>
        <v>0</v>
      </c>
      <c r="CN38" s="7">
        <f>((SUMIFS('abrasion emissions'!$M$7:$M$34,'abrasion emissions'!$I$7:$I$34,"PM 2.5",'abrasion emissions'!$J$7:$J$34,"urban",'abrasion emissions'!$K$7:$K$34,"Tyre",'abrasion emissions'!$L$7:$L$34,"b")*POWER(('vehicles specifications'!$Q38/1000),(1/SUMIFS('abrasion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specifications'!$P38/1000),(1/SUMIFS('abrasion emissions'!$M$7:$M$34,'abrasion emissions'!$I$7:$I$34,"PM 10",'abrasion emissions'!$J$7:$J$34,"urban",'abrasion emissions'!$K$7:$K$34,"Tyre",'abrasion emissions'!$L$7:$L$34,"c")))))/1000000</f>
        <v>4.3922694420035416E-6</v>
      </c>
      <c r="CO38" s="7">
        <f>((SUMIFS('abrasion emissions'!$M$7:$M$34,'abrasion emissions'!$I$7:$I$34,"PM 2.5",'abrasion emissions'!$J$7:$J$34,"rural",'abrasion emissions'!$K$7:$K$34,"Tyre",'abrasion emissions'!$L$7:$L$34,"b")*POWER(('vehicles specifications'!$Q38/1000),(1/SUMIFS('abrasion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specifications'!$P38/1000),(1/SUMIFS('abrasion emissions'!$M$7:$M$34,'abrasion emissions'!$I$7:$I$34,"PM 10",'abrasion emissions'!$J$7:$J$34,"rural",'abrasion emissions'!$K$7:$K$34,"Tyre",'abrasion emissions'!$L$7:$L$34,"c")))))/1000000</f>
        <v>3.4221654796364176E-6</v>
      </c>
      <c r="CP38" s="7">
        <f>((SUMIFS('abrasion emissions'!$M$7:$M$34,'abrasion emissions'!$I$7:$I$34,"PM 2.5",'abrasion emissions'!$J$7:$J$34,"motorway",'abrasion emissions'!$K$7:$K$34,"Tyre",'abrasion emissions'!$L$7:$L$34,"b")*POWER(('vehicles specifications'!$Q38/1000),(1/SUMIFS('abrasion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specifications'!$P38/1000),(1/SUMIFS('abrasion emissions'!$M$7:$M$34,'abrasion emissions'!$I$7:$I$34,"PM 10",'abrasion emissions'!$J$7:$J$34,"motorway",'abrasion emissions'!$K$7:$K$34,"Tyre",'abrasion emissions'!$L$7:$L$34,"c")))))/1000000</f>
        <v>2.926029976679209E-6</v>
      </c>
      <c r="CQ38" s="7">
        <f>((SUMIFS('abrasion emissions'!$M$7:$M$34,'abrasion emissions'!$I$7:$I$34,"PM 2.5",'abrasion emissions'!$J$7:$J$34,"urban",'abrasion emissions'!$K$7:$K$34,"Brake",'abrasion emissions'!$L$7:$L$34,"b")*POWER(('vehicles specifications'!$Q38/1000),(1/SUMIFS('abrasion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specifications'!$P38/1000),(1/SUMIFS('abrasion emissions'!$M$7:$M$34,'abrasion emissions'!$I$7:$I$34,"PM 10",'abrasion emissions'!$J$7:$J$34,"urban",'abrasion emissions'!$K$7:$K$34,"Brake",'abrasion emissions'!$L$7:$L$34,"c")))))/1000000</f>
        <v>4.0751477180321837E-6</v>
      </c>
      <c r="CR38" s="7">
        <f>((SUMIFS('abrasion emissions'!$M$7:$M$34,'abrasion emissions'!$I$7:$I$34,"PM 2.5",'abrasion emissions'!$J$7:$J$34,"rural",'abrasion emissions'!$K$7:$K$34,"Brake",'abrasion emissions'!$L$7:$L$34,"b")*POWER(('vehicles specifications'!$Q38/1000),(1/SUMIFS('abrasion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specifications'!$P38/1000),(1/SUMIFS('abrasion emissions'!$M$7:$M$34,'abrasion emissions'!$I$7:$I$34,"PM 10",'abrasion emissions'!$J$7:$J$34,"rural",'abrasion emissions'!$K$7:$K$34,"Brake",'abrasion emissions'!$L$7:$L$34,"c")))))/1000000</f>
        <v>1.1945909477819722E-6</v>
      </c>
      <c r="CS38" s="7">
        <f>((SUMIFS('abrasion emissions'!$M$7:$M$34,'abrasion emissions'!$I$7:$I$34,"PM 2.5",'abrasion emissions'!$J$7:$J$34,"motorway",'abrasion emissions'!$K$7:$K$34,"Brake",'abrasion emissions'!$L$7:$L$34,"b")*POWER(('vehicles specifications'!$Q38/1000),(1/SUMIFS('abrasion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specifications'!$P38/1000),(1/SUMIFS('abrasion emissions'!$M$7:$M$34,'abrasion emissions'!$I$7:$I$34,"PM 10",'abrasion emissions'!$J$7:$J$34,"motorway",'abrasion emissions'!$K$7:$K$34,"Brake",'abrasion emissions'!$L$7:$L$34,"c")))))/1000000</f>
        <v>2.0738882477900456E-7</v>
      </c>
      <c r="CT38" s="7">
        <f>((SUMIFS('abrasion emissions'!$M$7:$M$38,'abrasion emissions'!$I$7:$I$38,"PM 2.5",'abrasion emissions'!$K$7:$K$38,"Re-susp.",'abrasion emissions'!$L$7:$L$38,"b")*POWER(('vehicles specifications'!$Q38/1000),(1/SUMIFS('abrasion emissions'!$M$7:$M$38,'abrasion emissions'!$I$7:$I$38,"PM 2.5",'abrasion emissions'!$K$7:$K$38,"Re-susp.",'abrasion emissions'!$L$7:$L$38,"c"))))+
(SUMIFS('abrasion emissions'!$M$7:$M$38,'abrasion emissions'!$I$7:$I$38,"PM 10",'abrasion emissions'!$K$7:$K$38,"Re-susp.",'abrasion emissions'!$L$7:$L$38,"b")*POWER(('vehicles specifications'!$Q38/1000),(1/SUMIFS('abrasion emissions'!$M$7:$M$38,'abrasion emissions'!$I$7:$I$38,"PM 10",'abrasion emissions'!$K$7:$K$38,"Re-susp.",'abrasion emissions'!$L$7:$L$38,"c")))))/1000000</f>
        <v>2.1550654621148659E-6</v>
      </c>
      <c r="CU38" s="7">
        <f>((SUMIFS('abrasion emissions'!$M$7:$M$38,'abrasion emissions'!$I$7:$I$38,"PM 2.5",'abrasion emissions'!$K$7:$K$38,"Road",'abrasion emissions'!$L$7:$L$38,"b")*POWER(('vehicles specifications'!$Q38/1000),(1/SUMIFS('abrasion emissions'!$M$7:$M$38,'abrasion emissions'!$I$7:$I$38,"PM 2.5",'abrasion emissions'!$K$7:$K$38,"Road",'abrasion emissions'!$L$7:$L$38,"c"))))+
(SUMIFS('abrasion emissions'!$M$7:$M$38,'abrasion emissions'!$I$7:$I$38,"PM 10",'abrasion emissions'!$K$7:$K$38,"Road",'abrasion emissions'!$L$7:$L$38,"b")*POWER(('vehicles specifications'!$Q38/1000),(1/SUMIFS('abrasion emissions'!$M$7:$M$38,'abrasion emissions'!$I$7:$I$38,"PM 10",'abrasion emissions'!$K$7:$K$38,"Road",'abrasion emissions'!$L$7:$L$38,"c")))))/1000000+CT38</f>
        <v>4.4578449846847377E-6</v>
      </c>
      <c r="CV38" s="7">
        <f t="shared" si="13"/>
        <v>4.3922694420035416E-6</v>
      </c>
      <c r="CW38" s="7">
        <f t="shared" si="14"/>
        <v>4.0751477180321837E-6</v>
      </c>
    </row>
    <row r="39" spans="1:101" x14ac:dyDescent="0.2">
      <c r="A39" t="str">
        <f t="shared" si="39"/>
        <v>Bicycle, electric, cargo bike - 2020 - LFP - CH</v>
      </c>
      <c r="B39" t="s">
        <v>271</v>
      </c>
      <c r="D39" s="18">
        <v>2020</v>
      </c>
      <c r="E39" t="s">
        <v>37</v>
      </c>
      <c r="F39" t="s">
        <v>138</v>
      </c>
      <c r="G39" t="s">
        <v>39</v>
      </c>
      <c r="H39" t="s">
        <v>32</v>
      </c>
      <c r="I39" t="s">
        <v>44</v>
      </c>
      <c r="J39">
        <v>20000</v>
      </c>
      <c r="K39">
        <v>2000</v>
      </c>
      <c r="L39" s="2">
        <f t="shared" si="40"/>
        <v>10</v>
      </c>
      <c r="M39">
        <v>1</v>
      </c>
      <c r="N39">
        <v>75</v>
      </c>
      <c r="O39">
        <v>50</v>
      </c>
      <c r="P39" s="2">
        <f t="shared" si="41"/>
        <v>46</v>
      </c>
      <c r="Q39" s="2">
        <f t="shared" si="42"/>
        <v>171</v>
      </c>
      <c r="R39">
        <v>0.25</v>
      </c>
      <c r="S39" s="2">
        <v>38</v>
      </c>
      <c r="T39" s="1">
        <v>0</v>
      </c>
      <c r="U39" s="2">
        <f t="shared" si="43"/>
        <v>38</v>
      </c>
      <c r="V39">
        <v>0</v>
      </c>
      <c r="W39">
        <v>4</v>
      </c>
      <c r="X39" s="3">
        <v>0.5</v>
      </c>
      <c r="Y39" s="1">
        <v>0.8</v>
      </c>
      <c r="Z39" s="3">
        <f t="shared" si="44"/>
        <v>0.4</v>
      </c>
      <c r="AA39" s="3">
        <f>IF(I39&lt;&gt;"",X39/INDEX('energy battery'!$B$3:$D$6,MATCH('vehicles specifications'!$D39,'energy battery'!$A$3:$A$6,0),MATCH('vehicles specifications'!$I39,'energy battery'!$B$2:$D$2,0)),"")</f>
        <v>3.3333333333333335</v>
      </c>
      <c r="AB39" s="3">
        <f>IF(AA39&lt;&gt;"",0.2*AA39,"")</f>
        <v>0.66666666666666674</v>
      </c>
      <c r="AC39" s="3">
        <f t="shared" si="45"/>
        <v>4</v>
      </c>
      <c r="AD39">
        <v>1</v>
      </c>
      <c r="AE39">
        <v>0</v>
      </c>
      <c r="AF39">
        <v>0</v>
      </c>
      <c r="AG39">
        <v>0</v>
      </c>
      <c r="AH39">
        <v>0</v>
      </c>
      <c r="AI39">
        <v>0.5</v>
      </c>
      <c r="AJ39">
        <v>1</v>
      </c>
      <c r="AK39" s="6">
        <f t="shared" si="38"/>
        <v>1.3333333333333333</v>
      </c>
      <c r="AL39">
        <f t="shared" si="46"/>
        <v>9.1827E-5</v>
      </c>
      <c r="AM39">
        <v>0</v>
      </c>
      <c r="AN39" s="2">
        <f t="shared" si="47"/>
        <v>38</v>
      </c>
      <c r="AO39" s="2">
        <f t="shared" si="48"/>
        <v>4</v>
      </c>
      <c r="AP39" s="2">
        <f t="shared" si="49"/>
        <v>4</v>
      </c>
      <c r="AQ39" s="6" t="s">
        <v>85</v>
      </c>
      <c r="AR39" s="20"/>
      <c r="AS39" s="5">
        <v>3.4708323163290214E-2</v>
      </c>
      <c r="AT39" s="2">
        <f t="shared" si="12"/>
        <v>41.48860759493671</v>
      </c>
      <c r="AU39" s="5">
        <v>0</v>
      </c>
      <c r="AV39" s="5">
        <v>0</v>
      </c>
      <c r="AW39" s="7">
        <v>0</v>
      </c>
      <c r="AX39" s="7">
        <v>0</v>
      </c>
      <c r="AY39" s="7">
        <v>0</v>
      </c>
      <c r="AZ39" s="7">
        <v>0</v>
      </c>
      <c r="BA39" s="7">
        <v>0</v>
      </c>
      <c r="BB39" s="7">
        <v>0</v>
      </c>
      <c r="BC39" s="7">
        <v>0</v>
      </c>
      <c r="BD39" s="7">
        <v>0</v>
      </c>
      <c r="BE39" s="7">
        <v>0</v>
      </c>
      <c r="BF39" s="7">
        <v>0</v>
      </c>
      <c r="BG39" s="7">
        <v>0</v>
      </c>
      <c r="BH39" s="7">
        <v>0</v>
      </c>
      <c r="BI39" s="7">
        <v>0</v>
      </c>
      <c r="BJ39" s="7">
        <v>0</v>
      </c>
      <c r="BK39" s="7">
        <v>0</v>
      </c>
      <c r="BL39" s="7">
        <v>0</v>
      </c>
      <c r="BM39" s="7">
        <v>0</v>
      </c>
      <c r="BN39" s="7">
        <v>0</v>
      </c>
      <c r="BO39" s="7">
        <v>0</v>
      </c>
      <c r="BP39" s="7">
        <v>0</v>
      </c>
      <c r="BQ39" s="7">
        <v>0</v>
      </c>
      <c r="BR39" s="7">
        <v>0</v>
      </c>
      <c r="BS39" s="7">
        <v>0</v>
      </c>
      <c r="BT39" s="7">
        <v>0</v>
      </c>
      <c r="BU39" s="7">
        <v>0</v>
      </c>
      <c r="BV39" s="7">
        <v>0</v>
      </c>
      <c r="BW39" s="7">
        <v>0</v>
      </c>
      <c r="BX39" s="7">
        <v>0</v>
      </c>
      <c r="BY39" s="7">
        <v>0</v>
      </c>
      <c r="BZ39" s="7">
        <v>0</v>
      </c>
      <c r="CA39" s="7">
        <v>0</v>
      </c>
      <c r="CB39" s="7">
        <v>0</v>
      </c>
      <c r="CC39" s="7">
        <v>0</v>
      </c>
      <c r="CD39" s="7">
        <v>0</v>
      </c>
      <c r="CE39" s="7">
        <v>0</v>
      </c>
      <c r="CF39" s="7">
        <v>0</v>
      </c>
      <c r="CG39" s="7">
        <v>0</v>
      </c>
      <c r="CH39" s="7">
        <v>0</v>
      </c>
      <c r="CI39" s="7">
        <v>0</v>
      </c>
      <c r="CJ39" s="7">
        <v>0</v>
      </c>
      <c r="CK39" s="38">
        <f>VLOOKUP($B39,'abrasion emissions'!$O$7:$R$36,2,FALSE)</f>
        <v>1</v>
      </c>
      <c r="CL39" s="38">
        <f>VLOOKUP($B39,'abrasion emissions'!$O$7:$R$36,3,FALSE)</f>
        <v>0</v>
      </c>
      <c r="CM39" s="38">
        <f>VLOOKUP($B39,'abrasion emissions'!$O$7:$R$36,4,FALSE)</f>
        <v>0</v>
      </c>
      <c r="CN39" s="7">
        <f>((SUMIFS('abrasion emissions'!$M$7:$M$34,'abrasion emissions'!$I$7:$I$34,"PM 2.5",'abrasion emissions'!$J$7:$J$34,"urban",'abrasion emissions'!$K$7:$K$34,"Tyre",'abrasion emissions'!$L$7:$L$34,"b")*POWER(('vehicles specifications'!$Q39/1000),(1/SUMIFS('abrasion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specifications'!$P39/1000),(1/SUMIFS('abrasion emissions'!$M$7:$M$34,'abrasion emissions'!$I$7:$I$34,"PM 10",'abrasion emissions'!$J$7:$J$34,"urban",'abrasion emissions'!$K$7:$K$34,"Tyre",'abrasion emissions'!$L$7:$L$34,"c")))))/1000000</f>
        <v>5.3254299086503285E-6</v>
      </c>
      <c r="CO39" s="7">
        <f>((SUMIFS('abrasion emissions'!$M$7:$M$34,'abrasion emissions'!$I$7:$I$34,"PM 2.5",'abrasion emissions'!$J$7:$J$34,"rural",'abrasion emissions'!$K$7:$K$34,"Tyre",'abrasion emissions'!$L$7:$L$34,"b")*POWER(('vehicles specifications'!$Q39/1000),(1/SUMIFS('abrasion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specifications'!$P39/1000),(1/SUMIFS('abrasion emissions'!$M$7:$M$34,'abrasion emissions'!$I$7:$I$34,"PM 10",'abrasion emissions'!$J$7:$J$34,"rural",'abrasion emissions'!$K$7:$K$34,"Tyre",'abrasion emissions'!$L$7:$L$34,"c")))))/1000000</f>
        <v>4.1493991508405939E-6</v>
      </c>
      <c r="CP39" s="7">
        <f>((SUMIFS('abrasion emissions'!$M$7:$M$34,'abrasion emissions'!$I$7:$I$34,"PM 2.5",'abrasion emissions'!$J$7:$J$34,"motorway",'abrasion emissions'!$K$7:$K$34,"Tyre",'abrasion emissions'!$L$7:$L$34,"b")*POWER(('vehicles specifications'!$Q39/1000),(1/SUMIFS('abrasion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specifications'!$P39/1000),(1/SUMIFS('abrasion emissions'!$M$7:$M$34,'abrasion emissions'!$I$7:$I$34,"PM 10",'abrasion emissions'!$J$7:$J$34,"motorway",'abrasion emissions'!$K$7:$K$34,"Tyre",'abrasion emissions'!$L$7:$L$34,"c")))))/1000000</f>
        <v>3.5482750495563533E-6</v>
      </c>
      <c r="CQ39" s="7">
        <f>((SUMIFS('abrasion emissions'!$M$7:$M$34,'abrasion emissions'!$I$7:$I$34,"PM 2.5",'abrasion emissions'!$J$7:$J$34,"urban",'abrasion emissions'!$K$7:$K$34,"Brake",'abrasion emissions'!$L$7:$L$34,"b")*POWER(('vehicles specifications'!$Q39/1000),(1/SUMIFS('abrasion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specifications'!$P39/1000),(1/SUMIFS('abrasion emissions'!$M$7:$M$34,'abrasion emissions'!$I$7:$I$34,"PM 10",'abrasion emissions'!$J$7:$J$34,"urban",'abrasion emissions'!$K$7:$K$34,"Brake",'abrasion emissions'!$L$7:$L$34,"c")))))/1000000</f>
        <v>5.1728534501662442E-6</v>
      </c>
      <c r="CR39" s="7">
        <f>((SUMIFS('abrasion emissions'!$M$7:$M$34,'abrasion emissions'!$I$7:$I$34,"PM 2.5",'abrasion emissions'!$J$7:$J$34,"rural",'abrasion emissions'!$K$7:$K$34,"Brake",'abrasion emissions'!$L$7:$L$34,"b")*POWER(('vehicles specifications'!$Q39/1000),(1/SUMIFS('abrasion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specifications'!$P39/1000),(1/SUMIFS('abrasion emissions'!$M$7:$M$34,'abrasion emissions'!$I$7:$I$34,"PM 10",'abrasion emissions'!$J$7:$J$34,"rural",'abrasion emissions'!$K$7:$K$34,"Brake",'abrasion emissions'!$L$7:$L$34,"c")))))/1000000</f>
        <v>1.6174499899418396E-6</v>
      </c>
      <c r="CS39" s="7">
        <f>((SUMIFS('abrasion emissions'!$M$7:$M$34,'abrasion emissions'!$I$7:$I$34,"PM 2.5",'abrasion emissions'!$J$7:$J$34,"motorway",'abrasion emissions'!$K$7:$K$34,"Brake",'abrasion emissions'!$L$7:$L$34,"b")*POWER(('vehicles specifications'!$Q39/1000),(1/SUMIFS('abrasion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specifications'!$P39/1000),(1/SUMIFS('abrasion emissions'!$M$7:$M$34,'abrasion emissions'!$I$7:$I$34,"PM 10",'abrasion emissions'!$J$7:$J$34,"motorway",'abrasion emissions'!$K$7:$K$34,"Brake",'abrasion emissions'!$L$7:$L$34,"c")))))/1000000</f>
        <v>2.944843882977142E-7</v>
      </c>
      <c r="CT39" s="7">
        <f>((SUMIFS('abrasion emissions'!$M$7:$M$38,'abrasion emissions'!$I$7:$I$38,"PM 2.5",'abrasion emissions'!$K$7:$K$38,"Re-susp.",'abrasion emissions'!$L$7:$L$38,"b")*POWER(('vehicles specifications'!$Q39/1000),(1/SUMIFS('abrasion emissions'!$M$7:$M$38,'abrasion emissions'!$I$7:$I$38,"PM 2.5",'abrasion emissions'!$K$7:$K$38,"Re-susp.",'abrasion emissions'!$L$7:$L$38,"c"))))+
(SUMIFS('abrasion emissions'!$M$7:$M$38,'abrasion emissions'!$I$7:$I$38,"PM 10",'abrasion emissions'!$K$7:$K$38,"Re-susp.",'abrasion emissions'!$L$7:$L$38,"b")*POWER(('vehicles specifications'!$Q39/1000),(1/SUMIFS('abrasion emissions'!$M$7:$M$38,'abrasion emissions'!$I$7:$I$38,"PM 10",'abrasion emissions'!$K$7:$K$38,"Re-susp.",'abrasion emissions'!$L$7:$L$38,"c")))))/1000000</f>
        <v>3.2928169205762391E-6</v>
      </c>
      <c r="CU39" s="7">
        <f>((SUMIFS('abrasion emissions'!$M$7:$M$38,'abrasion emissions'!$I$7:$I$38,"PM 2.5",'abrasion emissions'!$K$7:$K$38,"Road",'abrasion emissions'!$L$7:$L$38,"b")*POWER(('vehicles specifications'!$Q39/1000),(1/SUMIFS('abrasion emissions'!$M$7:$M$38,'abrasion emissions'!$I$7:$I$38,"PM 2.5",'abrasion emissions'!$K$7:$K$38,"Road",'abrasion emissions'!$L$7:$L$38,"c"))))+
(SUMIFS('abrasion emissions'!$M$7:$M$38,'abrasion emissions'!$I$7:$I$38,"PM 10",'abrasion emissions'!$K$7:$K$38,"Road",'abrasion emissions'!$L$7:$L$38,"b")*POWER(('vehicles specifications'!$Q39/1000),(1/SUMIFS('abrasion emissions'!$M$7:$M$38,'abrasion emissions'!$I$7:$I$38,"PM 10",'abrasion emissions'!$K$7:$K$38,"Road",'abrasion emissions'!$L$7:$L$38,"c")))))/1000000+CT39</f>
        <v>6.4352370303012724E-6</v>
      </c>
      <c r="CV39" s="7">
        <f t="shared" si="13"/>
        <v>5.3254299086503285E-6</v>
      </c>
      <c r="CW39" s="7">
        <f t="shared" si="14"/>
        <v>5.1728534501662442E-6</v>
      </c>
    </row>
    <row r="40" spans="1:101" x14ac:dyDescent="0.2">
      <c r="A40" t="str">
        <f t="shared" si="39"/>
        <v>Bicycle, electric, cargo bike - 2030 - LFP - CH</v>
      </c>
      <c r="B40" t="s">
        <v>271</v>
      </c>
      <c r="D40" s="18">
        <v>2030</v>
      </c>
      <c r="E40" t="s">
        <v>37</v>
      </c>
      <c r="F40" t="s">
        <v>138</v>
      </c>
      <c r="G40" t="s">
        <v>39</v>
      </c>
      <c r="H40" t="s">
        <v>32</v>
      </c>
      <c r="I40" t="s">
        <v>44</v>
      </c>
      <c r="J40">
        <v>20000</v>
      </c>
      <c r="K40">
        <v>2000</v>
      </c>
      <c r="L40" s="2">
        <f t="shared" si="40"/>
        <v>10</v>
      </c>
      <c r="M40">
        <v>1</v>
      </c>
      <c r="N40">
        <v>75</v>
      </c>
      <c r="O40">
        <v>50</v>
      </c>
      <c r="P40" s="2">
        <f t="shared" si="41"/>
        <v>45.426666666666662</v>
      </c>
      <c r="Q40" s="2">
        <f t="shared" si="42"/>
        <v>170.42666666666668</v>
      </c>
      <c r="R40">
        <v>0.25</v>
      </c>
      <c r="S40" s="2">
        <v>38</v>
      </c>
      <c r="T40" s="1">
        <v>0.03</v>
      </c>
      <c r="U40" s="2">
        <f t="shared" si="43"/>
        <v>36.86</v>
      </c>
      <c r="V40">
        <v>0</v>
      </c>
      <c r="W40">
        <v>3.9</v>
      </c>
      <c r="X40" s="3">
        <v>0.7</v>
      </c>
      <c r="Y40" s="1">
        <v>0.8</v>
      </c>
      <c r="Z40" s="3">
        <f t="shared" si="44"/>
        <v>0.55999999999999994</v>
      </c>
      <c r="AA40" s="3">
        <f>IF(I40&lt;&gt;"",X40/INDEX('energy battery'!$B$3:$D$6,MATCH('vehicles specifications'!$D40,'energy battery'!$A$3:$A$6,0),MATCH('vehicles specifications'!$I40,'energy battery'!$B$2:$D$2,0)),"")</f>
        <v>3.8888888888888888</v>
      </c>
      <c r="AB40" s="3">
        <f t="shared" ref="AB40:AB42" si="52">IF(AA40&lt;&gt;"",0.2*AA40,"")</f>
        <v>0.77777777777777779</v>
      </c>
      <c r="AC40" s="3">
        <f t="shared" si="45"/>
        <v>4.666666666666667</v>
      </c>
      <c r="AD40">
        <v>0.5</v>
      </c>
      <c r="AE40">
        <v>0</v>
      </c>
      <c r="AF40">
        <v>0</v>
      </c>
      <c r="AG40">
        <v>0</v>
      </c>
      <c r="AH40">
        <v>0</v>
      </c>
      <c r="AI40">
        <v>0.5</v>
      </c>
      <c r="AJ40">
        <v>1</v>
      </c>
      <c r="AK40" s="6">
        <f t="shared" si="38"/>
        <v>1.3333333333333333</v>
      </c>
      <c r="AL40">
        <f t="shared" si="46"/>
        <v>9.1519120000000011E-5</v>
      </c>
      <c r="AM40">
        <v>0</v>
      </c>
      <c r="AN40" s="2">
        <f t="shared" si="47"/>
        <v>36.86</v>
      </c>
      <c r="AO40" s="2">
        <f t="shared" si="48"/>
        <v>3.9</v>
      </c>
      <c r="AP40" s="2">
        <f t="shared" si="49"/>
        <v>4.666666666666667</v>
      </c>
      <c r="AQ40" s="6" t="s">
        <v>85</v>
      </c>
      <c r="AR40" s="20"/>
      <c r="AS40" s="5">
        <v>3.4708323163290214E-2</v>
      </c>
      <c r="AT40" s="2">
        <f t="shared" si="12"/>
        <v>58.084050632911385</v>
      </c>
      <c r="AU40" s="5">
        <v>0</v>
      </c>
      <c r="AV40" s="5">
        <v>0</v>
      </c>
      <c r="AW40" s="7">
        <v>0</v>
      </c>
      <c r="AX40" s="7">
        <v>0</v>
      </c>
      <c r="AY40" s="7">
        <v>0</v>
      </c>
      <c r="AZ40" s="7">
        <v>0</v>
      </c>
      <c r="BA40" s="7">
        <v>0</v>
      </c>
      <c r="BB40" s="7">
        <v>0</v>
      </c>
      <c r="BC40" s="7">
        <v>0</v>
      </c>
      <c r="BD40" s="7">
        <v>0</v>
      </c>
      <c r="BE40" s="7">
        <v>0</v>
      </c>
      <c r="BF40" s="7">
        <v>0</v>
      </c>
      <c r="BG40" s="7">
        <v>0</v>
      </c>
      <c r="BH40" s="7">
        <v>0</v>
      </c>
      <c r="BI40" s="7">
        <v>0</v>
      </c>
      <c r="BJ40" s="7">
        <v>0</v>
      </c>
      <c r="BK40" s="7">
        <v>0</v>
      </c>
      <c r="BL40" s="7">
        <v>0</v>
      </c>
      <c r="BM40" s="7">
        <v>0</v>
      </c>
      <c r="BN40" s="7">
        <v>0</v>
      </c>
      <c r="BO40" s="7">
        <v>0</v>
      </c>
      <c r="BP40" s="7">
        <v>0</v>
      </c>
      <c r="BQ40" s="7">
        <v>0</v>
      </c>
      <c r="BR40" s="7">
        <v>0</v>
      </c>
      <c r="BS40" s="7">
        <v>0</v>
      </c>
      <c r="BT40" s="7">
        <v>0</v>
      </c>
      <c r="BU40" s="7">
        <v>0</v>
      </c>
      <c r="BV40" s="7">
        <v>0</v>
      </c>
      <c r="BW40" s="7">
        <v>0</v>
      </c>
      <c r="BX40" s="7">
        <v>0</v>
      </c>
      <c r="BY40" s="7">
        <v>0</v>
      </c>
      <c r="BZ40" s="7">
        <v>0</v>
      </c>
      <c r="CA40" s="7">
        <v>0</v>
      </c>
      <c r="CB40" s="7">
        <v>0</v>
      </c>
      <c r="CC40" s="7">
        <v>0</v>
      </c>
      <c r="CD40" s="7">
        <v>0</v>
      </c>
      <c r="CE40" s="7">
        <v>0</v>
      </c>
      <c r="CF40" s="7">
        <v>0</v>
      </c>
      <c r="CG40" s="7">
        <v>0</v>
      </c>
      <c r="CH40" s="7">
        <v>0</v>
      </c>
      <c r="CI40" s="7">
        <v>0</v>
      </c>
      <c r="CJ40" s="7">
        <v>0</v>
      </c>
      <c r="CK40" s="38">
        <f>VLOOKUP($B40,'abrasion emissions'!$O$7:$R$36,2,FALSE)</f>
        <v>1</v>
      </c>
      <c r="CL40" s="38">
        <f>VLOOKUP($B40,'abrasion emissions'!$O$7:$R$36,3,FALSE)</f>
        <v>0</v>
      </c>
      <c r="CM40" s="38">
        <f>VLOOKUP($B40,'abrasion emissions'!$O$7:$R$36,4,FALSE)</f>
        <v>0</v>
      </c>
      <c r="CN40" s="7">
        <f>((SUMIFS('abrasion emissions'!$M$7:$M$34,'abrasion emissions'!$I$7:$I$34,"PM 2.5",'abrasion emissions'!$J$7:$J$34,"urban",'abrasion emissions'!$K$7:$K$34,"Tyre",'abrasion emissions'!$L$7:$L$34,"b")*POWER(('vehicles specifications'!$Q40/1000),(1/SUMIFS('abrasion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specifications'!$P40/1000),(1/SUMIFS('abrasion emissions'!$M$7:$M$34,'abrasion emissions'!$I$7:$I$34,"PM 10",'abrasion emissions'!$J$7:$J$34,"urban",'abrasion emissions'!$K$7:$K$34,"Tyre",'abrasion emissions'!$L$7:$L$34,"c")))))/1000000</f>
        <v>5.31160871204398E-6</v>
      </c>
      <c r="CO40" s="7">
        <f>((SUMIFS('abrasion emissions'!$M$7:$M$34,'abrasion emissions'!$I$7:$I$34,"PM 2.5",'abrasion emissions'!$J$7:$J$34,"rural",'abrasion emissions'!$K$7:$K$34,"Tyre",'abrasion emissions'!$L$7:$L$34,"b")*POWER(('vehicles specifications'!$Q40/1000),(1/SUMIFS('abrasion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specifications'!$P40/1000),(1/SUMIFS('abrasion emissions'!$M$7:$M$34,'abrasion emissions'!$I$7:$I$34,"PM 10",'abrasion emissions'!$J$7:$J$34,"rural",'abrasion emissions'!$K$7:$K$34,"Tyre",'abrasion emissions'!$L$7:$L$34,"c")))))/1000000</f>
        <v>4.1386501277591583E-6</v>
      </c>
      <c r="CP40" s="7">
        <f>((SUMIFS('abrasion emissions'!$M$7:$M$34,'abrasion emissions'!$I$7:$I$34,"PM 2.5",'abrasion emissions'!$J$7:$J$34,"motorway",'abrasion emissions'!$K$7:$K$34,"Tyre",'abrasion emissions'!$L$7:$L$34,"b")*POWER(('vehicles specifications'!$Q40/1000),(1/SUMIFS('abrasion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specifications'!$P40/1000),(1/SUMIFS('abrasion emissions'!$M$7:$M$34,'abrasion emissions'!$I$7:$I$34,"PM 10",'abrasion emissions'!$J$7:$J$34,"motorway",'abrasion emissions'!$K$7:$K$34,"Tyre",'abrasion emissions'!$L$7:$L$34,"c")))))/1000000</f>
        <v>3.5391334016493897E-6</v>
      </c>
      <c r="CQ40" s="7">
        <f>((SUMIFS('abrasion emissions'!$M$7:$M$34,'abrasion emissions'!$I$7:$I$34,"PM 2.5",'abrasion emissions'!$J$7:$J$34,"urban",'abrasion emissions'!$K$7:$K$34,"Brake",'abrasion emissions'!$L$7:$L$34,"b")*POWER(('vehicles specifications'!$Q40/1000),(1/SUMIFS('abrasion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specifications'!$P40/1000),(1/SUMIFS('abrasion emissions'!$M$7:$M$34,'abrasion emissions'!$I$7:$I$34,"PM 10",'abrasion emissions'!$J$7:$J$34,"urban",'abrasion emissions'!$K$7:$K$34,"Brake",'abrasion emissions'!$L$7:$L$34,"c")))))/1000000</f>
        <v>5.1597195786025576E-6</v>
      </c>
      <c r="CR40" s="7">
        <f>((SUMIFS('abrasion emissions'!$M$7:$M$34,'abrasion emissions'!$I$7:$I$34,"PM 2.5",'abrasion emissions'!$J$7:$J$34,"rural",'abrasion emissions'!$K$7:$K$34,"Brake",'abrasion emissions'!$L$7:$L$34,"b")*POWER(('vehicles specifications'!$Q40/1000),(1/SUMIFS('abrasion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specifications'!$P40/1000),(1/SUMIFS('abrasion emissions'!$M$7:$M$34,'abrasion emissions'!$I$7:$I$34,"PM 10",'abrasion emissions'!$J$7:$J$34,"rural",'abrasion emissions'!$K$7:$K$34,"Brake",'abrasion emissions'!$L$7:$L$34,"c")))))/1000000</f>
        <v>1.6124252713471049E-6</v>
      </c>
      <c r="CS40" s="7">
        <f>((SUMIFS('abrasion emissions'!$M$7:$M$34,'abrasion emissions'!$I$7:$I$34,"PM 2.5",'abrasion emissions'!$J$7:$J$34,"motorway",'abrasion emissions'!$K$7:$K$34,"Brake",'abrasion emissions'!$L$7:$L$34,"b")*POWER(('vehicles specifications'!$Q40/1000),(1/SUMIFS('abrasion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specifications'!$P40/1000),(1/SUMIFS('abrasion emissions'!$M$7:$M$34,'abrasion emissions'!$I$7:$I$34,"PM 10",'abrasion emissions'!$J$7:$J$34,"motorway",'abrasion emissions'!$K$7:$K$34,"Brake",'abrasion emissions'!$L$7:$L$34,"c")))))/1000000</f>
        <v>2.9346166737242254E-7</v>
      </c>
      <c r="CT40" s="7">
        <f>((SUMIFS('abrasion emissions'!$M$7:$M$38,'abrasion emissions'!$I$7:$I$38,"PM 2.5",'abrasion emissions'!$K$7:$K$38,"Re-susp.",'abrasion emissions'!$L$7:$L$38,"b")*POWER(('vehicles specifications'!$Q40/1000),(1/SUMIFS('abrasion emissions'!$M$7:$M$38,'abrasion emissions'!$I$7:$I$38,"PM 2.5",'abrasion emissions'!$K$7:$K$38,"Re-susp.",'abrasion emissions'!$L$7:$L$38,"c"))))+
(SUMIFS('abrasion emissions'!$M$7:$M$38,'abrasion emissions'!$I$7:$I$38,"PM 10",'abrasion emissions'!$K$7:$K$38,"Re-susp.",'abrasion emissions'!$L$7:$L$38,"b")*POWER(('vehicles specifications'!$Q40/1000),(1/SUMIFS('abrasion emissions'!$M$7:$M$38,'abrasion emissions'!$I$7:$I$38,"PM 10",'abrasion emissions'!$K$7:$K$38,"Re-susp.",'abrasion emissions'!$L$7:$L$38,"c")))))/1000000</f>
        <v>3.2827788037874133E-6</v>
      </c>
      <c r="CU40" s="7">
        <f>((SUMIFS('abrasion emissions'!$M$7:$M$38,'abrasion emissions'!$I$7:$I$38,"PM 2.5",'abrasion emissions'!$K$7:$K$38,"Road",'abrasion emissions'!$L$7:$L$38,"b")*POWER(('vehicles specifications'!$Q40/1000),(1/SUMIFS('abrasion emissions'!$M$7:$M$38,'abrasion emissions'!$I$7:$I$38,"PM 2.5",'abrasion emissions'!$K$7:$K$38,"Road",'abrasion emissions'!$L$7:$L$38,"c"))))+
(SUMIFS('abrasion emissions'!$M$7:$M$38,'abrasion emissions'!$I$7:$I$38,"PM 10",'abrasion emissions'!$K$7:$K$38,"Road",'abrasion emissions'!$L$7:$L$38,"b")*POWER(('vehicles specifications'!$Q40/1000),(1/SUMIFS('abrasion emissions'!$M$7:$M$38,'abrasion emissions'!$I$7:$I$38,"PM 10",'abrasion emissions'!$K$7:$K$38,"Road",'abrasion emissions'!$L$7:$L$38,"c")))))/1000000+CT40</f>
        <v>6.4181709896459926E-6</v>
      </c>
      <c r="CV40" s="7">
        <f t="shared" si="13"/>
        <v>5.31160871204398E-6</v>
      </c>
      <c r="CW40" s="7">
        <f t="shared" si="14"/>
        <v>5.1597195786025576E-6</v>
      </c>
    </row>
    <row r="41" spans="1:101" x14ac:dyDescent="0.2">
      <c r="A41" t="str">
        <f t="shared" si="39"/>
        <v>Bicycle, electric, cargo bike - 2040 - LFP - CH</v>
      </c>
      <c r="B41" t="s">
        <v>271</v>
      </c>
      <c r="D41" s="18">
        <v>2040</v>
      </c>
      <c r="E41" t="s">
        <v>37</v>
      </c>
      <c r="F41" t="s">
        <v>138</v>
      </c>
      <c r="G41" t="s">
        <v>39</v>
      </c>
      <c r="H41" t="s">
        <v>32</v>
      </c>
      <c r="I41" t="s">
        <v>44</v>
      </c>
      <c r="J41">
        <v>20000</v>
      </c>
      <c r="K41">
        <v>2000</v>
      </c>
      <c r="L41" s="2">
        <f t="shared" si="40"/>
        <v>10</v>
      </c>
      <c r="M41">
        <v>1</v>
      </c>
      <c r="N41">
        <v>75</v>
      </c>
      <c r="O41">
        <v>50</v>
      </c>
      <c r="P41" s="2">
        <f t="shared" si="41"/>
        <v>45.233333333333334</v>
      </c>
      <c r="Q41" s="2">
        <f t="shared" si="42"/>
        <v>170.23333333333335</v>
      </c>
      <c r="R41">
        <v>0.25</v>
      </c>
      <c r="S41" s="2">
        <v>38</v>
      </c>
      <c r="T41" s="1">
        <v>0.05</v>
      </c>
      <c r="U41" s="2">
        <f t="shared" si="43"/>
        <v>36.1</v>
      </c>
      <c r="V41">
        <v>0</v>
      </c>
      <c r="W41">
        <v>3.8</v>
      </c>
      <c r="X41" s="3">
        <v>0.8</v>
      </c>
      <c r="Y41" s="1">
        <v>0.8</v>
      </c>
      <c r="Z41" s="3">
        <f t="shared" si="44"/>
        <v>0.64000000000000012</v>
      </c>
      <c r="AA41" s="3">
        <f>IF(I41&lt;&gt;"",X41/INDEX('energy battery'!$B$3:$D$6,MATCH('vehicles specifications'!$D41,'energy battery'!$A$3:$A$6,0),MATCH('vehicles specifications'!$I41,'energy battery'!$B$2:$D$2,0)),"")</f>
        <v>4.4444444444444446</v>
      </c>
      <c r="AB41" s="3">
        <f t="shared" si="52"/>
        <v>0.88888888888888895</v>
      </c>
      <c r="AC41" s="3">
        <f t="shared" si="45"/>
        <v>5.3333333333333339</v>
      </c>
      <c r="AD41">
        <v>0.25</v>
      </c>
      <c r="AE41">
        <v>0</v>
      </c>
      <c r="AF41">
        <v>0</v>
      </c>
      <c r="AG41">
        <v>0</v>
      </c>
      <c r="AH41">
        <v>0</v>
      </c>
      <c r="AI41">
        <v>0.5</v>
      </c>
      <c r="AJ41">
        <v>1</v>
      </c>
      <c r="AK41" s="6">
        <f t="shared" si="38"/>
        <v>1.3333333333333333</v>
      </c>
      <c r="AL41">
        <f t="shared" si="46"/>
        <v>9.1415300000000012E-5</v>
      </c>
      <c r="AM41">
        <v>0</v>
      </c>
      <c r="AN41" s="2">
        <f t="shared" si="47"/>
        <v>36.1</v>
      </c>
      <c r="AO41" s="2">
        <f t="shared" si="48"/>
        <v>3.8</v>
      </c>
      <c r="AP41" s="2">
        <f t="shared" si="49"/>
        <v>5.3333333333333339</v>
      </c>
      <c r="AQ41" s="6" t="s">
        <v>85</v>
      </c>
      <c r="AR41" s="20"/>
      <c r="AS41" s="5">
        <v>3.4708323163290214E-2</v>
      </c>
      <c r="AT41" s="2">
        <f t="shared" si="12"/>
        <v>66.381772151898744</v>
      </c>
      <c r="AU41" s="5">
        <v>0</v>
      </c>
      <c r="AV41" s="5">
        <v>0</v>
      </c>
      <c r="AW41" s="7">
        <v>0</v>
      </c>
      <c r="AX41" s="7">
        <v>0</v>
      </c>
      <c r="AY41" s="7">
        <v>0</v>
      </c>
      <c r="AZ41" s="7">
        <v>0</v>
      </c>
      <c r="BA41" s="7">
        <v>0</v>
      </c>
      <c r="BB41" s="7">
        <v>0</v>
      </c>
      <c r="BC41" s="7">
        <v>0</v>
      </c>
      <c r="BD41" s="7">
        <v>0</v>
      </c>
      <c r="BE41" s="7">
        <v>0</v>
      </c>
      <c r="BF41" s="7">
        <v>0</v>
      </c>
      <c r="BG41" s="7">
        <v>0</v>
      </c>
      <c r="BH41" s="7">
        <v>0</v>
      </c>
      <c r="BI41" s="7">
        <v>0</v>
      </c>
      <c r="BJ41" s="7">
        <v>0</v>
      </c>
      <c r="BK41" s="7">
        <v>0</v>
      </c>
      <c r="BL41" s="7">
        <v>0</v>
      </c>
      <c r="BM41" s="7">
        <v>0</v>
      </c>
      <c r="BN41" s="7">
        <v>0</v>
      </c>
      <c r="BO41" s="7">
        <v>0</v>
      </c>
      <c r="BP41" s="7">
        <v>0</v>
      </c>
      <c r="BQ41" s="7">
        <v>0</v>
      </c>
      <c r="BR41" s="7">
        <v>0</v>
      </c>
      <c r="BS41" s="7">
        <v>0</v>
      </c>
      <c r="BT41" s="7">
        <v>0</v>
      </c>
      <c r="BU41" s="7">
        <v>0</v>
      </c>
      <c r="BV41" s="7">
        <v>0</v>
      </c>
      <c r="BW41" s="7">
        <v>0</v>
      </c>
      <c r="BX41" s="7">
        <v>0</v>
      </c>
      <c r="BY41" s="7">
        <v>0</v>
      </c>
      <c r="BZ41" s="7">
        <v>0</v>
      </c>
      <c r="CA41" s="7">
        <v>0</v>
      </c>
      <c r="CB41" s="7">
        <v>0</v>
      </c>
      <c r="CC41" s="7">
        <v>0</v>
      </c>
      <c r="CD41" s="7">
        <v>0</v>
      </c>
      <c r="CE41" s="7">
        <v>0</v>
      </c>
      <c r="CF41" s="7">
        <v>0</v>
      </c>
      <c r="CG41" s="7">
        <v>0</v>
      </c>
      <c r="CH41" s="7">
        <v>0</v>
      </c>
      <c r="CI41" s="7">
        <v>0</v>
      </c>
      <c r="CJ41" s="7">
        <v>0</v>
      </c>
      <c r="CK41" s="38">
        <f>VLOOKUP($B41,'abrasion emissions'!$O$7:$R$36,2,FALSE)</f>
        <v>1</v>
      </c>
      <c r="CL41" s="38">
        <f>VLOOKUP($B41,'abrasion emissions'!$O$7:$R$36,3,FALSE)</f>
        <v>0</v>
      </c>
      <c r="CM41" s="38">
        <f>VLOOKUP($B41,'abrasion emissions'!$O$7:$R$36,4,FALSE)</f>
        <v>0</v>
      </c>
      <c r="CN41" s="7">
        <f>((SUMIFS('abrasion emissions'!$M$7:$M$34,'abrasion emissions'!$I$7:$I$34,"PM 2.5",'abrasion emissions'!$J$7:$J$34,"urban",'abrasion emissions'!$K$7:$K$34,"Tyre",'abrasion emissions'!$L$7:$L$34,"b")*POWER(('vehicles specifications'!$Q41/1000),(1/SUMIFS('abrasion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specifications'!$P41/1000),(1/SUMIFS('abrasion emissions'!$M$7:$M$34,'abrasion emissions'!$I$7:$I$34,"PM 10",'abrasion emissions'!$J$7:$J$34,"urban",'abrasion emissions'!$K$7:$K$34,"Tyre",'abrasion emissions'!$L$7:$L$34,"c")))))/1000000</f>
        <v>5.3069324066711127E-6</v>
      </c>
      <c r="CO41" s="7">
        <f>((SUMIFS('abrasion emissions'!$M$7:$M$34,'abrasion emissions'!$I$7:$I$34,"PM 2.5",'abrasion emissions'!$J$7:$J$34,"rural",'abrasion emissions'!$K$7:$K$34,"Tyre",'abrasion emissions'!$L$7:$L$34,"b")*POWER(('vehicles specifications'!$Q41/1000),(1/SUMIFS('abrasion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specifications'!$P41/1000),(1/SUMIFS('abrasion emissions'!$M$7:$M$34,'abrasion emissions'!$I$7:$I$34,"PM 10",'abrasion emissions'!$J$7:$J$34,"rural",'abrasion emissions'!$K$7:$K$34,"Tyre",'abrasion emissions'!$L$7:$L$34,"c")))))/1000000</f>
        <v>4.1350132889564291E-6</v>
      </c>
      <c r="CP41" s="7">
        <f>((SUMIFS('abrasion emissions'!$M$7:$M$34,'abrasion emissions'!$I$7:$I$34,"PM 2.5",'abrasion emissions'!$J$7:$J$34,"motorway",'abrasion emissions'!$K$7:$K$34,"Tyre",'abrasion emissions'!$L$7:$L$34,"b")*POWER(('vehicles specifications'!$Q41/1000),(1/SUMIFS('abrasion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specifications'!$P41/1000),(1/SUMIFS('abrasion emissions'!$M$7:$M$34,'abrasion emissions'!$I$7:$I$34,"PM 10",'abrasion emissions'!$J$7:$J$34,"motorway",'abrasion emissions'!$K$7:$K$34,"Tyre",'abrasion emissions'!$L$7:$L$34,"c")))))/1000000</f>
        <v>3.5360404498144495E-6</v>
      </c>
      <c r="CQ41" s="7">
        <f>((SUMIFS('abrasion emissions'!$M$7:$M$34,'abrasion emissions'!$I$7:$I$34,"PM 2.5",'abrasion emissions'!$J$7:$J$34,"urban",'abrasion emissions'!$K$7:$K$34,"Brake",'abrasion emissions'!$L$7:$L$34,"b")*POWER(('vehicles specifications'!$Q41/1000),(1/SUMIFS('abrasion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specifications'!$P41/1000),(1/SUMIFS('abrasion emissions'!$M$7:$M$34,'abrasion emissions'!$I$7:$I$34,"PM 10",'abrasion emissions'!$J$7:$J$34,"urban",'abrasion emissions'!$K$7:$K$34,"Brake",'abrasion emissions'!$L$7:$L$34,"c")))))/1000000</f>
        <v>5.1552806020513532E-6</v>
      </c>
      <c r="CR41" s="7">
        <f>((SUMIFS('abrasion emissions'!$M$7:$M$34,'abrasion emissions'!$I$7:$I$34,"PM 2.5",'abrasion emissions'!$J$7:$J$34,"rural",'abrasion emissions'!$K$7:$K$34,"Brake",'abrasion emissions'!$L$7:$L$34,"b")*POWER(('vehicles specifications'!$Q41/1000),(1/SUMIFS('abrasion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specifications'!$P41/1000),(1/SUMIFS('abrasion emissions'!$M$7:$M$34,'abrasion emissions'!$I$7:$I$34,"PM 10",'abrasion emissions'!$J$7:$J$34,"rural",'abrasion emissions'!$K$7:$K$34,"Brake",'abrasion emissions'!$L$7:$L$34,"c")))))/1000000</f>
        <v>1.6107282837570491E-6</v>
      </c>
      <c r="CS41" s="7">
        <f>((SUMIFS('abrasion emissions'!$M$7:$M$34,'abrasion emissions'!$I$7:$I$34,"PM 2.5",'abrasion emissions'!$J$7:$J$34,"motorway",'abrasion emissions'!$K$7:$K$34,"Brake",'abrasion emissions'!$L$7:$L$34,"b")*POWER(('vehicles specifications'!$Q41/1000),(1/SUMIFS('abrasion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specifications'!$P41/1000),(1/SUMIFS('abrasion emissions'!$M$7:$M$34,'abrasion emissions'!$I$7:$I$34,"PM 10",'abrasion emissions'!$J$7:$J$34,"motorway",'abrasion emissions'!$K$7:$K$34,"Brake",'abrasion emissions'!$L$7:$L$34,"c")))))/1000000</f>
        <v>2.9311644471204378E-7</v>
      </c>
      <c r="CT41" s="7">
        <f>((SUMIFS('abrasion emissions'!$M$7:$M$38,'abrasion emissions'!$I$7:$I$38,"PM 2.5",'abrasion emissions'!$K$7:$K$38,"Re-susp.",'abrasion emissions'!$L$7:$L$38,"b")*POWER(('vehicles specifications'!$Q41/1000),(1/SUMIFS('abrasion emissions'!$M$7:$M$38,'abrasion emissions'!$I$7:$I$38,"PM 2.5",'abrasion emissions'!$K$7:$K$38,"Re-susp.",'abrasion emissions'!$L$7:$L$38,"c"))))+
(SUMIFS('abrasion emissions'!$M$7:$M$38,'abrasion emissions'!$I$7:$I$38,"PM 10",'abrasion emissions'!$K$7:$K$38,"Re-susp.",'abrasion emissions'!$L$7:$L$38,"b")*POWER(('vehicles specifications'!$Q41/1000),(1/SUMIFS('abrasion emissions'!$M$7:$M$38,'abrasion emissions'!$I$7:$I$38,"PM 10",'abrasion emissions'!$K$7:$K$38,"Re-susp.",'abrasion emissions'!$L$7:$L$38,"c")))))/1000000</f>
        <v>3.2793931657361068E-6</v>
      </c>
      <c r="CU41" s="7">
        <f>((SUMIFS('abrasion emissions'!$M$7:$M$38,'abrasion emissions'!$I$7:$I$38,"PM 2.5",'abrasion emissions'!$K$7:$K$38,"Road",'abrasion emissions'!$L$7:$L$38,"b")*POWER(('vehicles specifications'!$Q41/1000),(1/SUMIFS('abrasion emissions'!$M$7:$M$38,'abrasion emissions'!$I$7:$I$38,"PM 2.5",'abrasion emissions'!$K$7:$K$38,"Road",'abrasion emissions'!$L$7:$L$38,"c"))))+
(SUMIFS('abrasion emissions'!$M$7:$M$38,'abrasion emissions'!$I$7:$I$38,"PM 10",'abrasion emissions'!$K$7:$K$38,"Road",'abrasion emissions'!$L$7:$L$38,"b")*POWER(('vehicles specifications'!$Q41/1000),(1/SUMIFS('abrasion emissions'!$M$7:$M$38,'abrasion emissions'!$I$7:$I$38,"PM 10",'abrasion emissions'!$K$7:$K$38,"Road",'abrasion emissions'!$L$7:$L$38,"c")))))/1000000+CT41</f>
        <v>6.4124136942294567E-6</v>
      </c>
      <c r="CV41" s="7">
        <f t="shared" si="13"/>
        <v>5.3069324066711127E-6</v>
      </c>
      <c r="CW41" s="7">
        <f t="shared" si="14"/>
        <v>5.1552806020513532E-6</v>
      </c>
    </row>
    <row r="42" spans="1:101" x14ac:dyDescent="0.2">
      <c r="A42" t="str">
        <f t="shared" si="39"/>
        <v>Bicycle, electric, cargo bike - 2050 - LFP - CH</v>
      </c>
      <c r="B42" t="s">
        <v>271</v>
      </c>
      <c r="D42" s="18">
        <v>2050</v>
      </c>
      <c r="E42" t="s">
        <v>37</v>
      </c>
      <c r="F42" t="s">
        <v>138</v>
      </c>
      <c r="G42" t="s">
        <v>39</v>
      </c>
      <c r="H42" t="s">
        <v>32</v>
      </c>
      <c r="I42" t="s">
        <v>44</v>
      </c>
      <c r="J42">
        <v>20000</v>
      </c>
      <c r="K42">
        <v>2000</v>
      </c>
      <c r="L42" s="2">
        <f t="shared" si="40"/>
        <v>10</v>
      </c>
      <c r="M42">
        <v>1</v>
      </c>
      <c r="N42">
        <v>75</v>
      </c>
      <c r="O42">
        <v>50</v>
      </c>
      <c r="P42" s="2">
        <f t="shared" si="41"/>
        <v>45.04</v>
      </c>
      <c r="Q42" s="2">
        <f t="shared" si="42"/>
        <v>170.04</v>
      </c>
      <c r="R42">
        <v>0.25</v>
      </c>
      <c r="S42" s="2">
        <v>38</v>
      </c>
      <c r="T42" s="1">
        <v>7.0000000000000007E-2</v>
      </c>
      <c r="U42" s="2">
        <f t="shared" si="43"/>
        <v>35.339999999999996</v>
      </c>
      <c r="V42">
        <v>0</v>
      </c>
      <c r="W42">
        <v>3.7</v>
      </c>
      <c r="X42" s="3">
        <v>1</v>
      </c>
      <c r="Y42" s="1">
        <v>0.8</v>
      </c>
      <c r="Z42" s="3">
        <f t="shared" si="44"/>
        <v>0.8</v>
      </c>
      <c r="AA42" s="3">
        <f>IF(I42&lt;&gt;"",X42/INDEX('energy battery'!$B$3:$D$6,MATCH('vehicles specifications'!$D42,'energy battery'!$A$3:$A$6,0),MATCH('vehicles specifications'!$I42,'energy battery'!$B$2:$D$2,0)),"")</f>
        <v>5</v>
      </c>
      <c r="AB42" s="3">
        <f t="shared" si="52"/>
        <v>1</v>
      </c>
      <c r="AC42" s="3">
        <f t="shared" si="45"/>
        <v>6</v>
      </c>
      <c r="AD42">
        <v>0</v>
      </c>
      <c r="AE42">
        <v>0</v>
      </c>
      <c r="AF42">
        <v>0</v>
      </c>
      <c r="AG42">
        <v>0</v>
      </c>
      <c r="AH42">
        <v>0</v>
      </c>
      <c r="AI42">
        <v>0.5</v>
      </c>
      <c r="AJ42">
        <v>1</v>
      </c>
      <c r="AK42" s="6">
        <f t="shared" si="38"/>
        <v>1.3333333333333333</v>
      </c>
      <c r="AL42">
        <f t="shared" si="46"/>
        <v>9.131148E-5</v>
      </c>
      <c r="AM42">
        <v>0</v>
      </c>
      <c r="AN42" s="2">
        <f t="shared" si="47"/>
        <v>35.339999999999996</v>
      </c>
      <c r="AO42" s="2">
        <f t="shared" si="48"/>
        <v>3.7</v>
      </c>
      <c r="AP42" s="2">
        <f t="shared" si="49"/>
        <v>6</v>
      </c>
      <c r="AQ42" s="6" t="s">
        <v>85</v>
      </c>
      <c r="AR42" s="20"/>
      <c r="AS42" s="5">
        <v>3.4708323163290214E-2</v>
      </c>
      <c r="AT42" s="2">
        <f t="shared" si="12"/>
        <v>82.977215189873419</v>
      </c>
      <c r="AU42" s="5">
        <v>0</v>
      </c>
      <c r="AV42" s="5">
        <v>0</v>
      </c>
      <c r="AW42" s="7">
        <v>0</v>
      </c>
      <c r="AX42" s="7">
        <v>0</v>
      </c>
      <c r="AY42" s="7">
        <v>0</v>
      </c>
      <c r="AZ42" s="7">
        <v>0</v>
      </c>
      <c r="BA42" s="7">
        <v>0</v>
      </c>
      <c r="BB42" s="7">
        <v>0</v>
      </c>
      <c r="BC42" s="7">
        <v>0</v>
      </c>
      <c r="BD42" s="7">
        <v>0</v>
      </c>
      <c r="BE42" s="7">
        <v>0</v>
      </c>
      <c r="BF42" s="7">
        <v>0</v>
      </c>
      <c r="BG42" s="7">
        <v>0</v>
      </c>
      <c r="BH42" s="7">
        <v>0</v>
      </c>
      <c r="BI42" s="7">
        <v>0</v>
      </c>
      <c r="BJ42" s="7">
        <v>0</v>
      </c>
      <c r="BK42" s="7">
        <v>0</v>
      </c>
      <c r="BL42" s="7">
        <v>0</v>
      </c>
      <c r="BM42" s="7">
        <v>0</v>
      </c>
      <c r="BN42" s="7">
        <v>0</v>
      </c>
      <c r="BO42" s="7">
        <v>0</v>
      </c>
      <c r="BP42" s="7">
        <v>0</v>
      </c>
      <c r="BQ42" s="7">
        <v>0</v>
      </c>
      <c r="BR42" s="7">
        <v>0</v>
      </c>
      <c r="BS42" s="7">
        <v>0</v>
      </c>
      <c r="BT42" s="7">
        <v>0</v>
      </c>
      <c r="BU42" s="7">
        <v>0</v>
      </c>
      <c r="BV42" s="7">
        <v>0</v>
      </c>
      <c r="BW42" s="7">
        <v>0</v>
      </c>
      <c r="BX42" s="7">
        <v>0</v>
      </c>
      <c r="BY42" s="7">
        <v>0</v>
      </c>
      <c r="BZ42" s="7">
        <v>0</v>
      </c>
      <c r="CA42" s="7">
        <v>0</v>
      </c>
      <c r="CB42" s="7">
        <v>0</v>
      </c>
      <c r="CC42" s="7">
        <v>0</v>
      </c>
      <c r="CD42" s="7">
        <v>0</v>
      </c>
      <c r="CE42" s="7">
        <v>0</v>
      </c>
      <c r="CF42" s="7">
        <v>0</v>
      </c>
      <c r="CG42" s="7">
        <v>0</v>
      </c>
      <c r="CH42" s="7">
        <v>0</v>
      </c>
      <c r="CI42" s="7">
        <v>0</v>
      </c>
      <c r="CJ42" s="7">
        <v>0</v>
      </c>
      <c r="CK42" s="38">
        <f>VLOOKUP($B42,'abrasion emissions'!$O$7:$R$36,2,FALSE)</f>
        <v>1</v>
      </c>
      <c r="CL42" s="38">
        <f>VLOOKUP($B42,'abrasion emissions'!$O$7:$R$36,3,FALSE)</f>
        <v>0</v>
      </c>
      <c r="CM42" s="38">
        <f>VLOOKUP($B42,'abrasion emissions'!$O$7:$R$36,4,FALSE)</f>
        <v>0</v>
      </c>
      <c r="CN42" s="7">
        <f>((SUMIFS('abrasion emissions'!$M$7:$M$34,'abrasion emissions'!$I$7:$I$34,"PM 2.5",'abrasion emissions'!$J$7:$J$34,"urban",'abrasion emissions'!$K$7:$K$34,"Tyre",'abrasion emissions'!$L$7:$L$34,"b")*POWER(('vehicles specifications'!$Q42/1000),(1/SUMIFS('abrasion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specifications'!$P42/1000),(1/SUMIFS('abrasion emissions'!$M$7:$M$34,'abrasion emissions'!$I$7:$I$34,"PM 10",'abrasion emissions'!$J$7:$J$34,"urban",'abrasion emissions'!$K$7:$K$34,"Tyre",'abrasion emissions'!$L$7:$L$34,"c")))))/1000000</f>
        <v>5.3022481207505905E-6</v>
      </c>
      <c r="CO42" s="7">
        <f>((SUMIFS('abrasion emissions'!$M$7:$M$34,'abrasion emissions'!$I$7:$I$34,"PM 2.5",'abrasion emissions'!$J$7:$J$34,"rural",'abrasion emissions'!$K$7:$K$34,"Tyre",'abrasion emissions'!$L$7:$L$34,"b")*POWER(('vehicles specifications'!$Q42/1000),(1/SUMIFS('abrasion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specifications'!$P42/1000),(1/SUMIFS('abrasion emissions'!$M$7:$M$34,'abrasion emissions'!$I$7:$I$34,"PM 10",'abrasion emissions'!$J$7:$J$34,"rural",'abrasion emissions'!$K$7:$K$34,"Tyre",'abrasion emissions'!$L$7:$L$34,"c")))))/1000000</f>
        <v>4.1313702527817513E-6</v>
      </c>
      <c r="CP42" s="7">
        <f>((SUMIFS('abrasion emissions'!$M$7:$M$34,'abrasion emissions'!$I$7:$I$34,"PM 2.5",'abrasion emissions'!$J$7:$J$34,"motorway",'abrasion emissions'!$K$7:$K$34,"Tyre",'abrasion emissions'!$L$7:$L$34,"b")*POWER(('vehicles specifications'!$Q42/1000),(1/SUMIFS('abrasion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specifications'!$P42/1000),(1/SUMIFS('abrasion emissions'!$M$7:$M$34,'abrasion emissions'!$I$7:$I$34,"PM 10",'abrasion emissions'!$J$7:$J$34,"motorway",'abrasion emissions'!$K$7:$K$34,"Tyre",'abrasion emissions'!$L$7:$L$34,"c")))))/1000000</f>
        <v>3.5329422506170095E-6</v>
      </c>
      <c r="CQ42" s="7">
        <f>((SUMIFS('abrasion emissions'!$M$7:$M$34,'abrasion emissions'!$I$7:$I$34,"PM 2.5",'abrasion emissions'!$J$7:$J$34,"urban",'abrasion emissions'!$K$7:$K$34,"Brake",'abrasion emissions'!$L$7:$L$34,"b")*POWER(('vehicles specifications'!$Q42/1000),(1/SUMIFS('abrasion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specifications'!$P42/1000),(1/SUMIFS('abrasion emissions'!$M$7:$M$34,'abrasion emissions'!$I$7:$I$34,"PM 10",'abrasion emissions'!$J$7:$J$34,"urban",'abrasion emissions'!$K$7:$K$34,"Brake",'abrasion emissions'!$L$7:$L$34,"c")))))/1000000</f>
        <v>5.1508364825503638E-6</v>
      </c>
      <c r="CR42" s="7">
        <f>((SUMIFS('abrasion emissions'!$M$7:$M$34,'abrasion emissions'!$I$7:$I$34,"PM 2.5",'abrasion emissions'!$J$7:$J$34,"rural",'abrasion emissions'!$K$7:$K$34,"Brake",'abrasion emissions'!$L$7:$L$34,"b")*POWER(('vehicles specifications'!$Q42/1000),(1/SUMIFS('abrasion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specifications'!$P42/1000),(1/SUMIFS('abrasion emissions'!$M$7:$M$34,'abrasion emissions'!$I$7:$I$34,"PM 10",'abrasion emissions'!$J$7:$J$34,"rural",'abrasion emissions'!$K$7:$K$34,"Brake",'abrasion emissions'!$L$7:$L$34,"c")))))/1000000</f>
        <v>1.6090299723133019E-6</v>
      </c>
      <c r="CS42" s="7">
        <f>((SUMIFS('abrasion emissions'!$M$7:$M$34,'abrasion emissions'!$I$7:$I$34,"PM 2.5",'abrasion emissions'!$J$7:$J$34,"motorway",'abrasion emissions'!$K$7:$K$34,"Brake",'abrasion emissions'!$L$7:$L$34,"b")*POWER(('vehicles specifications'!$Q42/1000),(1/SUMIFS('abrasion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specifications'!$P42/1000),(1/SUMIFS('abrasion emissions'!$M$7:$M$34,'abrasion emissions'!$I$7:$I$34,"PM 10",'abrasion emissions'!$J$7:$J$34,"motorway",'abrasion emissions'!$K$7:$K$34,"Brake",'abrasion emissions'!$L$7:$L$34,"c")))))/1000000</f>
        <v>2.9277104352806159E-7</v>
      </c>
      <c r="CT42" s="7">
        <f>((SUMIFS('abrasion emissions'!$M$7:$M$38,'abrasion emissions'!$I$7:$I$38,"PM 2.5",'abrasion emissions'!$K$7:$K$38,"Re-susp.",'abrasion emissions'!$L$7:$L$38,"b")*POWER(('vehicles specifications'!$Q42/1000),(1/SUMIFS('abrasion emissions'!$M$7:$M$38,'abrasion emissions'!$I$7:$I$38,"PM 2.5",'abrasion emissions'!$K$7:$K$38,"Re-susp.",'abrasion emissions'!$L$7:$L$38,"c"))))+
(SUMIFS('abrasion emissions'!$M$7:$M$38,'abrasion emissions'!$I$7:$I$38,"PM 10",'abrasion emissions'!$K$7:$K$38,"Re-susp.",'abrasion emissions'!$L$7:$L$38,"b")*POWER(('vehicles specifications'!$Q42/1000),(1/SUMIFS('abrasion emissions'!$M$7:$M$38,'abrasion emissions'!$I$7:$I$38,"PM 10",'abrasion emissions'!$K$7:$K$38,"Re-susp.",'abrasion emissions'!$L$7:$L$38,"c")))))/1000000</f>
        <v>3.276007178116135E-6</v>
      </c>
      <c r="CU42" s="7">
        <f>((SUMIFS('abrasion emissions'!$M$7:$M$38,'abrasion emissions'!$I$7:$I$38,"PM 2.5",'abrasion emissions'!$K$7:$K$38,"Road",'abrasion emissions'!$L$7:$L$38,"b")*POWER(('vehicles specifications'!$Q42/1000),(1/SUMIFS('abrasion emissions'!$M$7:$M$38,'abrasion emissions'!$I$7:$I$38,"PM 2.5",'abrasion emissions'!$K$7:$K$38,"Road",'abrasion emissions'!$L$7:$L$38,"c"))))+
(SUMIFS('abrasion emissions'!$M$7:$M$38,'abrasion emissions'!$I$7:$I$38,"PM 10",'abrasion emissions'!$K$7:$K$38,"Road",'abrasion emissions'!$L$7:$L$38,"b")*POWER(('vehicles specifications'!$Q42/1000),(1/SUMIFS('abrasion emissions'!$M$7:$M$38,'abrasion emissions'!$I$7:$I$38,"PM 10",'abrasion emissions'!$K$7:$K$38,"Road",'abrasion emissions'!$L$7:$L$38,"c")))))/1000000+CT42</f>
        <v>6.4066551512467225E-6</v>
      </c>
      <c r="CV42" s="7">
        <f t="shared" si="13"/>
        <v>5.3022481207505905E-6</v>
      </c>
      <c r="CW42" s="7">
        <f t="shared" si="14"/>
        <v>5.1508364825503638E-6</v>
      </c>
    </row>
    <row r="43" spans="1:101" x14ac:dyDescent="0.2">
      <c r="A43" t="str">
        <f t="shared" ref="A43:A54" si="53">B43&amp;" - "&amp;D43&amp;" - "&amp;IF(I43&lt;&gt;"",I43&amp;" - "&amp;E43,E43)</f>
        <v>Bicycle, electric (&lt;25 km/h) - 2020 - NCA - CH</v>
      </c>
      <c r="B43" t="s">
        <v>264</v>
      </c>
      <c r="D43" s="18">
        <v>2020</v>
      </c>
      <c r="E43" t="s">
        <v>37</v>
      </c>
      <c r="F43" t="s">
        <v>138</v>
      </c>
      <c r="G43" t="s">
        <v>39</v>
      </c>
      <c r="H43" t="s">
        <v>32</v>
      </c>
      <c r="I43" t="s">
        <v>45</v>
      </c>
      <c r="J43">
        <v>20000</v>
      </c>
      <c r="K43">
        <v>2000</v>
      </c>
      <c r="L43" s="2">
        <f t="shared" ref="L43:L54" si="54">J43/K43</f>
        <v>10</v>
      </c>
      <c r="M43">
        <v>1</v>
      </c>
      <c r="N43">
        <v>75</v>
      </c>
      <c r="O43">
        <v>1</v>
      </c>
      <c r="P43" s="2">
        <f t="shared" ref="P43:P54" si="55">SUM(U43,V43,W43,AC43,AF43,AH43)</f>
        <v>22.826086956521738</v>
      </c>
      <c r="Q43" s="2">
        <f t="shared" ref="Q43:Q54" si="56">P43+(M43*N43)+O43</f>
        <v>98.826086956521735</v>
      </c>
      <c r="R43">
        <v>0.25</v>
      </c>
      <c r="S43" s="2">
        <v>16</v>
      </c>
      <c r="T43" s="1">
        <v>0</v>
      </c>
      <c r="U43" s="2">
        <f t="shared" ref="U43:U54" si="57">S43*(1-T43)</f>
        <v>16</v>
      </c>
      <c r="V43">
        <v>0</v>
      </c>
      <c r="W43">
        <v>4</v>
      </c>
      <c r="X43" s="3">
        <v>0.5</v>
      </c>
      <c r="Y43" s="1">
        <v>0.8</v>
      </c>
      <c r="Z43" s="3">
        <f t="shared" ref="Z43:Z54" si="58">Y43*X43</f>
        <v>0.4</v>
      </c>
      <c r="AA43" s="3">
        <f>IF(I43&lt;&gt;"",X43/INDEX('energy battery'!$B$3:$D$6,MATCH('vehicles specifications'!$D43,'energy battery'!$A$3:$A$6,0),MATCH('vehicles specifications'!$I43,'energy battery'!$B$2:$D$2,0)),"")</f>
        <v>2.1739130434782608</v>
      </c>
      <c r="AB43" s="3">
        <f t="shared" si="6"/>
        <v>0.65217391304347816</v>
      </c>
      <c r="AC43" s="3">
        <f t="shared" ref="AC43:AC54" si="59">IF(AA43&lt;&gt;"",AB43+AA43,"")</f>
        <v>2.8260869565217388</v>
      </c>
      <c r="AD43">
        <v>1</v>
      </c>
      <c r="AE43">
        <v>0</v>
      </c>
      <c r="AF43">
        <v>0</v>
      </c>
      <c r="AG43">
        <v>0</v>
      </c>
      <c r="AH43">
        <v>0</v>
      </c>
      <c r="AI43">
        <v>0.5</v>
      </c>
      <c r="AJ43">
        <v>1</v>
      </c>
      <c r="AK43" s="6">
        <f t="shared" si="38"/>
        <v>1.3333333333333333</v>
      </c>
      <c r="AL43">
        <f t="shared" ref="AL43:AL54" si="60">0.000537/1000*Q43</f>
        <v>5.3069608695652174E-5</v>
      </c>
      <c r="AM43">
        <v>0</v>
      </c>
      <c r="AN43" s="2">
        <f t="shared" ref="AN43:AN54" si="61">U43</f>
        <v>16</v>
      </c>
      <c r="AO43" s="2">
        <f t="shared" ref="AO43:AO54" si="62">SUM(V43:W43)</f>
        <v>4</v>
      </c>
      <c r="AP43" s="2">
        <f t="shared" ref="AP43:AP54" si="63">AC43</f>
        <v>2.8260869565217388</v>
      </c>
      <c r="AQ43" s="6" t="s">
        <v>85</v>
      </c>
      <c r="AR43" s="20"/>
      <c r="AS43" s="5">
        <v>2.4670639149862349E-2</v>
      </c>
      <c r="AT43" s="2">
        <f t="shared" si="12"/>
        <v>58.368978251949123</v>
      </c>
      <c r="AU43" s="5">
        <v>0</v>
      </c>
      <c r="AV43" s="5">
        <v>0</v>
      </c>
      <c r="AW43" s="7">
        <v>0</v>
      </c>
      <c r="AX43" s="7">
        <v>0</v>
      </c>
      <c r="AY43" s="7">
        <v>0</v>
      </c>
      <c r="AZ43" s="7">
        <v>0</v>
      </c>
      <c r="BA43" s="7">
        <v>0</v>
      </c>
      <c r="BB43" s="7">
        <v>0</v>
      </c>
      <c r="BC43" s="7">
        <v>0</v>
      </c>
      <c r="BD43" s="7">
        <v>0</v>
      </c>
      <c r="BE43" s="7">
        <v>0</v>
      </c>
      <c r="BF43" s="7">
        <v>0</v>
      </c>
      <c r="BG43" s="7">
        <v>0</v>
      </c>
      <c r="BH43" s="7">
        <v>0</v>
      </c>
      <c r="BI43" s="7">
        <v>0</v>
      </c>
      <c r="BJ43" s="7">
        <v>0</v>
      </c>
      <c r="BK43" s="7">
        <v>0</v>
      </c>
      <c r="BL43" s="7">
        <v>0</v>
      </c>
      <c r="BM43" s="7">
        <v>0</v>
      </c>
      <c r="BN43" s="7">
        <v>0</v>
      </c>
      <c r="BO43" s="7">
        <v>0</v>
      </c>
      <c r="BP43" s="7">
        <v>0</v>
      </c>
      <c r="BQ43" s="7">
        <v>0</v>
      </c>
      <c r="BR43" s="7">
        <v>0</v>
      </c>
      <c r="BS43" s="7">
        <v>0</v>
      </c>
      <c r="BT43" s="7">
        <v>0</v>
      </c>
      <c r="BU43" s="7">
        <v>0</v>
      </c>
      <c r="BV43" s="7">
        <v>0</v>
      </c>
      <c r="BW43" s="7">
        <v>0</v>
      </c>
      <c r="BX43" s="7">
        <v>0</v>
      </c>
      <c r="BY43" s="7">
        <v>0</v>
      </c>
      <c r="BZ43" s="7">
        <v>0</v>
      </c>
      <c r="CA43" s="7">
        <v>0</v>
      </c>
      <c r="CB43" s="7">
        <v>0</v>
      </c>
      <c r="CC43" s="7">
        <v>0</v>
      </c>
      <c r="CD43" s="7">
        <v>0</v>
      </c>
      <c r="CE43" s="7">
        <v>0</v>
      </c>
      <c r="CF43" s="7">
        <v>0</v>
      </c>
      <c r="CG43" s="7">
        <v>0</v>
      </c>
      <c r="CH43" s="7">
        <v>0</v>
      </c>
      <c r="CI43" s="7">
        <v>0</v>
      </c>
      <c r="CJ43" s="7">
        <v>0</v>
      </c>
      <c r="CK43" s="38">
        <f>VLOOKUP($B43,'abrasion emissions'!$O$7:$R$36,2,FALSE)</f>
        <v>1</v>
      </c>
      <c r="CL43" s="38">
        <f>VLOOKUP($B43,'abrasion emissions'!$O$7:$R$36,3,FALSE)</f>
        <v>0</v>
      </c>
      <c r="CM43" s="38">
        <f>VLOOKUP($B43,'abrasion emissions'!$O$7:$R$36,4,FALSE)</f>
        <v>0</v>
      </c>
      <c r="CN43" s="7">
        <f>((SUMIFS('abrasion emissions'!$M$7:$M$34,'abrasion emissions'!$I$7:$I$34,"PM 2.5",'abrasion emissions'!$J$7:$J$34,"urban",'abrasion emissions'!$K$7:$K$34,"Tyre",'abrasion emissions'!$L$7:$L$34,"b")*POWER(('vehicles specifications'!$Q43/1000),(1/SUMIFS('abrasion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specifications'!$P43/1000),(1/SUMIFS('abrasion emissions'!$M$7:$M$34,'abrasion emissions'!$I$7:$I$34,"PM 10",'abrasion emissions'!$J$7:$J$34,"urban",'abrasion emissions'!$K$7:$K$34,"Tyre",'abrasion emissions'!$L$7:$L$34,"c")))))/1000000</f>
        <v>4.1190422847669845E-6</v>
      </c>
      <c r="CO43" s="7">
        <f>((SUMIFS('abrasion emissions'!$M$7:$M$34,'abrasion emissions'!$I$7:$I$34,"PM 2.5",'abrasion emissions'!$J$7:$J$34,"rural",'abrasion emissions'!$K$7:$K$34,"Tyre",'abrasion emissions'!$L$7:$L$34,"b")*POWER(('vehicles specifications'!$Q43/1000),(1/SUMIFS('abrasion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specifications'!$P43/1000),(1/SUMIFS('abrasion emissions'!$M$7:$M$34,'abrasion emissions'!$I$7:$I$34,"PM 10",'abrasion emissions'!$J$7:$J$34,"rural",'abrasion emissions'!$K$7:$K$34,"Tyre",'abrasion emissions'!$L$7:$L$34,"c")))))/1000000</f>
        <v>3.2096756635882126E-6</v>
      </c>
      <c r="CP43" s="7">
        <f>((SUMIFS('abrasion emissions'!$M$7:$M$34,'abrasion emissions'!$I$7:$I$34,"PM 2.5",'abrasion emissions'!$J$7:$J$34,"motorway",'abrasion emissions'!$K$7:$K$34,"Tyre",'abrasion emissions'!$L$7:$L$34,"b")*POWER(('vehicles specifications'!$Q43/1000),(1/SUMIFS('abrasion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specifications'!$P43/1000),(1/SUMIFS('abrasion emissions'!$M$7:$M$34,'abrasion emissions'!$I$7:$I$34,"PM 10",'abrasion emissions'!$J$7:$J$34,"motorway",'abrasion emissions'!$K$7:$K$34,"Tyre",'abrasion emissions'!$L$7:$L$34,"c")))))/1000000</f>
        <v>2.7453264027521539E-6</v>
      </c>
      <c r="CQ43" s="7">
        <f>((SUMIFS('abrasion emissions'!$M$7:$M$34,'abrasion emissions'!$I$7:$I$34,"PM 2.5",'abrasion emissions'!$J$7:$J$34,"urban",'abrasion emissions'!$K$7:$K$34,"Brake",'abrasion emissions'!$L$7:$L$34,"b")*POWER(('vehicles specifications'!$Q43/1000),(1/SUMIFS('abrasion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specifications'!$P43/1000),(1/SUMIFS('abrasion emissions'!$M$7:$M$34,'abrasion emissions'!$I$7:$I$34,"PM 10",'abrasion emissions'!$J$7:$J$34,"urban",'abrasion emissions'!$K$7:$K$34,"Brake",'abrasion emissions'!$L$7:$L$34,"c")))))/1000000</f>
        <v>3.8281697391828444E-6</v>
      </c>
      <c r="CR43" s="7">
        <f>((SUMIFS('abrasion emissions'!$M$7:$M$34,'abrasion emissions'!$I$7:$I$34,"PM 2.5",'abrasion emissions'!$J$7:$J$34,"rural",'abrasion emissions'!$K$7:$K$34,"Brake",'abrasion emissions'!$L$7:$L$34,"b")*POWER(('vehicles specifications'!$Q43/1000),(1/SUMIFS('abrasion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specifications'!$P43/1000),(1/SUMIFS('abrasion emissions'!$M$7:$M$34,'abrasion emissions'!$I$7:$I$34,"PM 10",'abrasion emissions'!$J$7:$J$34,"rural",'abrasion emissions'!$K$7:$K$34,"Brake",'abrasion emissions'!$L$7:$L$34,"c")))))/1000000</f>
        <v>1.1067349873561749E-6</v>
      </c>
      <c r="CS43" s="7">
        <f>((SUMIFS('abrasion emissions'!$M$7:$M$34,'abrasion emissions'!$I$7:$I$34,"PM 2.5",'abrasion emissions'!$J$7:$J$34,"motorway",'abrasion emissions'!$K$7:$K$34,"Brake",'abrasion emissions'!$L$7:$L$34,"b")*POWER(('vehicles specifications'!$Q43/1000),(1/SUMIFS('abrasion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specifications'!$P43/1000),(1/SUMIFS('abrasion emissions'!$M$7:$M$34,'abrasion emissions'!$I$7:$I$34,"PM 10",'abrasion emissions'!$J$7:$J$34,"motorway",'abrasion emissions'!$K$7:$K$34,"Brake",'abrasion emissions'!$L$7:$L$34,"c")))))/1000000</f>
        <v>1.9043022215576232E-7</v>
      </c>
      <c r="CT43" s="7">
        <f>((SUMIFS('abrasion emissions'!$M$7:$M$38,'abrasion emissions'!$I$7:$I$38,"PM 2.5",'abrasion emissions'!$K$7:$K$38,"Re-susp.",'abrasion emissions'!$L$7:$L$38,"b")*POWER(('vehicles specifications'!$Q43/1000),(1/SUMIFS('abrasion emissions'!$M$7:$M$38,'abrasion emissions'!$I$7:$I$38,"PM 2.5",'abrasion emissions'!$K$7:$K$38,"Re-susp.",'abrasion emissions'!$L$7:$L$38,"c"))))+
(SUMIFS('abrasion emissions'!$M$7:$M$38,'abrasion emissions'!$I$7:$I$38,"PM 10",'abrasion emissions'!$K$7:$K$38,"Re-susp.",'abrasion emissions'!$L$7:$L$38,"b")*POWER(('vehicles specifications'!$Q43/1000),(1/SUMIFS('abrasion emissions'!$M$7:$M$38,'abrasion emissions'!$I$7:$I$38,"PM 10",'abrasion emissions'!$K$7:$K$38,"Re-susp.",'abrasion emissions'!$L$7:$L$38,"c")))))/1000000</f>
        <v>2.0002798352814563E-6</v>
      </c>
      <c r="CU43" s="7">
        <f>((SUMIFS('abrasion emissions'!$M$7:$M$38,'abrasion emissions'!$I$7:$I$38,"PM 2.5",'abrasion emissions'!$K$7:$K$38,"Road",'abrasion emissions'!$L$7:$L$38,"b")*POWER(('vehicles specifications'!$Q43/1000),(1/SUMIFS('abrasion emissions'!$M$7:$M$38,'abrasion emissions'!$I$7:$I$38,"PM 2.5",'abrasion emissions'!$K$7:$K$38,"Road",'abrasion emissions'!$L$7:$L$38,"c"))))+
(SUMIFS('abrasion emissions'!$M$7:$M$38,'abrasion emissions'!$I$7:$I$38,"PM 10",'abrasion emissions'!$K$7:$K$38,"Road",'abrasion emissions'!$L$7:$L$38,"b")*POWER(('vehicles specifications'!$Q43/1000),(1/SUMIFS('abrasion emissions'!$M$7:$M$38,'abrasion emissions'!$I$7:$I$38,"PM 10",'abrasion emissions'!$K$7:$K$38,"Road",'abrasion emissions'!$L$7:$L$38,"c")))))/1000000+CT43</f>
        <v>4.1805713849765551E-6</v>
      </c>
      <c r="CV43" s="7">
        <f t="shared" si="13"/>
        <v>4.1190422847669845E-6</v>
      </c>
      <c r="CW43" s="7">
        <f t="shared" si="14"/>
        <v>3.8281697391828444E-6</v>
      </c>
    </row>
    <row r="44" spans="1:101" x14ac:dyDescent="0.2">
      <c r="A44" t="str">
        <f t="shared" si="53"/>
        <v>Bicycle, electric (&lt;25 km/h) - 2030 - NCA - CH</v>
      </c>
      <c r="B44" t="s">
        <v>264</v>
      </c>
      <c r="D44" s="18">
        <v>2030</v>
      </c>
      <c r="E44" t="s">
        <v>37</v>
      </c>
      <c r="F44" t="s">
        <v>138</v>
      </c>
      <c r="G44" t="s">
        <v>39</v>
      </c>
      <c r="H44" t="s">
        <v>32</v>
      </c>
      <c r="I44" t="s">
        <v>45</v>
      </c>
      <c r="J44">
        <v>20000</v>
      </c>
      <c r="K44">
        <v>2000</v>
      </c>
      <c r="L44" s="2">
        <f t="shared" si="54"/>
        <v>10</v>
      </c>
      <c r="M44">
        <v>1</v>
      </c>
      <c r="N44">
        <v>75</v>
      </c>
      <c r="O44">
        <v>1</v>
      </c>
      <c r="P44" s="2">
        <f t="shared" si="55"/>
        <v>22.886666666666663</v>
      </c>
      <c r="Q44" s="2">
        <f t="shared" si="56"/>
        <v>98.886666666666656</v>
      </c>
      <c r="R44">
        <v>0.25</v>
      </c>
      <c r="S44" s="2">
        <v>16</v>
      </c>
      <c r="T44" s="1">
        <v>0.03</v>
      </c>
      <c r="U44" s="2">
        <f t="shared" si="57"/>
        <v>15.52</v>
      </c>
      <c r="V44">
        <v>0</v>
      </c>
      <c r="W44">
        <v>3.9</v>
      </c>
      <c r="X44" s="3">
        <v>0.8</v>
      </c>
      <c r="Y44" s="1">
        <v>0.8</v>
      </c>
      <c r="Z44" s="3">
        <f t="shared" si="58"/>
        <v>0.64000000000000012</v>
      </c>
      <c r="AA44" s="3">
        <f>IF(I44&lt;&gt;"",X44/INDEX('energy battery'!$B$3:$D$6,MATCH('vehicles specifications'!$D44,'energy battery'!$A$3:$A$6,0),MATCH('vehicles specifications'!$I44,'energy battery'!$B$2:$D$2,0)),"")</f>
        <v>2.666666666666667</v>
      </c>
      <c r="AB44" s="3">
        <f t="shared" si="6"/>
        <v>0.8</v>
      </c>
      <c r="AC44" s="3">
        <f t="shared" si="59"/>
        <v>3.4666666666666668</v>
      </c>
      <c r="AD44">
        <v>0.5</v>
      </c>
      <c r="AE44">
        <v>0</v>
      </c>
      <c r="AF44">
        <v>0</v>
      </c>
      <c r="AG44">
        <v>0</v>
      </c>
      <c r="AH44">
        <v>0</v>
      </c>
      <c r="AI44">
        <v>0.5</v>
      </c>
      <c r="AJ44">
        <v>1</v>
      </c>
      <c r="AK44" s="6">
        <f t="shared" si="38"/>
        <v>1.3333333333333333</v>
      </c>
      <c r="AL44">
        <f t="shared" si="60"/>
        <v>5.3102139999999997E-5</v>
      </c>
      <c r="AM44">
        <v>0</v>
      </c>
      <c r="AN44" s="2">
        <f t="shared" si="61"/>
        <v>15.52</v>
      </c>
      <c r="AO44" s="2">
        <f t="shared" si="62"/>
        <v>3.9</v>
      </c>
      <c r="AP44" s="2">
        <f t="shared" si="63"/>
        <v>3.4666666666666668</v>
      </c>
      <c r="AQ44" s="6" t="s">
        <v>85</v>
      </c>
      <c r="AR44" s="20"/>
      <c r="AS44" s="5">
        <v>2.4670639149862349E-2</v>
      </c>
      <c r="AT44" s="2">
        <f t="shared" si="12"/>
        <v>93.390365203118606</v>
      </c>
      <c r="AU44" s="5">
        <v>0</v>
      </c>
      <c r="AV44" s="5">
        <v>0</v>
      </c>
      <c r="AW44" s="7">
        <v>0</v>
      </c>
      <c r="AX44" s="7">
        <v>0</v>
      </c>
      <c r="AY44" s="7">
        <v>0</v>
      </c>
      <c r="AZ44" s="7">
        <v>0</v>
      </c>
      <c r="BA44" s="7">
        <v>0</v>
      </c>
      <c r="BB44" s="7">
        <v>0</v>
      </c>
      <c r="BC44" s="7">
        <v>0</v>
      </c>
      <c r="BD44" s="7">
        <v>0</v>
      </c>
      <c r="BE44" s="7">
        <v>0</v>
      </c>
      <c r="BF44" s="7">
        <v>0</v>
      </c>
      <c r="BG44" s="7">
        <v>0</v>
      </c>
      <c r="BH44" s="7">
        <v>0</v>
      </c>
      <c r="BI44" s="7">
        <v>0</v>
      </c>
      <c r="BJ44" s="7">
        <v>0</v>
      </c>
      <c r="BK44" s="7">
        <v>0</v>
      </c>
      <c r="BL44" s="7">
        <v>0</v>
      </c>
      <c r="BM44" s="7">
        <v>0</v>
      </c>
      <c r="BN44" s="7">
        <v>0</v>
      </c>
      <c r="BO44" s="7">
        <v>0</v>
      </c>
      <c r="BP44" s="7">
        <v>0</v>
      </c>
      <c r="BQ44" s="7">
        <v>0</v>
      </c>
      <c r="BR44" s="7">
        <v>0</v>
      </c>
      <c r="BS44" s="7">
        <v>0</v>
      </c>
      <c r="BT44" s="7">
        <v>0</v>
      </c>
      <c r="BU44" s="7">
        <v>0</v>
      </c>
      <c r="BV44" s="7">
        <v>0</v>
      </c>
      <c r="BW44" s="7">
        <v>0</v>
      </c>
      <c r="BX44" s="7">
        <v>0</v>
      </c>
      <c r="BY44" s="7">
        <v>0</v>
      </c>
      <c r="BZ44" s="7">
        <v>0</v>
      </c>
      <c r="CA44" s="7">
        <v>0</v>
      </c>
      <c r="CB44" s="7">
        <v>0</v>
      </c>
      <c r="CC44" s="7">
        <v>0</v>
      </c>
      <c r="CD44" s="7">
        <v>0</v>
      </c>
      <c r="CE44" s="7">
        <v>0</v>
      </c>
      <c r="CF44" s="7">
        <v>0</v>
      </c>
      <c r="CG44" s="7">
        <v>0</v>
      </c>
      <c r="CH44" s="7">
        <v>0</v>
      </c>
      <c r="CI44" s="7">
        <v>0</v>
      </c>
      <c r="CJ44" s="7">
        <v>0</v>
      </c>
      <c r="CK44" s="38">
        <f>VLOOKUP($B44,'abrasion emissions'!$O$7:$R$36,2,FALSE)</f>
        <v>1</v>
      </c>
      <c r="CL44" s="38">
        <f>VLOOKUP($B44,'abrasion emissions'!$O$7:$R$36,3,FALSE)</f>
        <v>0</v>
      </c>
      <c r="CM44" s="38">
        <f>VLOOKUP($B44,'abrasion emissions'!$O$7:$R$36,4,FALSE)</f>
        <v>0</v>
      </c>
      <c r="CN44" s="7">
        <f>((SUMIFS('abrasion emissions'!$M$7:$M$34,'abrasion emissions'!$I$7:$I$34,"PM 2.5",'abrasion emissions'!$J$7:$J$34,"urban",'abrasion emissions'!$K$7:$K$34,"Tyre",'abrasion emissions'!$L$7:$L$34,"b")*POWER(('vehicles specifications'!$Q44/1000),(1/SUMIFS('abrasion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specifications'!$P44/1000),(1/SUMIFS('abrasion emissions'!$M$7:$M$34,'abrasion emissions'!$I$7:$I$34,"PM 10",'abrasion emissions'!$J$7:$J$34,"urban",'abrasion emissions'!$K$7:$K$34,"Tyre",'abrasion emissions'!$L$7:$L$34,"c")))))/1000000</f>
        <v>4.1211339548960909E-6</v>
      </c>
      <c r="CO44" s="7">
        <f>((SUMIFS('abrasion emissions'!$M$7:$M$34,'abrasion emissions'!$I$7:$I$34,"PM 2.5",'abrasion emissions'!$J$7:$J$34,"rural",'abrasion emissions'!$K$7:$K$34,"Tyre",'abrasion emissions'!$L$7:$L$34,"b")*POWER(('vehicles specifications'!$Q44/1000),(1/SUMIFS('abrasion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specifications'!$P44/1000),(1/SUMIFS('abrasion emissions'!$M$7:$M$34,'abrasion emissions'!$I$7:$I$34,"PM 10",'abrasion emissions'!$J$7:$J$34,"rural",'abrasion emissions'!$K$7:$K$34,"Tyre",'abrasion emissions'!$L$7:$L$34,"c")))))/1000000</f>
        <v>3.2113022062760271E-6</v>
      </c>
      <c r="CP44" s="7">
        <f>((SUMIFS('abrasion emissions'!$M$7:$M$34,'abrasion emissions'!$I$7:$I$34,"PM 2.5",'abrasion emissions'!$J$7:$J$34,"motorway",'abrasion emissions'!$K$7:$K$34,"Tyre",'abrasion emissions'!$L$7:$L$34,"b")*POWER(('vehicles specifications'!$Q44/1000),(1/SUMIFS('abrasion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specifications'!$P44/1000),(1/SUMIFS('abrasion emissions'!$M$7:$M$34,'abrasion emissions'!$I$7:$I$34,"PM 10",'abrasion emissions'!$J$7:$J$34,"motorway",'abrasion emissions'!$K$7:$K$34,"Tyre",'abrasion emissions'!$L$7:$L$34,"c")))))/1000000</f>
        <v>2.7467092365406412E-6</v>
      </c>
      <c r="CQ44" s="7">
        <f>((SUMIFS('abrasion emissions'!$M$7:$M$34,'abrasion emissions'!$I$7:$I$34,"PM 2.5",'abrasion emissions'!$J$7:$J$34,"urban",'abrasion emissions'!$K$7:$K$34,"Brake",'abrasion emissions'!$L$7:$L$34,"b")*POWER(('vehicles specifications'!$Q44/1000),(1/SUMIFS('abrasion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specifications'!$P44/1000),(1/SUMIFS('abrasion emissions'!$M$7:$M$34,'abrasion emissions'!$I$7:$I$34,"PM 10",'abrasion emissions'!$J$7:$J$34,"urban",'abrasion emissions'!$K$7:$K$34,"Brake",'abrasion emissions'!$L$7:$L$34,"c")))))/1000000</f>
        <v>3.8300212497294276E-6</v>
      </c>
      <c r="CR44" s="7">
        <f>((SUMIFS('abrasion emissions'!$M$7:$M$34,'abrasion emissions'!$I$7:$I$34,"PM 2.5",'abrasion emissions'!$J$7:$J$34,"rural",'abrasion emissions'!$K$7:$K$34,"Brake",'abrasion emissions'!$L$7:$L$34,"b")*POWER(('vehicles specifications'!$Q44/1000),(1/SUMIFS('abrasion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specifications'!$P44/1000),(1/SUMIFS('abrasion emissions'!$M$7:$M$34,'abrasion emissions'!$I$7:$I$34,"PM 10",'abrasion emissions'!$J$7:$J$34,"rural",'abrasion emissions'!$K$7:$K$34,"Brake",'abrasion emissions'!$L$7:$L$34,"c")))))/1000000</f>
        <v>1.107384193411907E-6</v>
      </c>
      <c r="CS44" s="7">
        <f>((SUMIFS('abrasion emissions'!$M$7:$M$34,'abrasion emissions'!$I$7:$I$34,"PM 2.5",'abrasion emissions'!$J$7:$J$34,"motorway",'abrasion emissions'!$K$7:$K$34,"Brake",'abrasion emissions'!$L$7:$L$34,"b")*POWER(('vehicles specifications'!$Q44/1000),(1/SUMIFS('abrasion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specifications'!$P44/1000),(1/SUMIFS('abrasion emissions'!$M$7:$M$34,'abrasion emissions'!$I$7:$I$34,"PM 10",'abrasion emissions'!$J$7:$J$34,"motorway",'abrasion emissions'!$K$7:$K$34,"Brake",'abrasion emissions'!$L$7:$L$34,"c")))))/1000000</f>
        <v>1.9055429036217945E-7</v>
      </c>
      <c r="CT44" s="7">
        <f>((SUMIFS('abrasion emissions'!$M$7:$M$38,'abrasion emissions'!$I$7:$I$38,"PM 2.5",'abrasion emissions'!$K$7:$K$38,"Re-susp.",'abrasion emissions'!$L$7:$L$38,"b")*POWER(('vehicles specifications'!$Q44/1000),(1/SUMIFS('abrasion emissions'!$M$7:$M$38,'abrasion emissions'!$I$7:$I$38,"PM 2.5",'abrasion emissions'!$K$7:$K$38,"Re-susp.",'abrasion emissions'!$L$7:$L$38,"c"))))+
(SUMIFS('abrasion emissions'!$M$7:$M$38,'abrasion emissions'!$I$7:$I$38,"PM 10",'abrasion emissions'!$K$7:$K$38,"Re-susp.",'abrasion emissions'!$L$7:$L$38,"b")*POWER(('vehicles specifications'!$Q44/1000),(1/SUMIFS('abrasion emissions'!$M$7:$M$38,'abrasion emissions'!$I$7:$I$38,"PM 10",'abrasion emissions'!$K$7:$K$38,"Re-susp.",'abrasion emissions'!$L$7:$L$38,"c")))))/1000000</f>
        <v>2.0013944930949743E-6</v>
      </c>
      <c r="CU44" s="7">
        <f>((SUMIFS('abrasion emissions'!$M$7:$M$38,'abrasion emissions'!$I$7:$I$38,"PM 2.5",'abrasion emissions'!$K$7:$K$38,"Road",'abrasion emissions'!$L$7:$L$38,"b")*POWER(('vehicles specifications'!$Q44/1000),(1/SUMIFS('abrasion emissions'!$M$7:$M$38,'abrasion emissions'!$I$7:$I$38,"PM 2.5",'abrasion emissions'!$K$7:$K$38,"Road",'abrasion emissions'!$L$7:$L$38,"c"))))+
(SUMIFS('abrasion emissions'!$M$7:$M$38,'abrasion emissions'!$I$7:$I$38,"PM 10",'abrasion emissions'!$K$7:$K$38,"Road",'abrasion emissions'!$L$7:$L$38,"b")*POWER(('vehicles specifications'!$Q44/1000),(1/SUMIFS('abrasion emissions'!$M$7:$M$38,'abrasion emissions'!$I$7:$I$38,"PM 10",'abrasion emissions'!$K$7:$K$38,"Road",'abrasion emissions'!$L$7:$L$38,"c")))))/1000000+CT44</f>
        <v>4.1825769542466615E-6</v>
      </c>
      <c r="CV44" s="7">
        <f t="shared" si="13"/>
        <v>4.1211339548960909E-6</v>
      </c>
      <c r="CW44" s="7">
        <f t="shared" si="14"/>
        <v>3.8300212497294276E-6</v>
      </c>
    </row>
    <row r="45" spans="1:101" x14ac:dyDescent="0.2">
      <c r="A45" t="str">
        <f t="shared" si="53"/>
        <v>Bicycle, electric (&lt;25 km/h) - 2040 - NCA - CH</v>
      </c>
      <c r="B45" t="s">
        <v>264</v>
      </c>
      <c r="D45" s="18">
        <v>2040</v>
      </c>
      <c r="E45" t="s">
        <v>37</v>
      </c>
      <c r="F45" t="s">
        <v>138</v>
      </c>
      <c r="G45" t="s">
        <v>39</v>
      </c>
      <c r="H45" t="s">
        <v>32</v>
      </c>
      <c r="I45" t="s">
        <v>45</v>
      </c>
      <c r="J45">
        <v>20000</v>
      </c>
      <c r="K45">
        <v>2000</v>
      </c>
      <c r="L45" s="2">
        <f t="shared" si="54"/>
        <v>10</v>
      </c>
      <c r="M45">
        <v>1</v>
      </c>
      <c r="N45">
        <v>75</v>
      </c>
      <c r="O45">
        <v>1</v>
      </c>
      <c r="P45" s="2">
        <f t="shared" si="55"/>
        <v>22.25</v>
      </c>
      <c r="Q45" s="2">
        <f t="shared" si="56"/>
        <v>98.25</v>
      </c>
      <c r="R45">
        <v>0.25</v>
      </c>
      <c r="S45" s="2">
        <v>16</v>
      </c>
      <c r="T45" s="1">
        <v>0.05</v>
      </c>
      <c r="U45" s="2">
        <f t="shared" si="57"/>
        <v>15.2</v>
      </c>
      <c r="V45">
        <v>0</v>
      </c>
      <c r="W45">
        <v>3.8</v>
      </c>
      <c r="X45" s="3">
        <v>1</v>
      </c>
      <c r="Y45" s="1">
        <v>0.8</v>
      </c>
      <c r="Z45" s="3">
        <f t="shared" si="58"/>
        <v>0.8</v>
      </c>
      <c r="AA45" s="3">
        <f>IF(I45&lt;&gt;"",X45/INDEX('energy battery'!$B$3:$D$6,MATCH('vehicles specifications'!$D45,'energy battery'!$A$3:$A$6,0),MATCH('vehicles specifications'!$I45,'energy battery'!$B$2:$D$2,0)),"")</f>
        <v>2.5</v>
      </c>
      <c r="AB45" s="3">
        <f t="shared" si="6"/>
        <v>0.75</v>
      </c>
      <c r="AC45" s="3">
        <f t="shared" si="59"/>
        <v>3.25</v>
      </c>
      <c r="AD45">
        <v>0.25</v>
      </c>
      <c r="AE45">
        <v>0</v>
      </c>
      <c r="AF45">
        <v>0</v>
      </c>
      <c r="AG45">
        <v>0</v>
      </c>
      <c r="AH45">
        <v>0</v>
      </c>
      <c r="AI45">
        <v>0.5</v>
      </c>
      <c r="AJ45">
        <v>1</v>
      </c>
      <c r="AK45" s="6">
        <f t="shared" si="38"/>
        <v>1.3333333333333333</v>
      </c>
      <c r="AL45">
        <f t="shared" si="60"/>
        <v>5.276025E-5</v>
      </c>
      <c r="AM45">
        <v>0</v>
      </c>
      <c r="AN45" s="2">
        <f t="shared" si="61"/>
        <v>15.2</v>
      </c>
      <c r="AO45" s="2">
        <f t="shared" si="62"/>
        <v>3.8</v>
      </c>
      <c r="AP45" s="2">
        <f t="shared" si="63"/>
        <v>3.25</v>
      </c>
      <c r="AQ45" s="6" t="s">
        <v>85</v>
      </c>
      <c r="AR45" s="20"/>
      <c r="AS45" s="5">
        <v>2.4670639149862349E-2</v>
      </c>
      <c r="AT45" s="2">
        <f t="shared" si="12"/>
        <v>116.73795650389825</v>
      </c>
      <c r="AU45" s="5">
        <v>0</v>
      </c>
      <c r="AV45" s="5">
        <v>0</v>
      </c>
      <c r="AW45" s="7">
        <v>0</v>
      </c>
      <c r="AX45" s="7">
        <v>0</v>
      </c>
      <c r="AY45" s="7">
        <v>0</v>
      </c>
      <c r="AZ45" s="7">
        <v>0</v>
      </c>
      <c r="BA45" s="7">
        <v>0</v>
      </c>
      <c r="BB45" s="7">
        <v>0</v>
      </c>
      <c r="BC45" s="7">
        <v>0</v>
      </c>
      <c r="BD45" s="7">
        <v>0</v>
      </c>
      <c r="BE45" s="7">
        <v>0</v>
      </c>
      <c r="BF45" s="7">
        <v>0</v>
      </c>
      <c r="BG45" s="7">
        <v>0</v>
      </c>
      <c r="BH45" s="7">
        <v>0</v>
      </c>
      <c r="BI45" s="7">
        <v>0</v>
      </c>
      <c r="BJ45" s="7">
        <v>0</v>
      </c>
      <c r="BK45" s="7">
        <v>0</v>
      </c>
      <c r="BL45" s="7">
        <v>0</v>
      </c>
      <c r="BM45" s="7">
        <v>0</v>
      </c>
      <c r="BN45" s="7">
        <v>0</v>
      </c>
      <c r="BO45" s="7">
        <v>0</v>
      </c>
      <c r="BP45" s="7">
        <v>0</v>
      </c>
      <c r="BQ45" s="7">
        <v>0</v>
      </c>
      <c r="BR45" s="7">
        <v>0</v>
      </c>
      <c r="BS45" s="7">
        <v>0</v>
      </c>
      <c r="BT45" s="7">
        <v>0</v>
      </c>
      <c r="BU45" s="7">
        <v>0</v>
      </c>
      <c r="BV45" s="7">
        <v>0</v>
      </c>
      <c r="BW45" s="7">
        <v>0</v>
      </c>
      <c r="BX45" s="7">
        <v>0</v>
      </c>
      <c r="BY45" s="7">
        <v>0</v>
      </c>
      <c r="BZ45" s="7">
        <v>0</v>
      </c>
      <c r="CA45" s="7">
        <v>0</v>
      </c>
      <c r="CB45" s="7">
        <v>0</v>
      </c>
      <c r="CC45" s="7">
        <v>0</v>
      </c>
      <c r="CD45" s="7">
        <v>0</v>
      </c>
      <c r="CE45" s="7">
        <v>0</v>
      </c>
      <c r="CF45" s="7">
        <v>0</v>
      </c>
      <c r="CG45" s="7">
        <v>0</v>
      </c>
      <c r="CH45" s="7">
        <v>0</v>
      </c>
      <c r="CI45" s="7">
        <v>0</v>
      </c>
      <c r="CJ45" s="7">
        <v>0</v>
      </c>
      <c r="CK45" s="38">
        <f>VLOOKUP($B45,'abrasion emissions'!$O$7:$R$36,2,FALSE)</f>
        <v>1</v>
      </c>
      <c r="CL45" s="38">
        <f>VLOOKUP($B45,'abrasion emissions'!$O$7:$R$36,3,FALSE)</f>
        <v>0</v>
      </c>
      <c r="CM45" s="38">
        <f>VLOOKUP($B45,'abrasion emissions'!$O$7:$R$36,4,FALSE)</f>
        <v>0</v>
      </c>
      <c r="CN45" s="7">
        <f>((SUMIFS('abrasion emissions'!$M$7:$M$34,'abrasion emissions'!$I$7:$I$34,"PM 2.5",'abrasion emissions'!$J$7:$J$34,"urban",'abrasion emissions'!$K$7:$K$34,"Tyre",'abrasion emissions'!$L$7:$L$34,"b")*POWER(('vehicles specifications'!$Q45/1000),(1/SUMIFS('abrasion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specifications'!$P45/1000),(1/SUMIFS('abrasion emissions'!$M$7:$M$34,'abrasion emissions'!$I$7:$I$34,"PM 10",'abrasion emissions'!$J$7:$J$34,"urban",'abrasion emissions'!$K$7:$K$34,"Tyre",'abrasion emissions'!$L$7:$L$34,"c")))))/1000000</f>
        <v>4.0990393865404142E-6</v>
      </c>
      <c r="CO45" s="7">
        <f>((SUMIFS('abrasion emissions'!$M$7:$M$34,'abrasion emissions'!$I$7:$I$34,"PM 2.5",'abrasion emissions'!$J$7:$J$34,"rural",'abrasion emissions'!$K$7:$K$34,"Tyre",'abrasion emissions'!$L$7:$L$34,"b")*POWER(('vehicles specifications'!$Q45/1000),(1/SUMIFS('abrasion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specifications'!$P45/1000),(1/SUMIFS('abrasion emissions'!$M$7:$M$34,'abrasion emissions'!$I$7:$I$34,"PM 10",'abrasion emissions'!$J$7:$J$34,"rural",'abrasion emissions'!$K$7:$K$34,"Tyre",'abrasion emissions'!$L$7:$L$34,"c")))))/1000000</f>
        <v>3.1941209699101401E-6</v>
      </c>
      <c r="CP45" s="7">
        <f>((SUMIFS('abrasion emissions'!$M$7:$M$34,'abrasion emissions'!$I$7:$I$34,"PM 2.5",'abrasion emissions'!$J$7:$J$34,"motorway",'abrasion emissions'!$K$7:$K$34,"Tyre",'abrasion emissions'!$L$7:$L$34,"b")*POWER(('vehicles specifications'!$Q45/1000),(1/SUMIFS('abrasion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specifications'!$P45/1000),(1/SUMIFS('abrasion emissions'!$M$7:$M$34,'abrasion emissions'!$I$7:$I$34,"PM 10",'abrasion emissions'!$J$7:$J$34,"motorway",'abrasion emissions'!$K$7:$K$34,"Tyre",'abrasion emissions'!$L$7:$L$34,"c")))))/1000000</f>
        <v>2.7321026432778438E-6</v>
      </c>
      <c r="CQ45" s="7">
        <f>((SUMIFS('abrasion emissions'!$M$7:$M$34,'abrasion emissions'!$I$7:$I$34,"PM 2.5",'abrasion emissions'!$J$7:$J$34,"urban",'abrasion emissions'!$K$7:$K$34,"Brake",'abrasion emissions'!$L$7:$L$34,"b")*POWER(('vehicles specifications'!$Q45/1000),(1/SUMIFS('abrasion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specifications'!$P45/1000),(1/SUMIFS('abrasion emissions'!$M$7:$M$34,'abrasion emissions'!$I$7:$I$34,"PM 10",'abrasion emissions'!$J$7:$J$34,"urban",'abrasion emissions'!$K$7:$K$34,"Brake",'abrasion emissions'!$L$7:$L$34,"c")))))/1000000</f>
        <v>3.8104964233430331E-6</v>
      </c>
      <c r="CR45" s="7">
        <f>((SUMIFS('abrasion emissions'!$M$7:$M$34,'abrasion emissions'!$I$7:$I$34,"PM 2.5",'abrasion emissions'!$J$7:$J$34,"rural",'abrasion emissions'!$K$7:$K$34,"Brake",'abrasion emissions'!$L$7:$L$34,"b")*POWER(('vehicles specifications'!$Q45/1000),(1/SUMIFS('abrasion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specifications'!$P45/1000),(1/SUMIFS('abrasion emissions'!$M$7:$M$34,'abrasion emissions'!$I$7:$I$34,"PM 10",'abrasion emissions'!$J$7:$J$34,"rural",'abrasion emissions'!$K$7:$K$34,"Brake",'abrasion emissions'!$L$7:$L$34,"c")))))/1000000</f>
        <v>1.1005458499758413E-6</v>
      </c>
      <c r="CS45" s="7">
        <f>((SUMIFS('abrasion emissions'!$M$7:$M$34,'abrasion emissions'!$I$7:$I$34,"PM 2.5",'abrasion emissions'!$J$7:$J$34,"motorway",'abrasion emissions'!$K$7:$K$34,"Brake",'abrasion emissions'!$L$7:$L$34,"b")*POWER(('vehicles specifications'!$Q45/1000),(1/SUMIFS('abrasion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specifications'!$P45/1000),(1/SUMIFS('abrasion emissions'!$M$7:$M$34,'abrasion emissions'!$I$7:$I$34,"PM 10",'abrasion emissions'!$J$7:$J$34,"motorway",'abrasion emissions'!$K$7:$K$34,"Brake",'abrasion emissions'!$L$7:$L$34,"c")))))/1000000</f>
        <v>1.8924844620855619E-7</v>
      </c>
      <c r="CT45" s="7">
        <f>((SUMIFS('abrasion emissions'!$M$7:$M$38,'abrasion emissions'!$I$7:$I$38,"PM 2.5",'abrasion emissions'!$K$7:$K$38,"Re-susp.",'abrasion emissions'!$L$7:$L$38,"b")*POWER(('vehicles specifications'!$Q45/1000),(1/SUMIFS('abrasion emissions'!$M$7:$M$38,'abrasion emissions'!$I$7:$I$38,"PM 2.5",'abrasion emissions'!$K$7:$K$38,"Re-susp.",'abrasion emissions'!$L$7:$L$38,"c"))))+
(SUMIFS('abrasion emissions'!$M$7:$M$38,'abrasion emissions'!$I$7:$I$38,"PM 10",'abrasion emissions'!$K$7:$K$38,"Re-susp.",'abrasion emissions'!$L$7:$L$38,"b")*POWER(('vehicles specifications'!$Q45/1000),(1/SUMIFS('abrasion emissions'!$M$7:$M$38,'abrasion emissions'!$I$7:$I$38,"PM 10",'abrasion emissions'!$K$7:$K$38,"Re-susp.",'abrasion emissions'!$L$7:$L$38,"c")))))/1000000</f>
        <v>1.9896768094889238E-6</v>
      </c>
      <c r="CU45" s="7">
        <f>((SUMIFS('abrasion emissions'!$M$7:$M$38,'abrasion emissions'!$I$7:$I$38,"PM 2.5",'abrasion emissions'!$K$7:$K$38,"Road",'abrasion emissions'!$L$7:$L$38,"b")*POWER(('vehicles specifications'!$Q45/1000),(1/SUMIFS('abrasion emissions'!$M$7:$M$38,'abrasion emissions'!$I$7:$I$38,"PM 2.5",'abrasion emissions'!$K$7:$K$38,"Road",'abrasion emissions'!$L$7:$L$38,"c"))))+
(SUMIFS('abrasion emissions'!$M$7:$M$38,'abrasion emissions'!$I$7:$I$38,"PM 10",'abrasion emissions'!$K$7:$K$38,"Road",'abrasion emissions'!$L$7:$L$38,"b")*POWER(('vehicles specifications'!$Q45/1000),(1/SUMIFS('abrasion emissions'!$M$7:$M$38,'abrasion emissions'!$I$7:$I$38,"PM 10",'abrasion emissions'!$K$7:$K$38,"Road",'abrasion emissions'!$L$7:$L$38,"c")))))/1000000+CT45</f>
        <v>4.1614870560677791E-6</v>
      </c>
      <c r="CV45" s="7">
        <f t="shared" si="13"/>
        <v>4.0990393865404142E-6</v>
      </c>
      <c r="CW45" s="7">
        <f t="shared" si="14"/>
        <v>3.8104964233430331E-6</v>
      </c>
    </row>
    <row r="46" spans="1:101" x14ac:dyDescent="0.2">
      <c r="A46" t="str">
        <f t="shared" si="53"/>
        <v>Bicycle, electric (&lt;25 km/h) - 2050 - NCA - CH</v>
      </c>
      <c r="B46" t="s">
        <v>264</v>
      </c>
      <c r="D46" s="18">
        <v>2050</v>
      </c>
      <c r="E46" t="s">
        <v>37</v>
      </c>
      <c r="F46" t="s">
        <v>138</v>
      </c>
      <c r="G46" t="s">
        <v>39</v>
      </c>
      <c r="H46" t="s">
        <v>32</v>
      </c>
      <c r="I46" t="s">
        <v>45</v>
      </c>
      <c r="J46">
        <v>20000</v>
      </c>
      <c r="K46">
        <v>2000</v>
      </c>
      <c r="L46" s="2">
        <f t="shared" si="54"/>
        <v>10</v>
      </c>
      <c r="M46">
        <v>1</v>
      </c>
      <c r="N46">
        <v>75</v>
      </c>
      <c r="O46">
        <v>1</v>
      </c>
      <c r="P46" s="2">
        <f t="shared" si="55"/>
        <v>22.479999999999997</v>
      </c>
      <c r="Q46" s="2">
        <f t="shared" si="56"/>
        <v>98.47999999999999</v>
      </c>
      <c r="R46">
        <v>0.25</v>
      </c>
      <c r="S46" s="2">
        <v>16</v>
      </c>
      <c r="T46" s="1">
        <v>7.0000000000000007E-2</v>
      </c>
      <c r="U46" s="2">
        <f t="shared" si="57"/>
        <v>14.879999999999999</v>
      </c>
      <c r="V46">
        <v>0</v>
      </c>
      <c r="W46">
        <v>3.7</v>
      </c>
      <c r="X46" s="3">
        <v>1.5</v>
      </c>
      <c r="Y46" s="1">
        <v>0.8</v>
      </c>
      <c r="Z46" s="3">
        <f t="shared" si="58"/>
        <v>1.2000000000000002</v>
      </c>
      <c r="AA46" s="3">
        <f>IF(I46&lt;&gt;"",X46/INDEX('energy battery'!$B$3:$D$6,MATCH('vehicles specifications'!$D46,'energy battery'!$A$3:$A$6,0),MATCH('vehicles specifications'!$I46,'energy battery'!$B$2:$D$2,0)),"")</f>
        <v>3</v>
      </c>
      <c r="AB46" s="3">
        <f t="shared" si="6"/>
        <v>0.89999999999999991</v>
      </c>
      <c r="AC46" s="3">
        <f t="shared" si="59"/>
        <v>3.9</v>
      </c>
      <c r="AD46">
        <v>0</v>
      </c>
      <c r="AE46">
        <v>0</v>
      </c>
      <c r="AF46">
        <v>0</v>
      </c>
      <c r="AG46">
        <v>0</v>
      </c>
      <c r="AH46">
        <v>0</v>
      </c>
      <c r="AI46">
        <v>0.5</v>
      </c>
      <c r="AJ46">
        <v>1</v>
      </c>
      <c r="AK46" s="6">
        <f t="shared" si="38"/>
        <v>1.3333333333333333</v>
      </c>
      <c r="AL46">
        <f t="shared" si="60"/>
        <v>5.2883759999999994E-5</v>
      </c>
      <c r="AM46">
        <v>0</v>
      </c>
      <c r="AN46" s="2">
        <f t="shared" si="61"/>
        <v>14.879999999999999</v>
      </c>
      <c r="AO46" s="2">
        <f t="shared" si="62"/>
        <v>3.7</v>
      </c>
      <c r="AP46" s="2">
        <f t="shared" si="63"/>
        <v>3.9</v>
      </c>
      <c r="AQ46" s="6" t="s">
        <v>85</v>
      </c>
      <c r="AR46" s="20"/>
      <c r="AS46" s="5">
        <v>2.4670639149862349E-2</v>
      </c>
      <c r="AT46" s="2">
        <f t="shared" si="12"/>
        <v>175.10693475584739</v>
      </c>
      <c r="AU46" s="5">
        <v>0</v>
      </c>
      <c r="AV46" s="5">
        <v>0</v>
      </c>
      <c r="AW46" s="7">
        <v>0</v>
      </c>
      <c r="AX46" s="7">
        <v>0</v>
      </c>
      <c r="AY46" s="7">
        <v>0</v>
      </c>
      <c r="AZ46" s="7">
        <v>0</v>
      </c>
      <c r="BA46" s="7">
        <v>0</v>
      </c>
      <c r="BB46" s="7">
        <v>0</v>
      </c>
      <c r="BC46" s="7">
        <v>0</v>
      </c>
      <c r="BD46" s="7">
        <v>0</v>
      </c>
      <c r="BE46" s="7">
        <v>0</v>
      </c>
      <c r="BF46" s="7">
        <v>0</v>
      </c>
      <c r="BG46" s="7">
        <v>0</v>
      </c>
      <c r="BH46" s="7">
        <v>0</v>
      </c>
      <c r="BI46" s="7">
        <v>0</v>
      </c>
      <c r="BJ46" s="7">
        <v>0</v>
      </c>
      <c r="BK46" s="7">
        <v>0</v>
      </c>
      <c r="BL46" s="7">
        <v>0</v>
      </c>
      <c r="BM46" s="7">
        <v>0</v>
      </c>
      <c r="BN46" s="7">
        <v>0</v>
      </c>
      <c r="BO46" s="7">
        <v>0</v>
      </c>
      <c r="BP46" s="7">
        <v>0</v>
      </c>
      <c r="BQ46" s="7">
        <v>0</v>
      </c>
      <c r="BR46" s="7">
        <v>0</v>
      </c>
      <c r="BS46" s="7">
        <v>0</v>
      </c>
      <c r="BT46" s="7">
        <v>0</v>
      </c>
      <c r="BU46" s="7">
        <v>0</v>
      </c>
      <c r="BV46" s="7">
        <v>0</v>
      </c>
      <c r="BW46" s="7">
        <v>0</v>
      </c>
      <c r="BX46" s="7">
        <v>0</v>
      </c>
      <c r="BY46" s="7">
        <v>0</v>
      </c>
      <c r="BZ46" s="7">
        <v>0</v>
      </c>
      <c r="CA46" s="7">
        <v>0</v>
      </c>
      <c r="CB46" s="7">
        <v>0</v>
      </c>
      <c r="CC46" s="7">
        <v>0</v>
      </c>
      <c r="CD46" s="7">
        <v>0</v>
      </c>
      <c r="CE46" s="7">
        <v>0</v>
      </c>
      <c r="CF46" s="7">
        <v>0</v>
      </c>
      <c r="CG46" s="7">
        <v>0</v>
      </c>
      <c r="CH46" s="7">
        <v>0</v>
      </c>
      <c r="CI46" s="7">
        <v>0</v>
      </c>
      <c r="CJ46" s="7">
        <v>0</v>
      </c>
      <c r="CK46" s="38">
        <f>VLOOKUP($B46,'abrasion emissions'!$O$7:$R$36,2,FALSE)</f>
        <v>1</v>
      </c>
      <c r="CL46" s="38">
        <f>VLOOKUP($B46,'abrasion emissions'!$O$7:$R$36,3,FALSE)</f>
        <v>0</v>
      </c>
      <c r="CM46" s="38">
        <f>VLOOKUP($B46,'abrasion emissions'!$O$7:$R$36,4,FALSE)</f>
        <v>0</v>
      </c>
      <c r="CN46" s="7">
        <f>((SUMIFS('abrasion emissions'!$M$7:$M$34,'abrasion emissions'!$I$7:$I$34,"PM 2.5",'abrasion emissions'!$J$7:$J$34,"urban",'abrasion emissions'!$K$7:$K$34,"Tyre",'abrasion emissions'!$L$7:$L$34,"b")*POWER(('vehicles specifications'!$Q46/1000),(1/SUMIFS('abrasion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specifications'!$P46/1000),(1/SUMIFS('abrasion emissions'!$M$7:$M$34,'abrasion emissions'!$I$7:$I$34,"PM 10",'abrasion emissions'!$J$7:$J$34,"urban",'abrasion emissions'!$K$7:$K$34,"Tyre",'abrasion emissions'!$L$7:$L$34,"c")))))/1000000</f>
        <v>4.1070499667251542E-6</v>
      </c>
      <c r="CO46" s="7">
        <f>((SUMIFS('abrasion emissions'!$M$7:$M$34,'abrasion emissions'!$I$7:$I$34,"PM 2.5",'abrasion emissions'!$J$7:$J$34,"rural",'abrasion emissions'!$K$7:$K$34,"Tyre",'abrasion emissions'!$L$7:$L$34,"b")*POWER(('vehicles specifications'!$Q46/1000),(1/SUMIFS('abrasion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specifications'!$P46/1000),(1/SUMIFS('abrasion emissions'!$M$7:$M$34,'abrasion emissions'!$I$7:$I$34,"PM 10",'abrasion emissions'!$J$7:$J$34,"rural",'abrasion emissions'!$K$7:$K$34,"Tyre",'abrasion emissions'!$L$7:$L$34,"c")))))/1000000</f>
        <v>3.2003501440819219E-6</v>
      </c>
      <c r="CP46" s="7">
        <f>((SUMIFS('abrasion emissions'!$M$7:$M$34,'abrasion emissions'!$I$7:$I$34,"PM 2.5",'abrasion emissions'!$J$7:$J$34,"motorway",'abrasion emissions'!$K$7:$K$34,"Tyre",'abrasion emissions'!$L$7:$L$34,"b")*POWER(('vehicles specifications'!$Q46/1000),(1/SUMIFS('abrasion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specifications'!$P46/1000),(1/SUMIFS('abrasion emissions'!$M$7:$M$34,'abrasion emissions'!$I$7:$I$34,"PM 10",'abrasion emissions'!$J$7:$J$34,"motorway",'abrasion emissions'!$K$7:$K$34,"Tyre",'abrasion emissions'!$L$7:$L$34,"c")))))/1000000</f>
        <v>2.7373982769491173E-6</v>
      </c>
      <c r="CQ46" s="7">
        <f>((SUMIFS('abrasion emissions'!$M$7:$M$34,'abrasion emissions'!$I$7:$I$34,"PM 2.5",'abrasion emissions'!$J$7:$J$34,"urban",'abrasion emissions'!$K$7:$K$34,"Brake",'abrasion emissions'!$L$7:$L$34,"b")*POWER(('vehicles specifications'!$Q46/1000),(1/SUMIFS('abrasion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specifications'!$P46/1000),(1/SUMIFS('abrasion emissions'!$M$7:$M$34,'abrasion emissions'!$I$7:$I$34,"PM 10",'abrasion emissions'!$J$7:$J$34,"urban",'abrasion emissions'!$K$7:$K$34,"Brake",'abrasion emissions'!$L$7:$L$34,"c")))))/1000000</f>
        <v>3.8175668936151024E-6</v>
      </c>
      <c r="CR46" s="7">
        <f>((SUMIFS('abrasion emissions'!$M$7:$M$34,'abrasion emissions'!$I$7:$I$34,"PM 2.5",'abrasion emissions'!$J$7:$J$34,"rural",'abrasion emissions'!$K$7:$K$34,"Brake",'abrasion emissions'!$L$7:$L$34,"b")*POWER(('vehicles specifications'!$Q46/1000),(1/SUMIFS('abrasion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specifications'!$P46/1000),(1/SUMIFS('abrasion emissions'!$M$7:$M$34,'abrasion emissions'!$I$7:$I$34,"PM 10",'abrasion emissions'!$J$7:$J$34,"rural",'abrasion emissions'!$K$7:$K$34,"Brake",'abrasion emissions'!$L$7:$L$34,"c")))))/1000000</f>
        <v>1.1030202122144157E-6</v>
      </c>
      <c r="CS46" s="7">
        <f>((SUMIFS('abrasion emissions'!$M$7:$M$34,'abrasion emissions'!$I$7:$I$34,"PM 2.5",'abrasion emissions'!$J$7:$J$34,"motorway",'abrasion emissions'!$K$7:$K$34,"Brake",'abrasion emissions'!$L$7:$L$34,"b")*POWER(('vehicles specifications'!$Q46/1000),(1/SUMIFS('abrasion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specifications'!$P46/1000),(1/SUMIFS('abrasion emissions'!$M$7:$M$34,'abrasion emissions'!$I$7:$I$34,"PM 10",'abrasion emissions'!$J$7:$J$34,"motorway",'abrasion emissions'!$K$7:$K$34,"Brake",'abrasion emissions'!$L$7:$L$34,"c")))))/1000000</f>
        <v>1.8972068828943925E-7</v>
      </c>
      <c r="CT46" s="7">
        <f>((SUMIFS('abrasion emissions'!$M$7:$M$38,'abrasion emissions'!$I$7:$I$38,"PM 2.5",'abrasion emissions'!$K$7:$K$38,"Re-susp.",'abrasion emissions'!$L$7:$L$38,"b")*POWER(('vehicles specifications'!$Q46/1000),(1/SUMIFS('abrasion emissions'!$M$7:$M$38,'abrasion emissions'!$I$7:$I$38,"PM 2.5",'abrasion emissions'!$K$7:$K$38,"Re-susp.",'abrasion emissions'!$L$7:$L$38,"c"))))+
(SUMIFS('abrasion emissions'!$M$7:$M$38,'abrasion emissions'!$I$7:$I$38,"PM 10",'abrasion emissions'!$K$7:$K$38,"Re-susp.",'abrasion emissions'!$L$7:$L$38,"b")*POWER(('vehicles specifications'!$Q46/1000),(1/SUMIFS('abrasion emissions'!$M$7:$M$38,'abrasion emissions'!$I$7:$I$38,"PM 10",'abrasion emissions'!$K$7:$K$38,"Re-susp.",'abrasion emissions'!$L$7:$L$38,"c")))))/1000000</f>
        <v>1.9939106934837492E-6</v>
      </c>
      <c r="CU46" s="7">
        <f>((SUMIFS('abrasion emissions'!$M$7:$M$38,'abrasion emissions'!$I$7:$I$38,"PM 2.5",'abrasion emissions'!$K$7:$K$38,"Road",'abrasion emissions'!$L$7:$L$38,"b")*POWER(('vehicles specifications'!$Q46/1000),(1/SUMIFS('abrasion emissions'!$M$7:$M$38,'abrasion emissions'!$I$7:$I$38,"PM 2.5",'abrasion emissions'!$K$7:$K$38,"Road",'abrasion emissions'!$L$7:$L$38,"c"))))+
(SUMIFS('abrasion emissions'!$M$7:$M$38,'abrasion emissions'!$I$7:$I$38,"PM 10",'abrasion emissions'!$K$7:$K$38,"Road",'abrasion emissions'!$L$7:$L$38,"b")*POWER(('vehicles specifications'!$Q46/1000),(1/SUMIFS('abrasion emissions'!$M$7:$M$38,'abrasion emissions'!$I$7:$I$38,"PM 10",'abrasion emissions'!$K$7:$K$38,"Road",'abrasion emissions'!$L$7:$L$38,"c")))))/1000000+CT46</f>
        <v>4.1691090429791777E-6</v>
      </c>
      <c r="CV46" s="7">
        <f t="shared" si="13"/>
        <v>4.1070499667251542E-6</v>
      </c>
      <c r="CW46" s="7">
        <f t="shared" si="14"/>
        <v>3.8175668936151024E-6</v>
      </c>
    </row>
    <row r="47" spans="1:101" x14ac:dyDescent="0.2">
      <c r="A47" t="str">
        <f t="shared" si="53"/>
        <v>Bicycle, electric (&lt;45 km/h) - 2020 - NCA - CH</v>
      </c>
      <c r="B47" t="s">
        <v>265</v>
      </c>
      <c r="D47" s="18">
        <v>2020</v>
      </c>
      <c r="E47" t="s">
        <v>37</v>
      </c>
      <c r="F47" t="s">
        <v>138</v>
      </c>
      <c r="G47" t="s">
        <v>39</v>
      </c>
      <c r="H47" t="s">
        <v>32</v>
      </c>
      <c r="I47" t="s">
        <v>45</v>
      </c>
      <c r="J47">
        <v>30000</v>
      </c>
      <c r="K47">
        <v>3000</v>
      </c>
      <c r="L47" s="2">
        <f t="shared" si="54"/>
        <v>10</v>
      </c>
      <c r="M47">
        <v>1</v>
      </c>
      <c r="N47">
        <v>75</v>
      </c>
      <c r="O47">
        <v>1</v>
      </c>
      <c r="P47" s="2">
        <f t="shared" si="55"/>
        <v>26.826086956521738</v>
      </c>
      <c r="Q47" s="2">
        <f t="shared" si="56"/>
        <v>102.82608695652173</v>
      </c>
      <c r="R47">
        <v>0.5</v>
      </c>
      <c r="S47" s="2">
        <v>19</v>
      </c>
      <c r="T47" s="1">
        <v>0</v>
      </c>
      <c r="U47" s="2">
        <f t="shared" si="57"/>
        <v>19</v>
      </c>
      <c r="V47">
        <v>0</v>
      </c>
      <c r="W47">
        <v>5</v>
      </c>
      <c r="X47" s="3">
        <v>0.5</v>
      </c>
      <c r="Y47" s="1">
        <v>0.8</v>
      </c>
      <c r="Z47" s="3">
        <f t="shared" si="58"/>
        <v>0.4</v>
      </c>
      <c r="AA47" s="3">
        <f>IF(I47&lt;&gt;"",X47/INDEX('energy battery'!$B$3:$D$6,MATCH('vehicles specifications'!$D47,'energy battery'!$A$3:$A$6,0),MATCH('vehicles specifications'!$I47,'energy battery'!$B$2:$D$2,0)),"")</f>
        <v>2.1739130434782608</v>
      </c>
      <c r="AB47" s="3">
        <f t="shared" si="6"/>
        <v>0.65217391304347816</v>
      </c>
      <c r="AC47" s="3">
        <f t="shared" si="59"/>
        <v>2.8260869565217388</v>
      </c>
      <c r="AD47">
        <v>1</v>
      </c>
      <c r="AE47">
        <v>0</v>
      </c>
      <c r="AF47">
        <v>0</v>
      </c>
      <c r="AG47">
        <v>0</v>
      </c>
      <c r="AH47">
        <v>0</v>
      </c>
      <c r="AI47">
        <v>0.5</v>
      </c>
      <c r="AJ47">
        <v>1</v>
      </c>
      <c r="AK47" s="6">
        <f t="shared" si="38"/>
        <v>2</v>
      </c>
      <c r="AL47">
        <f t="shared" si="60"/>
        <v>5.5217608695652174E-5</v>
      </c>
      <c r="AM47">
        <v>0</v>
      </c>
      <c r="AN47" s="2">
        <f t="shared" si="61"/>
        <v>19</v>
      </c>
      <c r="AO47" s="2">
        <f t="shared" si="62"/>
        <v>5</v>
      </c>
      <c r="AP47" s="2">
        <f t="shared" si="63"/>
        <v>2.8260869565217388</v>
      </c>
      <c r="AQ47" s="6" t="s">
        <v>85</v>
      </c>
      <c r="AR47" s="20"/>
      <c r="AS47" s="5">
        <v>4.5308940859381523E-2</v>
      </c>
      <c r="AT47" s="2">
        <f t="shared" si="12"/>
        <v>31.78180669614656</v>
      </c>
      <c r="AU47" s="5">
        <v>0</v>
      </c>
      <c r="AV47" s="5">
        <v>0</v>
      </c>
      <c r="AW47" s="7">
        <v>0</v>
      </c>
      <c r="AX47" s="7">
        <v>0</v>
      </c>
      <c r="AY47" s="7">
        <v>0</v>
      </c>
      <c r="AZ47" s="7">
        <v>0</v>
      </c>
      <c r="BA47" s="7">
        <v>0</v>
      </c>
      <c r="BB47" s="7">
        <v>0</v>
      </c>
      <c r="BC47" s="7">
        <v>0</v>
      </c>
      <c r="BD47" s="7">
        <v>0</v>
      </c>
      <c r="BE47" s="7">
        <v>0</v>
      </c>
      <c r="BF47" s="7">
        <v>0</v>
      </c>
      <c r="BG47" s="7">
        <v>0</v>
      </c>
      <c r="BH47" s="7">
        <v>0</v>
      </c>
      <c r="BI47" s="7">
        <v>0</v>
      </c>
      <c r="BJ47" s="7">
        <v>0</v>
      </c>
      <c r="BK47" s="7">
        <v>0</v>
      </c>
      <c r="BL47" s="7">
        <v>0</v>
      </c>
      <c r="BM47" s="7">
        <v>0</v>
      </c>
      <c r="BN47" s="7">
        <v>0</v>
      </c>
      <c r="BO47" s="7">
        <v>0</v>
      </c>
      <c r="BP47" s="7">
        <v>0</v>
      </c>
      <c r="BQ47" s="7">
        <v>0</v>
      </c>
      <c r="BR47" s="7">
        <v>0</v>
      </c>
      <c r="BS47" s="7">
        <v>0</v>
      </c>
      <c r="BT47" s="7">
        <v>0</v>
      </c>
      <c r="BU47" s="7">
        <v>0</v>
      </c>
      <c r="BV47" s="7">
        <v>0</v>
      </c>
      <c r="BW47" s="7">
        <v>0</v>
      </c>
      <c r="BX47" s="7">
        <v>0</v>
      </c>
      <c r="BY47" s="7">
        <v>0</v>
      </c>
      <c r="BZ47" s="7">
        <v>0</v>
      </c>
      <c r="CA47" s="7">
        <v>0</v>
      </c>
      <c r="CB47" s="7">
        <v>0</v>
      </c>
      <c r="CC47" s="7">
        <v>0</v>
      </c>
      <c r="CD47" s="7">
        <v>0</v>
      </c>
      <c r="CE47" s="7">
        <v>0</v>
      </c>
      <c r="CF47" s="7">
        <v>0</v>
      </c>
      <c r="CG47" s="7">
        <v>0</v>
      </c>
      <c r="CH47" s="7">
        <v>0</v>
      </c>
      <c r="CI47" s="7">
        <v>0</v>
      </c>
      <c r="CJ47" s="7">
        <v>0</v>
      </c>
      <c r="CK47" s="38">
        <f>VLOOKUP($B47,'abrasion emissions'!$O$7:$R$36,2,FALSE)</f>
        <v>1</v>
      </c>
      <c r="CL47" s="38">
        <f>VLOOKUP($B47,'abrasion emissions'!$O$7:$R$36,3,FALSE)</f>
        <v>0</v>
      </c>
      <c r="CM47" s="38">
        <f>VLOOKUP($B47,'abrasion emissions'!$O$7:$R$36,4,FALSE)</f>
        <v>0</v>
      </c>
      <c r="CN47" s="7">
        <f>((SUMIFS('abrasion emissions'!$M$7:$M$34,'abrasion emissions'!$I$7:$I$34,"PM 2.5",'abrasion emissions'!$J$7:$J$34,"urban",'abrasion emissions'!$K$7:$K$34,"Tyre",'abrasion emissions'!$L$7:$L$34,"b")*POWER(('vehicles specifications'!$Q47/1000),(1/SUMIFS('abrasion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specifications'!$P47/1000),(1/SUMIFS('abrasion emissions'!$M$7:$M$34,'abrasion emissions'!$I$7:$I$34,"PM 10",'abrasion emissions'!$J$7:$J$34,"urban",'abrasion emissions'!$K$7:$K$34,"Tyre",'abrasion emissions'!$L$7:$L$34,"c")))))/1000000</f>
        <v>4.2527520499734952E-6</v>
      </c>
      <c r="CO47" s="7">
        <f>((SUMIFS('abrasion emissions'!$M$7:$M$34,'abrasion emissions'!$I$7:$I$34,"PM 2.5",'abrasion emissions'!$J$7:$J$34,"rural",'abrasion emissions'!$K$7:$K$34,"Tyre",'abrasion emissions'!$L$7:$L$34,"b")*POWER(('vehicles specifications'!$Q47/1000),(1/SUMIFS('abrasion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specifications'!$P47/1000),(1/SUMIFS('abrasion emissions'!$M$7:$M$34,'abrasion emissions'!$I$7:$I$34,"PM 10",'abrasion emissions'!$J$7:$J$34,"rural",'abrasion emissions'!$K$7:$K$34,"Tyre",'abrasion emissions'!$L$7:$L$34,"c")))))/1000000</f>
        <v>3.3136572945728107E-6</v>
      </c>
      <c r="CP47" s="7">
        <f>((SUMIFS('abrasion emissions'!$M$7:$M$34,'abrasion emissions'!$I$7:$I$34,"PM 2.5",'abrasion emissions'!$J$7:$J$34,"motorway",'abrasion emissions'!$K$7:$K$34,"Tyre",'abrasion emissions'!$L$7:$L$34,"b")*POWER(('vehicles specifications'!$Q47/1000),(1/SUMIFS('abrasion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specifications'!$P47/1000),(1/SUMIFS('abrasion emissions'!$M$7:$M$34,'abrasion emissions'!$I$7:$I$34,"PM 10",'abrasion emissions'!$J$7:$J$34,"motorway",'abrasion emissions'!$K$7:$K$34,"Tyre",'abrasion emissions'!$L$7:$L$34,"c")))))/1000000</f>
        <v>2.8337409840694394E-6</v>
      </c>
      <c r="CQ47" s="7">
        <f>((SUMIFS('abrasion emissions'!$M$7:$M$34,'abrasion emissions'!$I$7:$I$34,"PM 2.5",'abrasion emissions'!$J$7:$J$34,"urban",'abrasion emissions'!$K$7:$K$34,"Brake",'abrasion emissions'!$L$7:$L$34,"b")*POWER(('vehicles specifications'!$Q47/1000),(1/SUMIFS('abrasion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specifications'!$P47/1000),(1/SUMIFS('abrasion emissions'!$M$7:$M$34,'abrasion emissions'!$I$7:$I$34,"PM 10",'abrasion emissions'!$J$7:$J$34,"urban",'abrasion emissions'!$K$7:$K$34,"Brake",'abrasion emissions'!$L$7:$L$34,"c")))))/1000000</f>
        <v>3.9477863286675544E-6</v>
      </c>
      <c r="CR47" s="7">
        <f>((SUMIFS('abrasion emissions'!$M$7:$M$34,'abrasion emissions'!$I$7:$I$34,"PM 2.5",'abrasion emissions'!$J$7:$J$34,"rural",'abrasion emissions'!$K$7:$K$34,"Brake",'abrasion emissions'!$L$7:$L$34,"b")*POWER(('vehicles specifications'!$Q47/1000),(1/SUMIFS('abrasion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specifications'!$P47/1000),(1/SUMIFS('abrasion emissions'!$M$7:$M$34,'abrasion emissions'!$I$7:$I$34,"PM 10",'abrasion emissions'!$J$7:$J$34,"rural",'abrasion emissions'!$K$7:$K$34,"Brake",'abrasion emissions'!$L$7:$L$34,"c")))))/1000000</f>
        <v>1.1489800970148208E-6</v>
      </c>
      <c r="CS47" s="7">
        <f>((SUMIFS('abrasion emissions'!$M$7:$M$34,'abrasion emissions'!$I$7:$I$34,"PM 2.5",'abrasion emissions'!$J$7:$J$34,"motorway",'abrasion emissions'!$K$7:$K$34,"Brake",'abrasion emissions'!$L$7:$L$34,"b")*POWER(('vehicles specifications'!$Q47/1000),(1/SUMIFS('abrasion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specifications'!$P47/1000),(1/SUMIFS('abrasion emissions'!$M$7:$M$34,'abrasion emissions'!$I$7:$I$34,"PM 10",'abrasion emissions'!$J$7:$J$34,"motorway",'abrasion emissions'!$K$7:$K$34,"Brake",'abrasion emissions'!$L$7:$L$34,"c")))))/1000000</f>
        <v>1.985438104461272E-7</v>
      </c>
      <c r="CT47" s="7">
        <f>((SUMIFS('abrasion emissions'!$M$7:$M$38,'abrasion emissions'!$I$7:$I$38,"PM 2.5",'abrasion emissions'!$K$7:$K$38,"Re-susp.",'abrasion emissions'!$L$7:$L$38,"b")*POWER(('vehicles specifications'!$Q47/1000),(1/SUMIFS('abrasion emissions'!$M$7:$M$38,'abrasion emissions'!$I$7:$I$38,"PM 2.5",'abrasion emissions'!$K$7:$K$38,"Re-susp.",'abrasion emissions'!$L$7:$L$38,"c"))))+
(SUMIFS('abrasion emissions'!$M$7:$M$38,'abrasion emissions'!$I$7:$I$38,"PM 10",'abrasion emissions'!$K$7:$K$38,"Re-susp.",'abrasion emissions'!$L$7:$L$38,"b")*POWER(('vehicles specifications'!$Q47/1000),(1/SUMIFS('abrasion emissions'!$M$7:$M$38,'abrasion emissions'!$I$7:$I$38,"PM 10",'abrasion emissions'!$K$7:$K$38,"Re-susp.",'abrasion emissions'!$L$7:$L$38,"c")))))/1000000</f>
        <v>2.0737478424587E-6</v>
      </c>
      <c r="CU47" s="7">
        <f>((SUMIFS('abrasion emissions'!$M$7:$M$38,'abrasion emissions'!$I$7:$I$38,"PM 2.5",'abrasion emissions'!$K$7:$K$38,"Road",'abrasion emissions'!$L$7:$L$38,"b")*POWER(('vehicles specifications'!$Q47/1000),(1/SUMIFS('abrasion emissions'!$M$7:$M$38,'abrasion emissions'!$I$7:$I$38,"PM 2.5",'abrasion emissions'!$K$7:$K$38,"Road",'abrasion emissions'!$L$7:$L$38,"c"))))+
(SUMIFS('abrasion emissions'!$M$7:$M$38,'abrasion emissions'!$I$7:$I$38,"PM 10",'abrasion emissions'!$K$7:$K$38,"Road",'abrasion emissions'!$L$7:$L$38,"b")*POWER(('vehicles specifications'!$Q47/1000),(1/SUMIFS('abrasion emissions'!$M$7:$M$38,'abrasion emissions'!$I$7:$I$38,"PM 10",'abrasion emissions'!$K$7:$K$38,"Road",'abrasion emissions'!$L$7:$L$38,"c")))))/1000000+CT47</f>
        <v>4.3124812382501794E-6</v>
      </c>
      <c r="CV47" s="7">
        <f t="shared" si="13"/>
        <v>4.2527520499734952E-6</v>
      </c>
      <c r="CW47" s="7">
        <f t="shared" si="14"/>
        <v>3.9477863286675544E-6</v>
      </c>
    </row>
    <row r="48" spans="1:101" x14ac:dyDescent="0.2">
      <c r="A48" t="str">
        <f t="shared" si="53"/>
        <v>Bicycle, electric (&lt;45 km/h) - 2030 - NCA - CH</v>
      </c>
      <c r="B48" t="s">
        <v>265</v>
      </c>
      <c r="D48" s="18">
        <v>2030</v>
      </c>
      <c r="E48" t="s">
        <v>37</v>
      </c>
      <c r="F48" t="s">
        <v>138</v>
      </c>
      <c r="G48" t="s">
        <v>39</v>
      </c>
      <c r="H48" t="s">
        <v>32</v>
      </c>
      <c r="I48" t="s">
        <v>45</v>
      </c>
      <c r="J48">
        <v>30000</v>
      </c>
      <c r="K48">
        <v>3000</v>
      </c>
      <c r="L48" s="2">
        <f t="shared" si="54"/>
        <v>10</v>
      </c>
      <c r="M48">
        <v>1</v>
      </c>
      <c r="N48">
        <v>75</v>
      </c>
      <c r="O48">
        <v>1</v>
      </c>
      <c r="P48" s="2">
        <f t="shared" si="55"/>
        <v>26.796666666666667</v>
      </c>
      <c r="Q48" s="2">
        <f t="shared" si="56"/>
        <v>102.79666666666667</v>
      </c>
      <c r="R48">
        <v>0.5</v>
      </c>
      <c r="S48" s="2">
        <v>19</v>
      </c>
      <c r="T48" s="1">
        <v>0.03</v>
      </c>
      <c r="U48" s="2">
        <f t="shared" si="57"/>
        <v>18.43</v>
      </c>
      <c r="V48">
        <v>0</v>
      </c>
      <c r="W48">
        <v>4.9000000000000004</v>
      </c>
      <c r="X48" s="3">
        <v>0.8</v>
      </c>
      <c r="Y48" s="1">
        <v>0.8</v>
      </c>
      <c r="Z48" s="3">
        <f t="shared" si="58"/>
        <v>0.64000000000000012</v>
      </c>
      <c r="AA48" s="3">
        <f>IF(I48&lt;&gt;"",X48/INDEX('energy battery'!$B$3:$D$6,MATCH('vehicles specifications'!$D48,'energy battery'!$A$3:$A$6,0),MATCH('vehicles specifications'!$I48,'energy battery'!$B$2:$D$2,0)),"")</f>
        <v>2.666666666666667</v>
      </c>
      <c r="AB48" s="3">
        <f t="shared" si="6"/>
        <v>0.8</v>
      </c>
      <c r="AC48" s="3">
        <f t="shared" si="59"/>
        <v>3.4666666666666668</v>
      </c>
      <c r="AD48">
        <v>0.5</v>
      </c>
      <c r="AE48">
        <v>0</v>
      </c>
      <c r="AF48">
        <v>0</v>
      </c>
      <c r="AG48">
        <v>0</v>
      </c>
      <c r="AH48">
        <v>0</v>
      </c>
      <c r="AI48">
        <v>0.5</v>
      </c>
      <c r="AJ48">
        <v>1</v>
      </c>
      <c r="AK48" s="6">
        <f t="shared" si="38"/>
        <v>2</v>
      </c>
      <c r="AL48">
        <f t="shared" si="60"/>
        <v>5.5201809999999998E-5</v>
      </c>
      <c r="AM48">
        <v>0</v>
      </c>
      <c r="AN48" s="2">
        <f t="shared" si="61"/>
        <v>18.43</v>
      </c>
      <c r="AO48" s="2">
        <f t="shared" si="62"/>
        <v>4.9000000000000004</v>
      </c>
      <c r="AP48" s="2">
        <f t="shared" si="63"/>
        <v>3.4666666666666668</v>
      </c>
      <c r="AQ48" s="6" t="s">
        <v>85</v>
      </c>
      <c r="AR48" s="20"/>
      <c r="AS48" s="5">
        <v>4.5308940859381523E-2</v>
      </c>
      <c r="AT48" s="2">
        <f t="shared" si="12"/>
        <v>50.850890713834502</v>
      </c>
      <c r="AU48" s="5">
        <v>0</v>
      </c>
      <c r="AV48" s="5">
        <v>0</v>
      </c>
      <c r="AW48" s="7">
        <v>0</v>
      </c>
      <c r="AX48" s="7">
        <v>0</v>
      </c>
      <c r="AY48" s="7">
        <v>0</v>
      </c>
      <c r="AZ48" s="7">
        <v>0</v>
      </c>
      <c r="BA48" s="7">
        <v>0</v>
      </c>
      <c r="BB48" s="7">
        <v>0</v>
      </c>
      <c r="BC48" s="7">
        <v>0</v>
      </c>
      <c r="BD48" s="7">
        <v>0</v>
      </c>
      <c r="BE48" s="7">
        <v>0</v>
      </c>
      <c r="BF48" s="7">
        <v>0</v>
      </c>
      <c r="BG48" s="7">
        <v>0</v>
      </c>
      <c r="BH48" s="7">
        <v>0</v>
      </c>
      <c r="BI48" s="7">
        <v>0</v>
      </c>
      <c r="BJ48" s="7">
        <v>0</v>
      </c>
      <c r="BK48" s="7">
        <v>0</v>
      </c>
      <c r="BL48" s="7">
        <v>0</v>
      </c>
      <c r="BM48" s="7">
        <v>0</v>
      </c>
      <c r="BN48" s="7">
        <v>0</v>
      </c>
      <c r="BO48" s="7">
        <v>0</v>
      </c>
      <c r="BP48" s="7">
        <v>0</v>
      </c>
      <c r="BQ48" s="7">
        <v>0</v>
      </c>
      <c r="BR48" s="7">
        <v>0</v>
      </c>
      <c r="BS48" s="7">
        <v>0</v>
      </c>
      <c r="BT48" s="7">
        <v>0</v>
      </c>
      <c r="BU48" s="7">
        <v>0</v>
      </c>
      <c r="BV48" s="7">
        <v>0</v>
      </c>
      <c r="BW48" s="7">
        <v>0</v>
      </c>
      <c r="BX48" s="7">
        <v>0</v>
      </c>
      <c r="BY48" s="7">
        <v>0</v>
      </c>
      <c r="BZ48" s="7">
        <v>0</v>
      </c>
      <c r="CA48" s="7">
        <v>0</v>
      </c>
      <c r="CB48" s="7">
        <v>0</v>
      </c>
      <c r="CC48" s="7">
        <v>0</v>
      </c>
      <c r="CD48" s="7">
        <v>0</v>
      </c>
      <c r="CE48" s="7">
        <v>0</v>
      </c>
      <c r="CF48" s="7">
        <v>0</v>
      </c>
      <c r="CG48" s="7">
        <v>0</v>
      </c>
      <c r="CH48" s="7">
        <v>0</v>
      </c>
      <c r="CI48" s="7">
        <v>0</v>
      </c>
      <c r="CJ48" s="7">
        <v>0</v>
      </c>
      <c r="CK48" s="38">
        <f>VLOOKUP($B48,'abrasion emissions'!$O$7:$R$36,2,FALSE)</f>
        <v>1</v>
      </c>
      <c r="CL48" s="38">
        <f>VLOOKUP($B48,'abrasion emissions'!$O$7:$R$36,3,FALSE)</f>
        <v>0</v>
      </c>
      <c r="CM48" s="38">
        <f>VLOOKUP($B48,'abrasion emissions'!$O$7:$R$36,4,FALSE)</f>
        <v>0</v>
      </c>
      <c r="CN48" s="7">
        <f>((SUMIFS('abrasion emissions'!$M$7:$M$34,'abrasion emissions'!$I$7:$I$34,"PM 2.5",'abrasion emissions'!$J$7:$J$34,"urban",'abrasion emissions'!$K$7:$K$34,"Tyre",'abrasion emissions'!$L$7:$L$34,"b")*POWER(('vehicles specifications'!$Q48/1000),(1/SUMIFS('abrasion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specifications'!$P48/1000),(1/SUMIFS('abrasion emissions'!$M$7:$M$34,'abrasion emissions'!$I$7:$I$34,"PM 10",'abrasion emissions'!$J$7:$J$34,"urban",'abrasion emissions'!$K$7:$K$34,"Tyre",'abrasion emissions'!$L$7:$L$34,"c")))))/1000000</f>
        <v>4.2517989039701259E-6</v>
      </c>
      <c r="CO48" s="7">
        <f>((SUMIFS('abrasion emissions'!$M$7:$M$34,'abrasion emissions'!$I$7:$I$34,"PM 2.5",'abrasion emissions'!$J$7:$J$34,"rural",'abrasion emissions'!$K$7:$K$34,"Tyre",'abrasion emissions'!$L$7:$L$34,"b")*POWER(('vehicles specifications'!$Q48/1000),(1/SUMIFS('abrasion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specifications'!$P48/1000),(1/SUMIFS('abrasion emissions'!$M$7:$M$34,'abrasion emissions'!$I$7:$I$34,"PM 10",'abrasion emissions'!$J$7:$J$34,"rural",'abrasion emissions'!$K$7:$K$34,"Tyre",'abrasion emissions'!$L$7:$L$34,"c")))))/1000000</f>
        <v>3.3129160295478674E-6</v>
      </c>
      <c r="CP48" s="7">
        <f>((SUMIFS('abrasion emissions'!$M$7:$M$34,'abrasion emissions'!$I$7:$I$34,"PM 2.5",'abrasion emissions'!$J$7:$J$34,"motorway",'abrasion emissions'!$K$7:$K$34,"Tyre",'abrasion emissions'!$L$7:$L$34,"b")*POWER(('vehicles specifications'!$Q48/1000),(1/SUMIFS('abrasion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specifications'!$P48/1000),(1/SUMIFS('abrasion emissions'!$M$7:$M$34,'abrasion emissions'!$I$7:$I$34,"PM 10",'abrasion emissions'!$J$7:$J$34,"motorway",'abrasion emissions'!$K$7:$K$34,"Tyre",'abrasion emissions'!$L$7:$L$34,"c")))))/1000000</f>
        <v>2.8331106052648527E-6</v>
      </c>
      <c r="CQ48" s="7">
        <f>((SUMIFS('abrasion emissions'!$M$7:$M$34,'abrasion emissions'!$I$7:$I$34,"PM 2.5",'abrasion emissions'!$J$7:$J$34,"urban",'abrasion emissions'!$K$7:$K$34,"Brake",'abrasion emissions'!$L$7:$L$34,"b")*POWER(('vehicles specifications'!$Q48/1000),(1/SUMIFS('abrasion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specifications'!$P48/1000),(1/SUMIFS('abrasion emissions'!$M$7:$M$34,'abrasion emissions'!$I$7:$I$34,"PM 10",'abrasion emissions'!$J$7:$J$34,"urban",'abrasion emissions'!$K$7:$K$34,"Brake",'abrasion emissions'!$L$7:$L$34,"c")))))/1000000</f>
        <v>3.9469248908384192E-6</v>
      </c>
      <c r="CR48" s="7">
        <f>((SUMIFS('abrasion emissions'!$M$7:$M$34,'abrasion emissions'!$I$7:$I$34,"PM 2.5",'abrasion emissions'!$J$7:$J$34,"rural",'abrasion emissions'!$K$7:$K$34,"Brake",'abrasion emissions'!$L$7:$L$34,"b")*POWER(('vehicles specifications'!$Q48/1000),(1/SUMIFS('abrasion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specifications'!$P48/1000),(1/SUMIFS('abrasion emissions'!$M$7:$M$34,'abrasion emissions'!$I$7:$I$34,"PM 10",'abrasion emissions'!$J$7:$J$34,"rural",'abrasion emissions'!$K$7:$K$34,"Brake",'abrasion emissions'!$L$7:$L$34,"c")))))/1000000</f>
        <v>1.1486737375288916E-6</v>
      </c>
      <c r="CS48" s="7">
        <f>((SUMIFS('abrasion emissions'!$M$7:$M$34,'abrasion emissions'!$I$7:$I$34,"PM 2.5",'abrasion emissions'!$J$7:$J$34,"motorway",'abrasion emissions'!$K$7:$K$34,"Brake",'abrasion emissions'!$L$7:$L$34,"b")*POWER(('vehicles specifications'!$Q48/1000),(1/SUMIFS('abrasion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specifications'!$P48/1000),(1/SUMIFS('abrasion emissions'!$M$7:$M$34,'abrasion emissions'!$I$7:$I$34,"PM 10",'abrasion emissions'!$J$7:$J$34,"motorway",'abrasion emissions'!$K$7:$K$34,"Brake",'abrasion emissions'!$L$7:$L$34,"c")))))/1000000</f>
        <v>1.9848468796768718E-7</v>
      </c>
      <c r="CT48" s="7">
        <f>((SUMIFS('abrasion emissions'!$M$7:$M$38,'abrasion emissions'!$I$7:$I$38,"PM 2.5",'abrasion emissions'!$K$7:$K$38,"Re-susp.",'abrasion emissions'!$L$7:$L$38,"b")*POWER(('vehicles specifications'!$Q48/1000),(1/SUMIFS('abrasion emissions'!$M$7:$M$38,'abrasion emissions'!$I$7:$I$38,"PM 2.5",'abrasion emissions'!$K$7:$K$38,"Re-susp.",'abrasion emissions'!$L$7:$L$38,"c"))))+
(SUMIFS('abrasion emissions'!$M$7:$M$38,'abrasion emissions'!$I$7:$I$38,"PM 10",'abrasion emissions'!$K$7:$K$38,"Re-susp.",'abrasion emissions'!$L$7:$L$38,"b")*POWER(('vehicles specifications'!$Q48/1000),(1/SUMIFS('abrasion emissions'!$M$7:$M$38,'abrasion emissions'!$I$7:$I$38,"PM 10",'abrasion emissions'!$K$7:$K$38,"Re-susp.",'abrasion emissions'!$L$7:$L$38,"c")))))/1000000</f>
        <v>2.0732084404631233E-6</v>
      </c>
      <c r="CU48" s="7">
        <f>((SUMIFS('abrasion emissions'!$M$7:$M$38,'abrasion emissions'!$I$7:$I$38,"PM 2.5",'abrasion emissions'!$K$7:$K$38,"Road",'abrasion emissions'!$L$7:$L$38,"b")*POWER(('vehicles specifications'!$Q48/1000),(1/SUMIFS('abrasion emissions'!$M$7:$M$38,'abrasion emissions'!$I$7:$I$38,"PM 2.5",'abrasion emissions'!$K$7:$K$38,"Road",'abrasion emissions'!$L$7:$L$38,"c"))))+
(SUMIFS('abrasion emissions'!$M$7:$M$38,'abrasion emissions'!$I$7:$I$38,"PM 10",'abrasion emissions'!$K$7:$K$38,"Road",'abrasion emissions'!$L$7:$L$38,"b")*POWER(('vehicles specifications'!$Q48/1000),(1/SUMIFS('abrasion emissions'!$M$7:$M$38,'abrasion emissions'!$I$7:$I$38,"PM 10",'abrasion emissions'!$K$7:$K$38,"Road",'abrasion emissions'!$L$7:$L$38,"c")))))/1000000+CT48</f>
        <v>4.3115147894576166E-6</v>
      </c>
      <c r="CV48" s="7">
        <f t="shared" si="13"/>
        <v>4.2517989039701259E-6</v>
      </c>
      <c r="CW48" s="7">
        <f t="shared" si="14"/>
        <v>3.9469248908384192E-6</v>
      </c>
    </row>
    <row r="49" spans="1:101" x14ac:dyDescent="0.2">
      <c r="A49" t="str">
        <f t="shared" si="53"/>
        <v>Bicycle, electric (&lt;45 km/h) - 2040 - NCA - CH</v>
      </c>
      <c r="B49" t="s">
        <v>265</v>
      </c>
      <c r="D49" s="18">
        <v>2040</v>
      </c>
      <c r="E49" t="s">
        <v>37</v>
      </c>
      <c r="F49" t="s">
        <v>138</v>
      </c>
      <c r="G49" t="s">
        <v>39</v>
      </c>
      <c r="H49" t="s">
        <v>32</v>
      </c>
      <c r="I49" t="s">
        <v>45</v>
      </c>
      <c r="J49">
        <v>30000</v>
      </c>
      <c r="K49">
        <v>3000</v>
      </c>
      <c r="L49" s="2">
        <f t="shared" si="54"/>
        <v>10</v>
      </c>
      <c r="M49">
        <v>1</v>
      </c>
      <c r="N49">
        <v>75</v>
      </c>
      <c r="O49">
        <v>1</v>
      </c>
      <c r="P49" s="2">
        <f t="shared" si="55"/>
        <v>26</v>
      </c>
      <c r="Q49" s="2">
        <f t="shared" si="56"/>
        <v>102</v>
      </c>
      <c r="R49">
        <v>0.5</v>
      </c>
      <c r="S49" s="2">
        <v>19</v>
      </c>
      <c r="T49" s="1">
        <v>0.05</v>
      </c>
      <c r="U49" s="2">
        <f t="shared" si="57"/>
        <v>18.05</v>
      </c>
      <c r="V49">
        <v>0</v>
      </c>
      <c r="W49">
        <v>4.7</v>
      </c>
      <c r="X49" s="3">
        <v>1</v>
      </c>
      <c r="Y49" s="1">
        <v>0.8</v>
      </c>
      <c r="Z49" s="3">
        <f t="shared" si="58"/>
        <v>0.8</v>
      </c>
      <c r="AA49" s="3">
        <f>IF(I49&lt;&gt;"",X49/INDEX('energy battery'!$B$3:$D$6,MATCH('vehicles specifications'!$D49,'energy battery'!$A$3:$A$6,0),MATCH('vehicles specifications'!$I49,'energy battery'!$B$2:$D$2,0)),"")</f>
        <v>2.5</v>
      </c>
      <c r="AB49" s="3">
        <f t="shared" si="6"/>
        <v>0.75</v>
      </c>
      <c r="AC49" s="3">
        <f t="shared" si="59"/>
        <v>3.25</v>
      </c>
      <c r="AD49">
        <v>0.25</v>
      </c>
      <c r="AE49">
        <v>0</v>
      </c>
      <c r="AF49">
        <v>0</v>
      </c>
      <c r="AG49">
        <v>0</v>
      </c>
      <c r="AH49">
        <v>0</v>
      </c>
      <c r="AI49">
        <v>0.5</v>
      </c>
      <c r="AJ49">
        <v>1</v>
      </c>
      <c r="AK49" s="6">
        <f t="shared" si="38"/>
        <v>2</v>
      </c>
      <c r="AL49">
        <f t="shared" si="60"/>
        <v>5.4774000000000001E-5</v>
      </c>
      <c r="AM49">
        <v>0</v>
      </c>
      <c r="AN49" s="2">
        <f t="shared" si="61"/>
        <v>18.05</v>
      </c>
      <c r="AO49" s="2">
        <f t="shared" si="62"/>
        <v>4.7</v>
      </c>
      <c r="AP49" s="2">
        <f t="shared" si="63"/>
        <v>3.25</v>
      </c>
      <c r="AQ49" s="6" t="s">
        <v>85</v>
      </c>
      <c r="AR49" s="20"/>
      <c r="AS49" s="5">
        <v>4.5308940859381523E-2</v>
      </c>
      <c r="AT49" s="2">
        <f t="shared" si="12"/>
        <v>63.563613392293121</v>
      </c>
      <c r="AU49" s="5">
        <v>0</v>
      </c>
      <c r="AV49" s="5">
        <v>0</v>
      </c>
      <c r="AW49" s="7">
        <v>0</v>
      </c>
      <c r="AX49" s="7">
        <v>0</v>
      </c>
      <c r="AY49" s="7">
        <v>0</v>
      </c>
      <c r="AZ49" s="7">
        <v>0</v>
      </c>
      <c r="BA49" s="7">
        <v>0</v>
      </c>
      <c r="BB49" s="7">
        <v>0</v>
      </c>
      <c r="BC49" s="7">
        <v>0</v>
      </c>
      <c r="BD49" s="7">
        <v>0</v>
      </c>
      <c r="BE49" s="7">
        <v>0</v>
      </c>
      <c r="BF49" s="7">
        <v>0</v>
      </c>
      <c r="BG49" s="7">
        <v>0</v>
      </c>
      <c r="BH49" s="7">
        <v>0</v>
      </c>
      <c r="BI49" s="7">
        <v>0</v>
      </c>
      <c r="BJ49" s="7">
        <v>0</v>
      </c>
      <c r="BK49" s="7">
        <v>0</v>
      </c>
      <c r="BL49" s="7">
        <v>0</v>
      </c>
      <c r="BM49" s="7">
        <v>0</v>
      </c>
      <c r="BN49" s="7">
        <v>0</v>
      </c>
      <c r="BO49" s="7">
        <v>0</v>
      </c>
      <c r="BP49" s="7">
        <v>0</v>
      </c>
      <c r="BQ49" s="7">
        <v>0</v>
      </c>
      <c r="BR49" s="7">
        <v>0</v>
      </c>
      <c r="BS49" s="7">
        <v>0</v>
      </c>
      <c r="BT49" s="7">
        <v>0</v>
      </c>
      <c r="BU49" s="7">
        <v>0</v>
      </c>
      <c r="BV49" s="7">
        <v>0</v>
      </c>
      <c r="BW49" s="7">
        <v>0</v>
      </c>
      <c r="BX49" s="7">
        <v>0</v>
      </c>
      <c r="BY49" s="7">
        <v>0</v>
      </c>
      <c r="BZ49" s="7">
        <v>0</v>
      </c>
      <c r="CA49" s="7">
        <v>0</v>
      </c>
      <c r="CB49" s="7">
        <v>0</v>
      </c>
      <c r="CC49" s="7">
        <v>0</v>
      </c>
      <c r="CD49" s="7">
        <v>0</v>
      </c>
      <c r="CE49" s="7">
        <v>0</v>
      </c>
      <c r="CF49" s="7">
        <v>0</v>
      </c>
      <c r="CG49" s="7">
        <v>0</v>
      </c>
      <c r="CH49" s="7">
        <v>0</v>
      </c>
      <c r="CI49" s="7">
        <v>0</v>
      </c>
      <c r="CJ49" s="7">
        <v>0</v>
      </c>
      <c r="CK49" s="38">
        <f>VLOOKUP($B49,'abrasion emissions'!$O$7:$R$36,2,FALSE)</f>
        <v>1</v>
      </c>
      <c r="CL49" s="38">
        <f>VLOOKUP($B49,'abrasion emissions'!$O$7:$R$36,3,FALSE)</f>
        <v>0</v>
      </c>
      <c r="CM49" s="38">
        <f>VLOOKUP($B49,'abrasion emissions'!$O$7:$R$36,4,FALSE)</f>
        <v>0</v>
      </c>
      <c r="CN49" s="7">
        <f>((SUMIFS('abrasion emissions'!$M$7:$M$34,'abrasion emissions'!$I$7:$I$34,"PM 2.5",'abrasion emissions'!$J$7:$J$34,"urban",'abrasion emissions'!$K$7:$K$34,"Tyre",'abrasion emissions'!$L$7:$L$34,"b")*POWER(('vehicles specifications'!$Q49/1000),(1/SUMIFS('abrasion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specifications'!$P49/1000),(1/SUMIFS('abrasion emissions'!$M$7:$M$34,'abrasion emissions'!$I$7:$I$34,"PM 10",'abrasion emissions'!$J$7:$J$34,"urban",'abrasion emissions'!$K$7:$K$34,"Tyre",'abrasion emissions'!$L$7:$L$34,"c")))))/1000000</f>
        <v>4.2258279579563645E-6</v>
      </c>
      <c r="CO49" s="7">
        <f>((SUMIFS('abrasion emissions'!$M$7:$M$34,'abrasion emissions'!$I$7:$I$34,"PM 2.5",'abrasion emissions'!$J$7:$J$34,"rural",'abrasion emissions'!$K$7:$K$34,"Tyre",'abrasion emissions'!$L$7:$L$34,"b")*POWER(('vehicles specifications'!$Q49/1000),(1/SUMIFS('abrasion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specifications'!$P49/1000),(1/SUMIFS('abrasion emissions'!$M$7:$M$34,'abrasion emissions'!$I$7:$I$34,"PM 10",'abrasion emissions'!$J$7:$J$34,"rural",'abrasion emissions'!$K$7:$K$34,"Tyre",'abrasion emissions'!$L$7:$L$34,"c")))))/1000000</f>
        <v>3.2927185206696987E-6</v>
      </c>
      <c r="CP49" s="7">
        <f>((SUMIFS('abrasion emissions'!$M$7:$M$34,'abrasion emissions'!$I$7:$I$34,"PM 2.5",'abrasion emissions'!$J$7:$J$34,"motorway",'abrasion emissions'!$K$7:$K$34,"Tyre",'abrasion emissions'!$L$7:$L$34,"b")*POWER(('vehicles specifications'!$Q49/1000),(1/SUMIFS('abrasion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specifications'!$P49/1000),(1/SUMIFS('abrasion emissions'!$M$7:$M$34,'abrasion emissions'!$I$7:$I$34,"PM 10",'abrasion emissions'!$J$7:$J$34,"motorway",'abrasion emissions'!$K$7:$K$34,"Tyre",'abrasion emissions'!$L$7:$L$34,"c")))))/1000000</f>
        <v>2.815934924428819E-6</v>
      </c>
      <c r="CQ49" s="7">
        <f>((SUMIFS('abrasion emissions'!$M$7:$M$34,'abrasion emissions'!$I$7:$I$34,"PM 2.5",'abrasion emissions'!$J$7:$J$34,"urban",'abrasion emissions'!$K$7:$K$34,"Brake",'abrasion emissions'!$L$7:$L$34,"b")*POWER(('vehicles specifications'!$Q49/1000),(1/SUMIFS('abrasion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specifications'!$P49/1000),(1/SUMIFS('abrasion emissions'!$M$7:$M$34,'abrasion emissions'!$I$7:$I$34,"PM 10",'abrasion emissions'!$J$7:$J$34,"urban",'abrasion emissions'!$K$7:$K$34,"Brake",'abrasion emissions'!$L$7:$L$34,"c")))))/1000000</f>
        <v>3.9234998540415566E-6</v>
      </c>
      <c r="CR49" s="7">
        <f>((SUMIFS('abrasion emissions'!$M$7:$M$34,'abrasion emissions'!$I$7:$I$34,"PM 2.5",'abrasion emissions'!$J$7:$J$34,"rural",'abrasion emissions'!$K$7:$K$34,"Brake",'abrasion emissions'!$L$7:$L$34,"b")*POWER(('vehicles specifications'!$Q49/1000),(1/SUMIFS('abrasion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specifications'!$P49/1000),(1/SUMIFS('abrasion emissions'!$M$7:$M$34,'abrasion emissions'!$I$7:$I$34,"PM 10",'abrasion emissions'!$J$7:$J$34,"rural",'abrasion emissions'!$K$7:$K$34,"Brake",'abrasion emissions'!$L$7:$L$34,"c")))))/1000000</f>
        <v>1.1403544017575488E-6</v>
      </c>
      <c r="CS49" s="7">
        <f>((SUMIFS('abrasion emissions'!$M$7:$M$34,'abrasion emissions'!$I$7:$I$34,"PM 2.5",'abrasion emissions'!$J$7:$J$34,"motorway",'abrasion emissions'!$K$7:$K$34,"Brake",'abrasion emissions'!$L$7:$L$34,"b")*POWER(('vehicles specifications'!$Q49/1000),(1/SUMIFS('abrasion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specifications'!$P49/1000),(1/SUMIFS('abrasion emissions'!$M$7:$M$34,'abrasion emissions'!$I$7:$I$34,"PM 10",'abrasion emissions'!$J$7:$J$34,"motorway",'abrasion emissions'!$K$7:$K$34,"Brake",'abrasion emissions'!$L$7:$L$34,"c")))))/1000000</f>
        <v>1.9688072341666679E-7</v>
      </c>
      <c r="CT49" s="7">
        <f>((SUMIFS('abrasion emissions'!$M$7:$M$38,'abrasion emissions'!$I$7:$I$38,"PM 2.5",'abrasion emissions'!$K$7:$K$38,"Re-susp.",'abrasion emissions'!$L$7:$L$38,"b")*POWER(('vehicles specifications'!$Q49/1000),(1/SUMIFS('abrasion emissions'!$M$7:$M$38,'abrasion emissions'!$I$7:$I$38,"PM 2.5",'abrasion emissions'!$K$7:$K$38,"Re-susp.",'abrasion emissions'!$L$7:$L$38,"c"))))+
(SUMIFS('abrasion emissions'!$M$7:$M$38,'abrasion emissions'!$I$7:$I$38,"PM 10",'abrasion emissions'!$K$7:$K$38,"Re-susp.",'abrasion emissions'!$L$7:$L$38,"b")*POWER(('vehicles specifications'!$Q49/1000),(1/SUMIFS('abrasion emissions'!$M$7:$M$38,'abrasion emissions'!$I$7:$I$38,"PM 10",'abrasion emissions'!$K$7:$K$38,"Re-susp.",'abrasion emissions'!$L$7:$L$38,"c")))))/1000000</f>
        <v>2.0585967221386468E-6</v>
      </c>
      <c r="CU49" s="7">
        <f>((SUMIFS('abrasion emissions'!$M$7:$M$38,'abrasion emissions'!$I$7:$I$38,"PM 2.5",'abrasion emissions'!$K$7:$K$38,"Road",'abrasion emissions'!$L$7:$L$38,"b")*POWER(('vehicles specifications'!$Q49/1000),(1/SUMIFS('abrasion emissions'!$M$7:$M$38,'abrasion emissions'!$I$7:$I$38,"PM 2.5",'abrasion emissions'!$K$7:$K$38,"Road",'abrasion emissions'!$L$7:$L$38,"c"))))+
(SUMIFS('abrasion emissions'!$M$7:$M$38,'abrasion emissions'!$I$7:$I$38,"PM 10",'abrasion emissions'!$K$7:$K$38,"Road",'abrasion emissions'!$L$7:$L$38,"b")*POWER(('vehicles specifications'!$Q49/1000),(1/SUMIFS('abrasion emissions'!$M$7:$M$38,'abrasion emissions'!$I$7:$I$38,"PM 10",'abrasion emissions'!$K$7:$K$38,"Road",'abrasion emissions'!$L$7:$L$38,"c")))))/1000000+CT49</f>
        <v>4.2853236082116621E-6</v>
      </c>
      <c r="CV49" s="7">
        <f t="shared" si="13"/>
        <v>4.2258279579563645E-6</v>
      </c>
      <c r="CW49" s="7">
        <f t="shared" si="14"/>
        <v>3.9234998540415566E-6</v>
      </c>
    </row>
    <row r="50" spans="1:101" x14ac:dyDescent="0.2">
      <c r="A50" t="str">
        <f t="shared" si="53"/>
        <v>Bicycle, electric (&lt;45 km/h) - 2050 - NCA - CH</v>
      </c>
      <c r="B50" t="s">
        <v>265</v>
      </c>
      <c r="D50" s="18">
        <v>2050</v>
      </c>
      <c r="E50" t="s">
        <v>37</v>
      </c>
      <c r="F50" t="s">
        <v>138</v>
      </c>
      <c r="G50" t="s">
        <v>39</v>
      </c>
      <c r="H50" t="s">
        <v>32</v>
      </c>
      <c r="I50" t="s">
        <v>45</v>
      </c>
      <c r="J50">
        <v>30000</v>
      </c>
      <c r="K50">
        <v>3000</v>
      </c>
      <c r="L50" s="2">
        <f t="shared" si="54"/>
        <v>10</v>
      </c>
      <c r="M50">
        <v>1</v>
      </c>
      <c r="N50">
        <v>75</v>
      </c>
      <c r="O50">
        <v>1</v>
      </c>
      <c r="P50" s="2">
        <f t="shared" si="55"/>
        <v>26.169999999999995</v>
      </c>
      <c r="Q50" s="2">
        <f t="shared" si="56"/>
        <v>102.16999999999999</v>
      </c>
      <c r="R50">
        <v>0.5</v>
      </c>
      <c r="S50" s="2">
        <v>19</v>
      </c>
      <c r="T50" s="1">
        <v>7.0000000000000007E-2</v>
      </c>
      <c r="U50" s="2">
        <f t="shared" si="57"/>
        <v>17.669999999999998</v>
      </c>
      <c r="V50">
        <v>0</v>
      </c>
      <c r="W50">
        <v>4.5999999999999996</v>
      </c>
      <c r="X50" s="3">
        <v>1.5</v>
      </c>
      <c r="Y50" s="1">
        <v>0.8</v>
      </c>
      <c r="Z50" s="3">
        <f t="shared" si="58"/>
        <v>1.2000000000000002</v>
      </c>
      <c r="AA50" s="3">
        <f>IF(I50&lt;&gt;"",X50/INDEX('energy battery'!$B$3:$D$6,MATCH('vehicles specifications'!$D50,'energy battery'!$A$3:$A$6,0),MATCH('vehicles specifications'!$I50,'energy battery'!$B$2:$D$2,0)),"")</f>
        <v>3</v>
      </c>
      <c r="AB50" s="3">
        <f t="shared" si="6"/>
        <v>0.89999999999999991</v>
      </c>
      <c r="AC50" s="3">
        <f t="shared" si="59"/>
        <v>3.9</v>
      </c>
      <c r="AD50">
        <v>0</v>
      </c>
      <c r="AE50">
        <v>0</v>
      </c>
      <c r="AF50">
        <v>0</v>
      </c>
      <c r="AG50">
        <v>0</v>
      </c>
      <c r="AH50">
        <v>0</v>
      </c>
      <c r="AI50">
        <v>0.5</v>
      </c>
      <c r="AJ50">
        <v>1</v>
      </c>
      <c r="AK50" s="6">
        <f t="shared" si="38"/>
        <v>2</v>
      </c>
      <c r="AL50">
        <f t="shared" si="60"/>
        <v>5.4865289999999991E-5</v>
      </c>
      <c r="AM50">
        <v>0</v>
      </c>
      <c r="AN50" s="2">
        <f t="shared" si="61"/>
        <v>17.669999999999998</v>
      </c>
      <c r="AO50" s="2">
        <f t="shared" si="62"/>
        <v>4.5999999999999996</v>
      </c>
      <c r="AP50" s="2">
        <f t="shared" si="63"/>
        <v>3.9</v>
      </c>
      <c r="AQ50" s="6" t="s">
        <v>85</v>
      </c>
      <c r="AR50" s="20"/>
      <c r="AS50" s="5">
        <v>4.5308940859381523E-2</v>
      </c>
      <c r="AT50" s="2">
        <f t="shared" si="12"/>
        <v>95.345420088439695</v>
      </c>
      <c r="AU50" s="5">
        <v>0</v>
      </c>
      <c r="AV50" s="5">
        <v>0</v>
      </c>
      <c r="AW50" s="7">
        <v>0</v>
      </c>
      <c r="AX50" s="7">
        <v>0</v>
      </c>
      <c r="AY50" s="7">
        <v>0</v>
      </c>
      <c r="AZ50" s="7">
        <v>0</v>
      </c>
      <c r="BA50" s="7">
        <v>0</v>
      </c>
      <c r="BB50" s="7">
        <v>0</v>
      </c>
      <c r="BC50" s="7">
        <v>0</v>
      </c>
      <c r="BD50" s="7">
        <v>0</v>
      </c>
      <c r="BE50" s="7">
        <v>0</v>
      </c>
      <c r="BF50" s="7">
        <v>0</v>
      </c>
      <c r="BG50" s="7">
        <v>0</v>
      </c>
      <c r="BH50" s="7">
        <v>0</v>
      </c>
      <c r="BI50" s="7">
        <v>0</v>
      </c>
      <c r="BJ50" s="7">
        <v>0</v>
      </c>
      <c r="BK50" s="7">
        <v>0</v>
      </c>
      <c r="BL50" s="7">
        <v>0</v>
      </c>
      <c r="BM50" s="7">
        <v>0</v>
      </c>
      <c r="BN50" s="7">
        <v>0</v>
      </c>
      <c r="BO50" s="7">
        <v>0</v>
      </c>
      <c r="BP50" s="7">
        <v>0</v>
      </c>
      <c r="BQ50" s="7">
        <v>0</v>
      </c>
      <c r="BR50" s="7">
        <v>0</v>
      </c>
      <c r="BS50" s="7">
        <v>0</v>
      </c>
      <c r="BT50" s="7">
        <v>0</v>
      </c>
      <c r="BU50" s="7">
        <v>0</v>
      </c>
      <c r="BV50" s="7">
        <v>0</v>
      </c>
      <c r="BW50" s="7">
        <v>0</v>
      </c>
      <c r="BX50" s="7">
        <v>0</v>
      </c>
      <c r="BY50" s="7">
        <v>0</v>
      </c>
      <c r="BZ50" s="7">
        <v>0</v>
      </c>
      <c r="CA50" s="7">
        <v>0</v>
      </c>
      <c r="CB50" s="7">
        <v>0</v>
      </c>
      <c r="CC50" s="7">
        <v>0</v>
      </c>
      <c r="CD50" s="7">
        <v>0</v>
      </c>
      <c r="CE50" s="7">
        <v>0</v>
      </c>
      <c r="CF50" s="7">
        <v>0</v>
      </c>
      <c r="CG50" s="7">
        <v>0</v>
      </c>
      <c r="CH50" s="7">
        <v>0</v>
      </c>
      <c r="CI50" s="7">
        <v>0</v>
      </c>
      <c r="CJ50" s="7">
        <v>0</v>
      </c>
      <c r="CK50" s="38">
        <f>VLOOKUP($B50,'abrasion emissions'!$O$7:$R$36,2,FALSE)</f>
        <v>1</v>
      </c>
      <c r="CL50" s="38">
        <f>VLOOKUP($B50,'abrasion emissions'!$O$7:$R$36,3,FALSE)</f>
        <v>0</v>
      </c>
      <c r="CM50" s="38">
        <f>VLOOKUP($B50,'abrasion emissions'!$O$7:$R$36,4,FALSE)</f>
        <v>0</v>
      </c>
      <c r="CN50" s="7">
        <f>((SUMIFS('abrasion emissions'!$M$7:$M$34,'abrasion emissions'!$I$7:$I$34,"PM 2.5",'abrasion emissions'!$J$7:$J$34,"urban",'abrasion emissions'!$K$7:$K$34,"Tyre",'abrasion emissions'!$L$7:$L$34,"b")*POWER(('vehicles specifications'!$Q50/1000),(1/SUMIFS('abrasion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specifications'!$P50/1000),(1/SUMIFS('abrasion emissions'!$M$7:$M$34,'abrasion emissions'!$I$7:$I$34,"PM 10",'abrasion emissions'!$J$7:$J$34,"urban",'abrasion emissions'!$K$7:$K$34,"Tyre",'abrasion emissions'!$L$7:$L$34,"c")))))/1000000</f>
        <v>4.2313962200767675E-6</v>
      </c>
      <c r="CO50" s="7">
        <f>((SUMIFS('abrasion emissions'!$M$7:$M$34,'abrasion emissions'!$I$7:$I$34,"PM 2.5",'abrasion emissions'!$J$7:$J$34,"rural",'abrasion emissions'!$K$7:$K$34,"Tyre",'abrasion emissions'!$L$7:$L$34,"b")*POWER(('vehicles specifications'!$Q50/1000),(1/SUMIFS('abrasion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specifications'!$P50/1000),(1/SUMIFS('abrasion emissions'!$M$7:$M$34,'abrasion emissions'!$I$7:$I$34,"PM 10",'abrasion emissions'!$J$7:$J$34,"rural",'abrasion emissions'!$K$7:$K$34,"Tyre",'abrasion emissions'!$L$7:$L$34,"c")))))/1000000</f>
        <v>3.2970489068519658E-6</v>
      </c>
      <c r="CP50" s="7">
        <f>((SUMIFS('abrasion emissions'!$M$7:$M$34,'abrasion emissions'!$I$7:$I$34,"PM 2.5",'abrasion emissions'!$J$7:$J$34,"motorway",'abrasion emissions'!$K$7:$K$34,"Tyre",'abrasion emissions'!$L$7:$L$34,"b")*POWER(('vehicles specifications'!$Q50/1000),(1/SUMIFS('abrasion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specifications'!$P50/1000),(1/SUMIFS('abrasion emissions'!$M$7:$M$34,'abrasion emissions'!$I$7:$I$34,"PM 10",'abrasion emissions'!$J$7:$J$34,"motorway",'abrasion emissions'!$K$7:$K$34,"Tyre",'abrasion emissions'!$L$7:$L$34,"c")))))/1000000</f>
        <v>2.8196173474429288E-6</v>
      </c>
      <c r="CQ50" s="7">
        <f>((SUMIFS('abrasion emissions'!$M$7:$M$34,'abrasion emissions'!$I$7:$I$34,"PM 2.5",'abrasion emissions'!$J$7:$J$34,"urban",'abrasion emissions'!$K$7:$K$34,"Brake",'abrasion emissions'!$L$7:$L$34,"b")*POWER(('vehicles specifications'!$Q50/1000),(1/SUMIFS('abrasion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specifications'!$P50/1000),(1/SUMIFS('abrasion emissions'!$M$7:$M$34,'abrasion emissions'!$I$7:$I$34,"PM 10",'abrasion emissions'!$J$7:$J$34,"urban",'abrasion emissions'!$K$7:$K$34,"Brake",'abrasion emissions'!$L$7:$L$34,"c")))))/1000000</f>
        <v>3.9285145743745862E-6</v>
      </c>
      <c r="CR50" s="7">
        <f>((SUMIFS('abrasion emissions'!$M$7:$M$34,'abrasion emissions'!$I$7:$I$34,"PM 2.5",'abrasion emissions'!$J$7:$J$34,"rural",'abrasion emissions'!$K$7:$K$34,"Brake",'abrasion emissions'!$L$7:$L$34,"b")*POWER(('vehicles specifications'!$Q50/1000),(1/SUMIFS('abrasion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specifications'!$P50/1000),(1/SUMIFS('abrasion emissions'!$M$7:$M$34,'abrasion emissions'!$I$7:$I$34,"PM 10",'abrasion emissions'!$J$7:$J$34,"rural",'abrasion emissions'!$K$7:$K$34,"Brake",'abrasion emissions'!$L$7:$L$34,"c")))))/1000000</f>
        <v>1.1421334918401469E-6</v>
      </c>
      <c r="CS50" s="7">
        <f>((SUMIFS('abrasion emissions'!$M$7:$M$34,'abrasion emissions'!$I$7:$I$34,"PM 2.5",'abrasion emissions'!$J$7:$J$34,"motorway",'abrasion emissions'!$K$7:$K$34,"Brake",'abrasion emissions'!$L$7:$L$34,"b")*POWER(('vehicles specifications'!$Q50/1000),(1/SUMIFS('abrasion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specifications'!$P50/1000),(1/SUMIFS('abrasion emissions'!$M$7:$M$34,'abrasion emissions'!$I$7:$I$34,"PM 10",'abrasion emissions'!$J$7:$J$34,"motorway",'abrasion emissions'!$K$7:$K$34,"Brake",'abrasion emissions'!$L$7:$L$34,"c")))))/1000000</f>
        <v>1.9722348104079455E-7</v>
      </c>
      <c r="CT50" s="7">
        <f>((SUMIFS('abrasion emissions'!$M$7:$M$38,'abrasion emissions'!$I$7:$I$38,"PM 2.5",'abrasion emissions'!$K$7:$K$38,"Re-susp.",'abrasion emissions'!$L$7:$L$38,"b")*POWER(('vehicles specifications'!$Q50/1000),(1/SUMIFS('abrasion emissions'!$M$7:$M$38,'abrasion emissions'!$I$7:$I$38,"PM 2.5",'abrasion emissions'!$K$7:$K$38,"Re-susp.",'abrasion emissions'!$L$7:$L$38,"c"))))+
(SUMIFS('abrasion emissions'!$M$7:$M$38,'abrasion emissions'!$I$7:$I$38,"PM 10",'abrasion emissions'!$K$7:$K$38,"Re-susp.",'abrasion emissions'!$L$7:$L$38,"b")*POWER(('vehicles specifications'!$Q50/1000),(1/SUMIFS('abrasion emissions'!$M$7:$M$38,'abrasion emissions'!$I$7:$I$38,"PM 10",'abrasion emissions'!$K$7:$K$38,"Re-susp.",'abrasion emissions'!$L$7:$L$38,"c")))))/1000000</f>
        <v>2.0617155719299752E-6</v>
      </c>
      <c r="CU50" s="7">
        <f>((SUMIFS('abrasion emissions'!$M$7:$M$38,'abrasion emissions'!$I$7:$I$38,"PM 2.5",'abrasion emissions'!$K$7:$K$38,"Road",'abrasion emissions'!$L$7:$L$38,"b")*POWER(('vehicles specifications'!$Q50/1000),(1/SUMIFS('abrasion emissions'!$M$7:$M$38,'abrasion emissions'!$I$7:$I$38,"PM 2.5",'abrasion emissions'!$K$7:$K$38,"Road",'abrasion emissions'!$L$7:$L$38,"c"))))+
(SUMIFS('abrasion emissions'!$M$7:$M$38,'abrasion emissions'!$I$7:$I$38,"PM 10",'abrasion emissions'!$K$7:$K$38,"Road",'abrasion emissions'!$L$7:$L$38,"b")*POWER(('vehicles specifications'!$Q50/1000),(1/SUMIFS('abrasion emissions'!$M$7:$M$38,'abrasion emissions'!$I$7:$I$38,"PM 10",'abrasion emissions'!$K$7:$K$38,"Road",'abrasion emissions'!$L$7:$L$38,"c")))))/1000000+CT50</f>
        <v>4.2909159122347196E-6</v>
      </c>
      <c r="CV50" s="7">
        <f t="shared" si="13"/>
        <v>4.2313962200767675E-6</v>
      </c>
      <c r="CW50" s="7">
        <f t="shared" si="14"/>
        <v>3.9285145743745862E-6</v>
      </c>
    </row>
    <row r="51" spans="1:101" x14ac:dyDescent="0.2">
      <c r="A51" t="str">
        <f t="shared" si="53"/>
        <v>Bicycle, electric, cargo bike - 2020 - NCA - CH</v>
      </c>
      <c r="B51" t="s">
        <v>271</v>
      </c>
      <c r="D51" s="18">
        <v>2020</v>
      </c>
      <c r="E51" t="s">
        <v>37</v>
      </c>
      <c r="F51" t="s">
        <v>138</v>
      </c>
      <c r="G51" t="s">
        <v>39</v>
      </c>
      <c r="H51" t="s">
        <v>32</v>
      </c>
      <c r="I51" t="s">
        <v>45</v>
      </c>
      <c r="J51">
        <v>20000</v>
      </c>
      <c r="K51">
        <v>2000</v>
      </c>
      <c r="L51" s="2">
        <f t="shared" si="54"/>
        <v>10</v>
      </c>
      <c r="M51">
        <v>1</v>
      </c>
      <c r="N51">
        <v>75</v>
      </c>
      <c r="O51">
        <v>50</v>
      </c>
      <c r="P51" s="2">
        <f t="shared" si="55"/>
        <v>44.826086956521742</v>
      </c>
      <c r="Q51" s="2">
        <f t="shared" si="56"/>
        <v>169.82608695652175</v>
      </c>
      <c r="R51">
        <v>0.25</v>
      </c>
      <c r="S51" s="2">
        <v>38</v>
      </c>
      <c r="T51" s="1">
        <v>0</v>
      </c>
      <c r="U51" s="2">
        <f t="shared" si="57"/>
        <v>38</v>
      </c>
      <c r="V51">
        <v>0</v>
      </c>
      <c r="W51">
        <v>4</v>
      </c>
      <c r="X51" s="3">
        <v>0.5</v>
      </c>
      <c r="Y51" s="1">
        <v>0.8</v>
      </c>
      <c r="Z51" s="3">
        <f t="shared" si="58"/>
        <v>0.4</v>
      </c>
      <c r="AA51" s="3">
        <f>IF(I51&lt;&gt;"",X51/INDEX('energy battery'!$B$3:$D$6,MATCH('vehicles specifications'!$D51,'energy battery'!$A$3:$A$6,0),MATCH('vehicles specifications'!$I51,'energy battery'!$B$2:$D$2,0)),"")</f>
        <v>2.1739130434782608</v>
      </c>
      <c r="AB51" s="3">
        <f t="shared" si="6"/>
        <v>0.65217391304347816</v>
      </c>
      <c r="AC51" s="3">
        <f t="shared" si="59"/>
        <v>2.8260869565217388</v>
      </c>
      <c r="AD51">
        <v>1</v>
      </c>
      <c r="AE51">
        <v>0</v>
      </c>
      <c r="AF51">
        <v>0</v>
      </c>
      <c r="AG51">
        <v>0</v>
      </c>
      <c r="AH51">
        <v>0</v>
      </c>
      <c r="AI51">
        <v>0.5</v>
      </c>
      <c r="AJ51">
        <v>1</v>
      </c>
      <c r="AK51" s="6">
        <f t="shared" si="38"/>
        <v>1.3333333333333333</v>
      </c>
      <c r="AL51">
        <f t="shared" si="60"/>
        <v>9.1196608695652177E-5</v>
      </c>
      <c r="AM51">
        <v>0</v>
      </c>
      <c r="AN51" s="2">
        <f t="shared" si="61"/>
        <v>38</v>
      </c>
      <c r="AO51" s="2">
        <f t="shared" si="62"/>
        <v>4</v>
      </c>
      <c r="AP51" s="2">
        <f t="shared" si="63"/>
        <v>2.8260869565217388</v>
      </c>
      <c r="AQ51" s="6" t="s">
        <v>85</v>
      </c>
      <c r="AR51" s="20"/>
      <c r="AS51" s="5">
        <v>3.4708323163290214E-2</v>
      </c>
      <c r="AT51" s="2">
        <f t="shared" si="12"/>
        <v>41.48860759493671</v>
      </c>
      <c r="AU51" s="5">
        <v>0</v>
      </c>
      <c r="AV51" s="5">
        <v>0</v>
      </c>
      <c r="AW51" s="7">
        <v>0</v>
      </c>
      <c r="AX51" s="7">
        <v>0</v>
      </c>
      <c r="AY51" s="7">
        <v>0</v>
      </c>
      <c r="AZ51" s="7">
        <v>0</v>
      </c>
      <c r="BA51" s="7">
        <v>0</v>
      </c>
      <c r="BB51" s="7">
        <v>0</v>
      </c>
      <c r="BC51" s="7">
        <v>0</v>
      </c>
      <c r="BD51" s="7">
        <v>0</v>
      </c>
      <c r="BE51" s="7">
        <v>0</v>
      </c>
      <c r="BF51" s="7">
        <v>0</v>
      </c>
      <c r="BG51" s="7">
        <v>0</v>
      </c>
      <c r="BH51" s="7">
        <v>0</v>
      </c>
      <c r="BI51" s="7">
        <v>0</v>
      </c>
      <c r="BJ51" s="7">
        <v>0</v>
      </c>
      <c r="BK51" s="7">
        <v>0</v>
      </c>
      <c r="BL51" s="7">
        <v>0</v>
      </c>
      <c r="BM51" s="7">
        <v>0</v>
      </c>
      <c r="BN51" s="7">
        <v>0</v>
      </c>
      <c r="BO51" s="7">
        <v>0</v>
      </c>
      <c r="BP51" s="7">
        <v>0</v>
      </c>
      <c r="BQ51" s="7">
        <v>0</v>
      </c>
      <c r="BR51" s="7">
        <v>0</v>
      </c>
      <c r="BS51" s="7">
        <v>0</v>
      </c>
      <c r="BT51" s="7">
        <v>0</v>
      </c>
      <c r="BU51" s="7">
        <v>0</v>
      </c>
      <c r="BV51" s="7">
        <v>0</v>
      </c>
      <c r="BW51" s="7">
        <v>0</v>
      </c>
      <c r="BX51" s="7">
        <v>0</v>
      </c>
      <c r="BY51" s="7">
        <v>0</v>
      </c>
      <c r="BZ51" s="7">
        <v>0</v>
      </c>
      <c r="CA51" s="7">
        <v>0</v>
      </c>
      <c r="CB51" s="7">
        <v>0</v>
      </c>
      <c r="CC51" s="7">
        <v>0</v>
      </c>
      <c r="CD51" s="7">
        <v>0</v>
      </c>
      <c r="CE51" s="7">
        <v>0</v>
      </c>
      <c r="CF51" s="7">
        <v>0</v>
      </c>
      <c r="CG51" s="7">
        <v>0</v>
      </c>
      <c r="CH51" s="7">
        <v>0</v>
      </c>
      <c r="CI51" s="7">
        <v>0</v>
      </c>
      <c r="CJ51" s="7">
        <v>0</v>
      </c>
      <c r="CK51" s="38">
        <f>VLOOKUP($B51,'abrasion emissions'!$O$7:$R$36,2,FALSE)</f>
        <v>1</v>
      </c>
      <c r="CL51" s="38">
        <f>VLOOKUP($B51,'abrasion emissions'!$O$7:$R$36,3,FALSE)</f>
        <v>0</v>
      </c>
      <c r="CM51" s="38">
        <f>VLOOKUP($B51,'abrasion emissions'!$O$7:$R$36,4,FALSE)</f>
        <v>0</v>
      </c>
      <c r="CN51" s="7">
        <f>((SUMIFS('abrasion emissions'!$M$7:$M$34,'abrasion emissions'!$I$7:$I$34,"PM 2.5",'abrasion emissions'!$J$7:$J$34,"urban",'abrasion emissions'!$K$7:$K$34,"Tyre",'abrasion emissions'!$L$7:$L$34,"b")*POWER(('vehicles specifications'!$Q51/1000),(1/SUMIFS('abrasion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specifications'!$P51/1000),(1/SUMIFS('abrasion emissions'!$M$7:$M$34,'abrasion emissions'!$I$7:$I$34,"PM 10",'abrasion emissions'!$J$7:$J$34,"urban",'abrasion emissions'!$K$7:$K$34,"Tyre",'abrasion emissions'!$L$7:$L$34,"c")))))/1000000</f>
        <v>5.2970558500651591E-6</v>
      </c>
      <c r="CO51" s="7">
        <f>((SUMIFS('abrasion emissions'!$M$7:$M$34,'abrasion emissions'!$I$7:$I$34,"PM 2.5",'abrasion emissions'!$J$7:$J$34,"rural",'abrasion emissions'!$K$7:$K$34,"Tyre",'abrasion emissions'!$L$7:$L$34,"b")*POWER(('vehicles specifications'!$Q51/1000),(1/SUMIFS('abrasion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specifications'!$P51/1000),(1/SUMIFS('abrasion emissions'!$M$7:$M$34,'abrasion emissions'!$I$7:$I$34,"PM 10",'abrasion emissions'!$J$7:$J$34,"rural",'abrasion emissions'!$K$7:$K$34,"Tyre",'abrasion emissions'!$L$7:$L$34,"c")))))/1000000</f>
        <v>4.127332160420385E-6</v>
      </c>
      <c r="CP51" s="7">
        <f>((SUMIFS('abrasion emissions'!$M$7:$M$34,'abrasion emissions'!$I$7:$I$34,"PM 2.5",'abrasion emissions'!$J$7:$J$34,"motorway",'abrasion emissions'!$K$7:$K$34,"Tyre",'abrasion emissions'!$L$7:$L$34,"b")*POWER(('vehicles specifications'!$Q51/1000),(1/SUMIFS('abrasion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specifications'!$P51/1000),(1/SUMIFS('abrasion emissions'!$M$7:$M$34,'abrasion emissions'!$I$7:$I$34,"PM 10",'abrasion emissions'!$J$7:$J$34,"motorway",'abrasion emissions'!$K$7:$K$34,"Tyre",'abrasion emissions'!$L$7:$L$34,"c")))))/1000000</f>
        <v>3.5295081053775763E-6</v>
      </c>
      <c r="CQ51" s="7">
        <f>((SUMIFS('abrasion emissions'!$M$7:$M$34,'abrasion emissions'!$I$7:$I$34,"PM 2.5",'abrasion emissions'!$J$7:$J$34,"urban",'abrasion emissions'!$K$7:$K$34,"Brake",'abrasion emissions'!$L$7:$L$34,"b")*POWER(('vehicles specifications'!$Q51/1000),(1/SUMIFS('abrasion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specifications'!$P51/1000),(1/SUMIFS('abrasion emissions'!$M$7:$M$34,'abrasion emissions'!$I$7:$I$34,"PM 10",'abrasion emissions'!$J$7:$J$34,"urban",'abrasion emissions'!$K$7:$K$34,"Brake",'abrasion emissions'!$L$7:$L$34,"c")))))/1000000</f>
        <v>5.145913276111852E-6</v>
      </c>
      <c r="CR51" s="7">
        <f>((SUMIFS('abrasion emissions'!$M$7:$M$34,'abrasion emissions'!$I$7:$I$34,"PM 2.5",'abrasion emissions'!$J$7:$J$34,"rural",'abrasion emissions'!$K$7:$K$34,"Brake",'abrasion emissions'!$L$7:$L$34,"b")*POWER(('vehicles specifications'!$Q51/1000),(1/SUMIFS('abrasion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specifications'!$P51/1000),(1/SUMIFS('abrasion emissions'!$M$7:$M$34,'abrasion emissions'!$I$7:$I$34,"PM 10",'abrasion emissions'!$J$7:$J$34,"rural",'abrasion emissions'!$K$7:$K$34,"Brake",'abrasion emissions'!$L$7:$L$34,"c")))))/1000000</f>
        <v>1.6071493312188078E-6</v>
      </c>
      <c r="CS51" s="7">
        <f>((SUMIFS('abrasion emissions'!$M$7:$M$34,'abrasion emissions'!$I$7:$I$34,"PM 2.5",'abrasion emissions'!$J$7:$J$34,"motorway",'abrasion emissions'!$K$7:$K$34,"Brake",'abrasion emissions'!$L$7:$L$34,"b")*POWER(('vehicles specifications'!$Q51/1000),(1/SUMIFS('abrasion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specifications'!$P51/1000),(1/SUMIFS('abrasion emissions'!$M$7:$M$34,'abrasion emissions'!$I$7:$I$34,"PM 10",'abrasion emissions'!$J$7:$J$34,"motorway",'abrasion emissions'!$K$7:$K$34,"Brake",'abrasion emissions'!$L$7:$L$34,"c")))))/1000000</f>
        <v>2.9238866659765762E-7</v>
      </c>
      <c r="CT51" s="7">
        <f>((SUMIFS('abrasion emissions'!$M$7:$M$38,'abrasion emissions'!$I$7:$I$38,"PM 2.5",'abrasion emissions'!$K$7:$K$38,"Re-susp.",'abrasion emissions'!$L$7:$L$38,"b")*POWER(('vehicles specifications'!$Q51/1000),(1/SUMIFS('abrasion emissions'!$M$7:$M$38,'abrasion emissions'!$I$7:$I$38,"PM 2.5",'abrasion emissions'!$K$7:$K$38,"Re-susp.",'abrasion emissions'!$L$7:$L$38,"c"))))+
(SUMIFS('abrasion emissions'!$M$7:$M$38,'abrasion emissions'!$I$7:$I$38,"PM 10",'abrasion emissions'!$K$7:$K$38,"Re-susp.",'abrasion emissions'!$L$7:$L$38,"b")*POWER(('vehicles specifications'!$Q51/1000),(1/SUMIFS('abrasion emissions'!$M$7:$M$38,'abrasion emissions'!$I$7:$I$38,"PM 10",'abrasion emissions'!$K$7:$K$38,"Re-susp.",'abrasion emissions'!$L$7:$L$38,"c")))))/1000000</f>
        <v>3.272260355140291E-6</v>
      </c>
      <c r="CU51" s="7">
        <f>((SUMIFS('abrasion emissions'!$M$7:$M$38,'abrasion emissions'!$I$7:$I$38,"PM 2.5",'abrasion emissions'!$K$7:$K$38,"Road",'abrasion emissions'!$L$7:$L$38,"b")*POWER(('vehicles specifications'!$Q51/1000),(1/SUMIFS('abrasion emissions'!$M$7:$M$38,'abrasion emissions'!$I$7:$I$38,"PM 2.5",'abrasion emissions'!$K$7:$K$38,"Road",'abrasion emissions'!$L$7:$L$38,"c"))))+
(SUMIFS('abrasion emissions'!$M$7:$M$38,'abrasion emissions'!$I$7:$I$38,"PM 10",'abrasion emissions'!$K$7:$K$38,"Road",'abrasion emissions'!$L$7:$L$38,"b")*POWER(('vehicles specifications'!$Q51/1000),(1/SUMIFS('abrasion emissions'!$M$7:$M$38,'abrasion emissions'!$I$7:$I$38,"PM 10",'abrasion emissions'!$K$7:$K$38,"Road",'abrasion emissions'!$L$7:$L$38,"c")))))/1000000+CT51</f>
        <v>6.4002821739257562E-6</v>
      </c>
      <c r="CV51" s="7">
        <f t="shared" si="13"/>
        <v>5.2970558500651591E-6</v>
      </c>
      <c r="CW51" s="7">
        <f t="shared" si="14"/>
        <v>5.145913276111852E-6</v>
      </c>
    </row>
    <row r="52" spans="1:101" x14ac:dyDescent="0.2">
      <c r="A52" t="str">
        <f t="shared" si="53"/>
        <v>Bicycle, electric, cargo bike - 2030 - NCA - CH</v>
      </c>
      <c r="B52" t="s">
        <v>271</v>
      </c>
      <c r="D52" s="18">
        <v>2030</v>
      </c>
      <c r="E52" t="s">
        <v>37</v>
      </c>
      <c r="F52" t="s">
        <v>138</v>
      </c>
      <c r="G52" t="s">
        <v>39</v>
      </c>
      <c r="H52" t="s">
        <v>32</v>
      </c>
      <c r="I52" t="s">
        <v>45</v>
      </c>
      <c r="J52">
        <v>20000</v>
      </c>
      <c r="K52">
        <v>2000</v>
      </c>
      <c r="L52" s="2">
        <f t="shared" si="54"/>
        <v>10</v>
      </c>
      <c r="M52">
        <v>1</v>
      </c>
      <c r="N52">
        <v>75</v>
      </c>
      <c r="O52">
        <v>50</v>
      </c>
      <c r="P52" s="2">
        <f t="shared" si="55"/>
        <v>43.793333333333329</v>
      </c>
      <c r="Q52" s="2">
        <f t="shared" si="56"/>
        <v>168.79333333333332</v>
      </c>
      <c r="R52">
        <v>0.25</v>
      </c>
      <c r="S52" s="2">
        <v>38</v>
      </c>
      <c r="T52" s="1">
        <v>0.03</v>
      </c>
      <c r="U52" s="2">
        <f t="shared" si="57"/>
        <v>36.86</v>
      </c>
      <c r="V52">
        <v>0</v>
      </c>
      <c r="W52">
        <v>3.9</v>
      </c>
      <c r="X52" s="3">
        <v>0.7</v>
      </c>
      <c r="Y52" s="1">
        <v>0.8</v>
      </c>
      <c r="Z52" s="3">
        <f t="shared" si="58"/>
        <v>0.55999999999999994</v>
      </c>
      <c r="AA52" s="3">
        <f>IF(I52&lt;&gt;"",X52/INDEX('energy battery'!$B$3:$D$6,MATCH('vehicles specifications'!$D52,'energy battery'!$A$3:$A$6,0),MATCH('vehicles specifications'!$I52,'energy battery'!$B$2:$D$2,0)),"")</f>
        <v>2.3333333333333335</v>
      </c>
      <c r="AB52" s="3">
        <f t="shared" si="6"/>
        <v>0.70000000000000007</v>
      </c>
      <c r="AC52" s="3">
        <f t="shared" si="59"/>
        <v>3.0333333333333337</v>
      </c>
      <c r="AD52">
        <v>0.5</v>
      </c>
      <c r="AE52">
        <v>0</v>
      </c>
      <c r="AF52">
        <v>0</v>
      </c>
      <c r="AG52">
        <v>0</v>
      </c>
      <c r="AH52">
        <v>0</v>
      </c>
      <c r="AI52">
        <v>0.5</v>
      </c>
      <c r="AJ52">
        <v>1</v>
      </c>
      <c r="AK52" s="6">
        <f t="shared" si="38"/>
        <v>1.3333333333333333</v>
      </c>
      <c r="AL52">
        <f t="shared" si="60"/>
        <v>9.0642019999999992E-5</v>
      </c>
      <c r="AM52">
        <v>0</v>
      </c>
      <c r="AN52" s="2">
        <f t="shared" si="61"/>
        <v>36.86</v>
      </c>
      <c r="AO52" s="2">
        <f t="shared" si="62"/>
        <v>3.9</v>
      </c>
      <c r="AP52" s="2">
        <f t="shared" si="63"/>
        <v>3.0333333333333337</v>
      </c>
      <c r="AQ52" s="6" t="s">
        <v>85</v>
      </c>
      <c r="AR52" s="20"/>
      <c r="AS52" s="5">
        <v>3.4708323163290214E-2</v>
      </c>
      <c r="AT52" s="2">
        <f t="shared" si="12"/>
        <v>58.084050632911385</v>
      </c>
      <c r="AU52" s="5">
        <v>0</v>
      </c>
      <c r="AV52" s="5">
        <v>0</v>
      </c>
      <c r="AW52" s="7">
        <v>0</v>
      </c>
      <c r="AX52" s="7">
        <v>0</v>
      </c>
      <c r="AY52" s="7">
        <v>0</v>
      </c>
      <c r="AZ52" s="7">
        <v>0</v>
      </c>
      <c r="BA52" s="7">
        <v>0</v>
      </c>
      <c r="BB52" s="7">
        <v>0</v>
      </c>
      <c r="BC52" s="7">
        <v>0</v>
      </c>
      <c r="BD52" s="7">
        <v>0</v>
      </c>
      <c r="BE52" s="7">
        <v>0</v>
      </c>
      <c r="BF52" s="7">
        <v>0</v>
      </c>
      <c r="BG52" s="7">
        <v>0</v>
      </c>
      <c r="BH52" s="7">
        <v>0</v>
      </c>
      <c r="BI52" s="7">
        <v>0</v>
      </c>
      <c r="BJ52" s="7">
        <v>0</v>
      </c>
      <c r="BK52" s="7">
        <v>0</v>
      </c>
      <c r="BL52" s="7">
        <v>0</v>
      </c>
      <c r="BM52" s="7">
        <v>0</v>
      </c>
      <c r="BN52" s="7">
        <v>0</v>
      </c>
      <c r="BO52" s="7">
        <v>0</v>
      </c>
      <c r="BP52" s="7">
        <v>0</v>
      </c>
      <c r="BQ52" s="7">
        <v>0</v>
      </c>
      <c r="BR52" s="7">
        <v>0</v>
      </c>
      <c r="BS52" s="7">
        <v>0</v>
      </c>
      <c r="BT52" s="7">
        <v>0</v>
      </c>
      <c r="BU52" s="7">
        <v>0</v>
      </c>
      <c r="BV52" s="7">
        <v>0</v>
      </c>
      <c r="BW52" s="7">
        <v>0</v>
      </c>
      <c r="BX52" s="7">
        <v>0</v>
      </c>
      <c r="BY52" s="7">
        <v>0</v>
      </c>
      <c r="BZ52" s="7">
        <v>0</v>
      </c>
      <c r="CA52" s="7">
        <v>0</v>
      </c>
      <c r="CB52" s="7">
        <v>0</v>
      </c>
      <c r="CC52" s="7">
        <v>0</v>
      </c>
      <c r="CD52" s="7">
        <v>0</v>
      </c>
      <c r="CE52" s="7">
        <v>0</v>
      </c>
      <c r="CF52" s="7">
        <v>0</v>
      </c>
      <c r="CG52" s="7">
        <v>0</v>
      </c>
      <c r="CH52" s="7">
        <v>0</v>
      </c>
      <c r="CI52" s="7">
        <v>0</v>
      </c>
      <c r="CJ52" s="7">
        <v>0</v>
      </c>
      <c r="CK52" s="38">
        <f>VLOOKUP($B52,'abrasion emissions'!$O$7:$R$36,2,FALSE)</f>
        <v>1</v>
      </c>
      <c r="CL52" s="38">
        <f>VLOOKUP($B52,'abrasion emissions'!$O$7:$R$36,3,FALSE)</f>
        <v>0</v>
      </c>
      <c r="CM52" s="38">
        <f>VLOOKUP($B52,'abrasion emissions'!$O$7:$R$36,4,FALSE)</f>
        <v>0</v>
      </c>
      <c r="CN52" s="7">
        <f>((SUMIFS('abrasion emissions'!$M$7:$M$34,'abrasion emissions'!$I$7:$I$34,"PM 2.5",'abrasion emissions'!$J$7:$J$34,"urban",'abrasion emissions'!$K$7:$K$34,"Tyre",'abrasion emissions'!$L$7:$L$34,"b")*POWER(('vehicles specifications'!$Q52/1000),(1/SUMIFS('abrasion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specifications'!$P52/1000),(1/SUMIFS('abrasion emissions'!$M$7:$M$34,'abrasion emissions'!$I$7:$I$34,"PM 10",'abrasion emissions'!$J$7:$J$34,"urban",'abrasion emissions'!$K$7:$K$34,"Tyre",'abrasion emissions'!$L$7:$L$34,"c")))))/1000000</f>
        <v>5.2718476303726863E-6</v>
      </c>
      <c r="CO52" s="7">
        <f>((SUMIFS('abrasion emissions'!$M$7:$M$34,'abrasion emissions'!$I$7:$I$34,"PM 2.5",'abrasion emissions'!$J$7:$J$34,"rural",'abrasion emissions'!$K$7:$K$34,"Tyre",'abrasion emissions'!$L$7:$L$34,"b")*POWER(('vehicles specifications'!$Q52/1000),(1/SUMIFS('abrasion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specifications'!$P52/1000),(1/SUMIFS('abrasion emissions'!$M$7:$M$34,'abrasion emissions'!$I$7:$I$34,"PM 10",'abrasion emissions'!$J$7:$J$34,"rural",'abrasion emissions'!$K$7:$K$34,"Tyre",'abrasion emissions'!$L$7:$L$34,"c")))))/1000000</f>
        <v>4.1077275831644373E-6</v>
      </c>
      <c r="CP52" s="7">
        <f>((SUMIFS('abrasion emissions'!$M$7:$M$34,'abrasion emissions'!$I$7:$I$34,"PM 2.5",'abrasion emissions'!$J$7:$J$34,"motorway",'abrasion emissions'!$K$7:$K$34,"Tyre",'abrasion emissions'!$L$7:$L$34,"b")*POWER(('vehicles specifications'!$Q52/1000),(1/SUMIFS('abrasion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specifications'!$P52/1000),(1/SUMIFS('abrasion emissions'!$M$7:$M$34,'abrasion emissions'!$I$7:$I$34,"PM 10",'abrasion emissions'!$J$7:$J$34,"motorway",'abrasion emissions'!$K$7:$K$34,"Tyre",'abrasion emissions'!$L$7:$L$34,"c")))))/1000000</f>
        <v>3.5128360476428557E-6</v>
      </c>
      <c r="CQ52" s="7">
        <f>((SUMIFS('abrasion emissions'!$M$7:$M$34,'abrasion emissions'!$I$7:$I$34,"PM 2.5",'abrasion emissions'!$J$7:$J$34,"urban",'abrasion emissions'!$K$7:$K$34,"Brake",'abrasion emissions'!$L$7:$L$34,"b")*POWER(('vehicles specifications'!$Q52/1000),(1/SUMIFS('abrasion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specifications'!$P52/1000),(1/SUMIFS('abrasion emissions'!$M$7:$M$34,'abrasion emissions'!$I$7:$I$34,"PM 10",'abrasion emissions'!$J$7:$J$34,"urban",'abrasion emissions'!$K$7:$K$34,"Brake",'abrasion emissions'!$L$7:$L$34,"c")))))/1000000</f>
        <v>5.1220542818673449E-6</v>
      </c>
      <c r="CR52" s="7">
        <f>((SUMIFS('abrasion emissions'!$M$7:$M$34,'abrasion emissions'!$I$7:$I$34,"PM 2.5",'abrasion emissions'!$J$7:$J$34,"rural",'abrasion emissions'!$K$7:$K$34,"Brake",'abrasion emissions'!$L$7:$L$34,"b")*POWER(('vehicles specifications'!$Q52/1000),(1/SUMIFS('abrasion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specifications'!$P52/1000),(1/SUMIFS('abrasion emissions'!$M$7:$M$34,'abrasion emissions'!$I$7:$I$34,"PM 10",'abrasion emissions'!$J$7:$J$34,"rural",'abrasion emissions'!$K$7:$K$34,"Brake",'abrasion emissions'!$L$7:$L$34,"c")))))/1000000</f>
        <v>1.59804659517023E-6</v>
      </c>
      <c r="CS52" s="7">
        <f>((SUMIFS('abrasion emissions'!$M$7:$M$34,'abrasion emissions'!$I$7:$I$34,"PM 2.5",'abrasion emissions'!$J$7:$J$34,"motorway",'abrasion emissions'!$K$7:$K$34,"Brake",'abrasion emissions'!$L$7:$L$34,"b")*POWER(('vehicles specifications'!$Q52/1000),(1/SUMIFS('abrasion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specifications'!$P52/1000),(1/SUMIFS('abrasion emissions'!$M$7:$M$34,'abrasion emissions'!$I$7:$I$34,"PM 10",'abrasion emissions'!$J$7:$J$34,"motorway",'abrasion emissions'!$K$7:$K$34,"Brake",'abrasion emissions'!$L$7:$L$34,"c")))))/1000000</f>
        <v>2.9053946530829619E-7</v>
      </c>
      <c r="CT52" s="7">
        <f>((SUMIFS('abrasion emissions'!$M$7:$M$38,'abrasion emissions'!$I$7:$I$38,"PM 2.5",'abrasion emissions'!$K$7:$K$38,"Re-susp.",'abrasion emissions'!$L$7:$L$38,"b")*POWER(('vehicles specifications'!$Q52/1000),(1/SUMIFS('abrasion emissions'!$M$7:$M$38,'abrasion emissions'!$I$7:$I$38,"PM 2.5",'abrasion emissions'!$K$7:$K$38,"Re-susp.",'abrasion emissions'!$L$7:$L$38,"c"))))+
(SUMIFS('abrasion emissions'!$M$7:$M$38,'abrasion emissions'!$I$7:$I$38,"PM 10",'abrasion emissions'!$K$7:$K$38,"Re-susp.",'abrasion emissions'!$L$7:$L$38,"b")*POWER(('vehicles specifications'!$Q52/1000),(1/SUMIFS('abrasion emissions'!$M$7:$M$38,'abrasion emissions'!$I$7:$I$38,"PM 10",'abrasion emissions'!$K$7:$K$38,"Re-susp.",'abrasion emissions'!$L$7:$L$38,"c")))))/1000000</f>
        <v>3.2541649718223282E-6</v>
      </c>
      <c r="CU52" s="7">
        <f>((SUMIFS('abrasion emissions'!$M$7:$M$38,'abrasion emissions'!$I$7:$I$38,"PM 2.5",'abrasion emissions'!$K$7:$K$38,"Road",'abrasion emissions'!$L$7:$L$38,"b")*POWER(('vehicles specifications'!$Q52/1000),(1/SUMIFS('abrasion emissions'!$M$7:$M$38,'abrasion emissions'!$I$7:$I$38,"PM 2.5",'abrasion emissions'!$K$7:$K$38,"Road",'abrasion emissions'!$L$7:$L$38,"c"))))+
(SUMIFS('abrasion emissions'!$M$7:$M$38,'abrasion emissions'!$I$7:$I$38,"PM 10",'abrasion emissions'!$K$7:$K$38,"Road",'abrasion emissions'!$L$7:$L$38,"b")*POWER(('vehicles specifications'!$Q52/1000),(1/SUMIFS('abrasion emissions'!$M$7:$M$38,'abrasion emissions'!$I$7:$I$38,"PM 10",'abrasion emissions'!$K$7:$K$38,"Road",'abrasion emissions'!$L$7:$L$38,"c")))))/1000000+CT52</f>
        <v>6.369492396306806E-6</v>
      </c>
      <c r="CV52" s="7">
        <f t="shared" si="13"/>
        <v>5.2718476303726863E-6</v>
      </c>
      <c r="CW52" s="7">
        <f t="shared" si="14"/>
        <v>5.1220542818673449E-6</v>
      </c>
    </row>
    <row r="53" spans="1:101" x14ac:dyDescent="0.2">
      <c r="A53" t="str">
        <f t="shared" si="53"/>
        <v>Bicycle, electric, cargo bike - 2040 - NCA - CH</v>
      </c>
      <c r="B53" t="s">
        <v>271</v>
      </c>
      <c r="D53" s="18">
        <v>2040</v>
      </c>
      <c r="E53" t="s">
        <v>37</v>
      </c>
      <c r="F53" t="s">
        <v>138</v>
      </c>
      <c r="G53" t="s">
        <v>39</v>
      </c>
      <c r="H53" t="s">
        <v>32</v>
      </c>
      <c r="I53" t="s">
        <v>45</v>
      </c>
      <c r="J53">
        <v>20000</v>
      </c>
      <c r="K53">
        <v>2000</v>
      </c>
      <c r="L53" s="2">
        <f t="shared" si="54"/>
        <v>10</v>
      </c>
      <c r="M53">
        <v>1</v>
      </c>
      <c r="N53">
        <v>75</v>
      </c>
      <c r="O53">
        <v>50</v>
      </c>
      <c r="P53" s="2">
        <f t="shared" si="55"/>
        <v>42.5</v>
      </c>
      <c r="Q53" s="2">
        <f t="shared" si="56"/>
        <v>167.5</v>
      </c>
      <c r="R53">
        <v>0.25</v>
      </c>
      <c r="S53" s="2">
        <v>38</v>
      </c>
      <c r="T53" s="1">
        <v>0.05</v>
      </c>
      <c r="U53" s="2">
        <f t="shared" si="57"/>
        <v>36.1</v>
      </c>
      <c r="V53">
        <v>0</v>
      </c>
      <c r="W53">
        <v>3.8</v>
      </c>
      <c r="X53" s="3">
        <v>0.8</v>
      </c>
      <c r="Y53" s="1">
        <v>0.8</v>
      </c>
      <c r="Z53" s="3">
        <f t="shared" si="58"/>
        <v>0.64000000000000012</v>
      </c>
      <c r="AA53" s="3">
        <f>IF(I53&lt;&gt;"",X53/INDEX('energy battery'!$B$3:$D$6,MATCH('vehicles specifications'!$D53,'energy battery'!$A$3:$A$6,0),MATCH('vehicles specifications'!$I53,'energy battery'!$B$2:$D$2,0)),"")</f>
        <v>2</v>
      </c>
      <c r="AB53" s="3">
        <f t="shared" si="6"/>
        <v>0.6</v>
      </c>
      <c r="AC53" s="3">
        <f t="shared" si="59"/>
        <v>2.6</v>
      </c>
      <c r="AD53">
        <v>0.25</v>
      </c>
      <c r="AE53">
        <v>0</v>
      </c>
      <c r="AF53">
        <v>0</v>
      </c>
      <c r="AG53">
        <v>0</v>
      </c>
      <c r="AH53">
        <v>0</v>
      </c>
      <c r="AI53">
        <v>0.5</v>
      </c>
      <c r="AJ53">
        <v>1</v>
      </c>
      <c r="AK53" s="6">
        <f t="shared" si="38"/>
        <v>1.3333333333333333</v>
      </c>
      <c r="AL53">
        <f t="shared" si="60"/>
        <v>8.9947500000000006E-5</v>
      </c>
      <c r="AM53">
        <v>0</v>
      </c>
      <c r="AN53" s="2">
        <f t="shared" si="61"/>
        <v>36.1</v>
      </c>
      <c r="AO53" s="2">
        <f t="shared" si="62"/>
        <v>3.8</v>
      </c>
      <c r="AP53" s="2">
        <f t="shared" si="63"/>
        <v>2.6</v>
      </c>
      <c r="AQ53" s="6" t="s">
        <v>85</v>
      </c>
      <c r="AR53" s="20"/>
      <c r="AS53" s="5">
        <v>3.4708323163290214E-2</v>
      </c>
      <c r="AT53" s="2">
        <f t="shared" si="12"/>
        <v>66.381772151898744</v>
      </c>
      <c r="AU53" s="5">
        <v>0</v>
      </c>
      <c r="AV53" s="5">
        <v>0</v>
      </c>
      <c r="AW53" s="7">
        <v>0</v>
      </c>
      <c r="AX53" s="7">
        <v>0</v>
      </c>
      <c r="AY53" s="7">
        <v>0</v>
      </c>
      <c r="AZ53" s="7">
        <v>0</v>
      </c>
      <c r="BA53" s="7">
        <v>0</v>
      </c>
      <c r="BB53" s="7">
        <v>0</v>
      </c>
      <c r="BC53" s="7">
        <v>0</v>
      </c>
      <c r="BD53" s="7">
        <v>0</v>
      </c>
      <c r="BE53" s="7">
        <v>0</v>
      </c>
      <c r="BF53" s="7">
        <v>0</v>
      </c>
      <c r="BG53" s="7">
        <v>0</v>
      </c>
      <c r="BH53" s="7">
        <v>0</v>
      </c>
      <c r="BI53" s="7">
        <v>0</v>
      </c>
      <c r="BJ53" s="7">
        <v>0</v>
      </c>
      <c r="BK53" s="7">
        <v>0</v>
      </c>
      <c r="BL53" s="7">
        <v>0</v>
      </c>
      <c r="BM53" s="7">
        <v>0</v>
      </c>
      <c r="BN53" s="7">
        <v>0</v>
      </c>
      <c r="BO53" s="7">
        <v>0</v>
      </c>
      <c r="BP53" s="7">
        <v>0</v>
      </c>
      <c r="BQ53" s="7">
        <v>0</v>
      </c>
      <c r="BR53" s="7">
        <v>0</v>
      </c>
      <c r="BS53" s="7">
        <v>0</v>
      </c>
      <c r="BT53" s="7">
        <v>0</v>
      </c>
      <c r="BU53" s="7">
        <v>0</v>
      </c>
      <c r="BV53" s="7">
        <v>0</v>
      </c>
      <c r="BW53" s="7">
        <v>0</v>
      </c>
      <c r="BX53" s="7">
        <v>0</v>
      </c>
      <c r="BY53" s="7">
        <v>0</v>
      </c>
      <c r="BZ53" s="7">
        <v>0</v>
      </c>
      <c r="CA53" s="7">
        <v>0</v>
      </c>
      <c r="CB53" s="7">
        <v>0</v>
      </c>
      <c r="CC53" s="7">
        <v>0</v>
      </c>
      <c r="CD53" s="7">
        <v>0</v>
      </c>
      <c r="CE53" s="7">
        <v>0</v>
      </c>
      <c r="CF53" s="7">
        <v>0</v>
      </c>
      <c r="CG53" s="7">
        <v>0</v>
      </c>
      <c r="CH53" s="7">
        <v>0</v>
      </c>
      <c r="CI53" s="7">
        <v>0</v>
      </c>
      <c r="CJ53" s="7">
        <v>0</v>
      </c>
      <c r="CK53" s="38">
        <f>VLOOKUP($B53,'abrasion emissions'!$O$7:$R$36,2,FALSE)</f>
        <v>1</v>
      </c>
      <c r="CL53" s="38">
        <f>VLOOKUP($B53,'abrasion emissions'!$O$7:$R$36,3,FALSE)</f>
        <v>0</v>
      </c>
      <c r="CM53" s="38">
        <f>VLOOKUP($B53,'abrasion emissions'!$O$7:$R$36,4,FALSE)</f>
        <v>0</v>
      </c>
      <c r="CN53" s="7">
        <f>((SUMIFS('abrasion emissions'!$M$7:$M$34,'abrasion emissions'!$I$7:$I$34,"PM 2.5",'abrasion emissions'!$J$7:$J$34,"urban",'abrasion emissions'!$K$7:$K$34,"Tyre",'abrasion emissions'!$L$7:$L$34,"b")*POWER(('vehicles specifications'!$Q53/1000),(1/SUMIFS('abrasion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specifications'!$P53/1000),(1/SUMIFS('abrasion emissions'!$M$7:$M$34,'abrasion emissions'!$I$7:$I$34,"PM 10",'abrasion emissions'!$J$7:$J$34,"urban",'abrasion emissions'!$K$7:$K$34,"Tyre",'abrasion emissions'!$L$7:$L$34,"c")))))/1000000</f>
        <v>5.2399420093405223E-6</v>
      </c>
      <c r="CO53" s="7">
        <f>((SUMIFS('abrasion emissions'!$M$7:$M$34,'abrasion emissions'!$I$7:$I$34,"PM 2.5",'abrasion emissions'!$J$7:$J$34,"rural",'abrasion emissions'!$K$7:$K$34,"Tyre",'abrasion emissions'!$L$7:$L$34,"b")*POWER(('vehicles specifications'!$Q53/1000),(1/SUMIFS('abrasion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specifications'!$P53/1000),(1/SUMIFS('abrasion emissions'!$M$7:$M$34,'abrasion emissions'!$I$7:$I$34,"PM 10",'abrasion emissions'!$J$7:$J$34,"rural",'abrasion emissions'!$K$7:$K$34,"Tyre",'abrasion emissions'!$L$7:$L$34,"c")))))/1000000</f>
        <v>4.0829147924434842E-6</v>
      </c>
      <c r="CP53" s="7">
        <f>((SUMIFS('abrasion emissions'!$M$7:$M$34,'abrasion emissions'!$I$7:$I$34,"PM 2.5",'abrasion emissions'!$J$7:$J$34,"motorway",'abrasion emissions'!$K$7:$K$34,"Tyre",'abrasion emissions'!$L$7:$L$34,"b")*POWER(('vehicles specifications'!$Q53/1000),(1/SUMIFS('abrasion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specifications'!$P53/1000),(1/SUMIFS('abrasion emissions'!$M$7:$M$34,'abrasion emissions'!$I$7:$I$34,"PM 10",'abrasion emissions'!$J$7:$J$34,"motorway",'abrasion emissions'!$K$7:$K$34,"Tyre",'abrasion emissions'!$L$7:$L$34,"c")))))/1000000</f>
        <v>3.4917358290534222E-6</v>
      </c>
      <c r="CQ53" s="7">
        <f>((SUMIFS('abrasion emissions'!$M$7:$M$34,'abrasion emissions'!$I$7:$I$34,"PM 2.5",'abrasion emissions'!$J$7:$J$34,"urban",'abrasion emissions'!$K$7:$K$34,"Brake",'abrasion emissions'!$L$7:$L$34,"b")*POWER(('vehicles specifications'!$Q53/1000),(1/SUMIFS('abrasion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specifications'!$P53/1000),(1/SUMIFS('abrasion emissions'!$M$7:$M$34,'abrasion emissions'!$I$7:$I$34,"PM 10",'abrasion emissions'!$J$7:$J$34,"urban",'abrasion emissions'!$K$7:$K$34,"Brake",'abrasion emissions'!$L$7:$L$34,"c")))))/1000000</f>
        <v>5.0919597087390986E-6</v>
      </c>
      <c r="CR53" s="7">
        <f>((SUMIFS('abrasion emissions'!$M$7:$M$34,'abrasion emissions'!$I$7:$I$34,"PM 2.5",'abrasion emissions'!$J$7:$J$34,"rural",'abrasion emissions'!$K$7:$K$34,"Brake",'abrasion emissions'!$L$7:$L$34,"b")*POWER(('vehicles specifications'!$Q53/1000),(1/SUMIFS('abrasion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specifications'!$P53/1000),(1/SUMIFS('abrasion emissions'!$M$7:$M$34,'abrasion emissions'!$I$7:$I$34,"PM 10",'abrasion emissions'!$J$7:$J$34,"rural",'abrasion emissions'!$K$7:$K$34,"Brake",'abrasion emissions'!$L$7:$L$34,"c")))))/1000000</f>
        <v>1.5865918729986505E-6</v>
      </c>
      <c r="CS53" s="7">
        <f>((SUMIFS('abrasion emissions'!$M$7:$M$34,'abrasion emissions'!$I$7:$I$34,"PM 2.5",'abrasion emissions'!$J$7:$J$34,"motorway",'abrasion emissions'!$K$7:$K$34,"Brake",'abrasion emissions'!$L$7:$L$34,"b")*POWER(('vehicles specifications'!$Q53/1000),(1/SUMIFS('abrasion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specifications'!$P53/1000),(1/SUMIFS('abrasion emissions'!$M$7:$M$34,'abrasion emissions'!$I$7:$I$34,"PM 10",'abrasion emissions'!$J$7:$J$34,"motorway",'abrasion emissions'!$K$7:$K$34,"Brake",'abrasion emissions'!$L$7:$L$34,"c")))))/1000000</f>
        <v>2.8821626217666933E-7</v>
      </c>
      <c r="CT53" s="7">
        <f>((SUMIFS('abrasion emissions'!$M$7:$M$38,'abrasion emissions'!$I$7:$I$38,"PM 2.5",'abrasion emissions'!$K$7:$K$38,"Re-susp.",'abrasion emissions'!$L$7:$L$38,"b")*POWER(('vehicles specifications'!$Q53/1000),(1/SUMIFS('abrasion emissions'!$M$7:$M$38,'abrasion emissions'!$I$7:$I$38,"PM 2.5",'abrasion emissions'!$K$7:$K$38,"Re-susp.",'abrasion emissions'!$L$7:$L$38,"c"))))+
(SUMIFS('abrasion emissions'!$M$7:$M$38,'abrasion emissions'!$I$7:$I$38,"PM 10",'abrasion emissions'!$K$7:$K$38,"Re-susp.",'abrasion emissions'!$L$7:$L$38,"b")*POWER(('vehicles specifications'!$Q53/1000),(1/SUMIFS('abrasion emissions'!$M$7:$M$38,'abrasion emissions'!$I$7:$I$38,"PM 10",'abrasion emissions'!$K$7:$K$38,"Re-susp.",'abrasion emissions'!$L$7:$L$38,"c")))))/1000000</f>
        <v>3.2314896366056883E-6</v>
      </c>
      <c r="CU53" s="7">
        <f>((SUMIFS('abrasion emissions'!$M$7:$M$38,'abrasion emissions'!$I$7:$I$38,"PM 2.5",'abrasion emissions'!$K$7:$K$38,"Road",'abrasion emissions'!$L$7:$L$38,"b")*POWER(('vehicles specifications'!$Q53/1000),(1/SUMIFS('abrasion emissions'!$M$7:$M$38,'abrasion emissions'!$I$7:$I$38,"PM 2.5",'abrasion emissions'!$K$7:$K$38,"Road",'abrasion emissions'!$L$7:$L$38,"c"))))+
(SUMIFS('abrasion emissions'!$M$7:$M$38,'abrasion emissions'!$I$7:$I$38,"PM 10",'abrasion emissions'!$K$7:$K$38,"Road",'abrasion emissions'!$L$7:$L$38,"b")*POWER(('vehicles specifications'!$Q53/1000),(1/SUMIFS('abrasion emissions'!$M$7:$M$38,'abrasion emissions'!$I$7:$I$38,"PM 10",'abrasion emissions'!$K$7:$K$38,"Road",'abrasion emissions'!$L$7:$L$38,"c")))))/1000000+CT53</f>
        <v>6.3308830992789148E-6</v>
      </c>
      <c r="CV53" s="7">
        <f t="shared" si="13"/>
        <v>5.2399420093405223E-6</v>
      </c>
      <c r="CW53" s="7">
        <f t="shared" si="14"/>
        <v>5.0919597087390986E-6</v>
      </c>
    </row>
    <row r="54" spans="1:101" x14ac:dyDescent="0.2">
      <c r="A54" t="str">
        <f t="shared" si="53"/>
        <v>Bicycle, electric, cargo bike - 2050 - NCA - CH</v>
      </c>
      <c r="B54" t="s">
        <v>271</v>
      </c>
      <c r="D54" s="18">
        <v>2050</v>
      </c>
      <c r="E54" t="s">
        <v>37</v>
      </c>
      <c r="F54" t="s">
        <v>138</v>
      </c>
      <c r="G54" t="s">
        <v>39</v>
      </c>
      <c r="H54" t="s">
        <v>32</v>
      </c>
      <c r="I54" t="s">
        <v>45</v>
      </c>
      <c r="J54">
        <v>20000</v>
      </c>
      <c r="K54">
        <v>2000</v>
      </c>
      <c r="L54" s="2">
        <f t="shared" si="54"/>
        <v>10</v>
      </c>
      <c r="M54">
        <v>1</v>
      </c>
      <c r="N54">
        <v>75</v>
      </c>
      <c r="O54">
        <v>50</v>
      </c>
      <c r="P54" s="2">
        <f t="shared" si="55"/>
        <v>41.64</v>
      </c>
      <c r="Q54" s="2">
        <f t="shared" si="56"/>
        <v>166.64</v>
      </c>
      <c r="R54">
        <v>0.25</v>
      </c>
      <c r="S54" s="2">
        <v>38</v>
      </c>
      <c r="T54" s="1">
        <v>7.0000000000000007E-2</v>
      </c>
      <c r="U54" s="2">
        <f t="shared" si="57"/>
        <v>35.339999999999996</v>
      </c>
      <c r="V54">
        <v>0</v>
      </c>
      <c r="W54">
        <v>3.7</v>
      </c>
      <c r="X54" s="3">
        <v>1</v>
      </c>
      <c r="Y54" s="1">
        <v>0.8</v>
      </c>
      <c r="Z54" s="3">
        <f t="shared" si="58"/>
        <v>0.8</v>
      </c>
      <c r="AA54" s="3">
        <f>IF(I54&lt;&gt;"",X54/INDEX('energy battery'!$B$3:$D$6,MATCH('vehicles specifications'!$D54,'energy battery'!$A$3:$A$6,0),MATCH('vehicles specifications'!$I54,'energy battery'!$B$2:$D$2,0)),"")</f>
        <v>2</v>
      </c>
      <c r="AB54" s="3">
        <f t="shared" si="6"/>
        <v>0.6</v>
      </c>
      <c r="AC54" s="3">
        <f t="shared" si="59"/>
        <v>2.6</v>
      </c>
      <c r="AD54">
        <v>0</v>
      </c>
      <c r="AE54">
        <v>0</v>
      </c>
      <c r="AF54">
        <v>0</v>
      </c>
      <c r="AG54">
        <v>0</v>
      </c>
      <c r="AH54">
        <v>0</v>
      </c>
      <c r="AI54">
        <v>0.5</v>
      </c>
      <c r="AJ54">
        <v>1</v>
      </c>
      <c r="AK54" s="6">
        <f t="shared" si="38"/>
        <v>1.3333333333333333</v>
      </c>
      <c r="AL54">
        <f t="shared" si="60"/>
        <v>8.9485679999999995E-5</v>
      </c>
      <c r="AM54">
        <v>0</v>
      </c>
      <c r="AN54" s="2">
        <f t="shared" si="61"/>
        <v>35.339999999999996</v>
      </c>
      <c r="AO54" s="2">
        <f t="shared" si="62"/>
        <v>3.7</v>
      </c>
      <c r="AP54" s="2">
        <f t="shared" si="63"/>
        <v>2.6</v>
      </c>
      <c r="AQ54" s="6" t="s">
        <v>85</v>
      </c>
      <c r="AR54" s="20"/>
      <c r="AS54" s="5">
        <v>3.4708323163290214E-2</v>
      </c>
      <c r="AT54" s="2">
        <f t="shared" si="12"/>
        <v>82.977215189873419</v>
      </c>
      <c r="AU54" s="5">
        <v>0</v>
      </c>
      <c r="AV54" s="5">
        <v>0</v>
      </c>
      <c r="AW54" s="7">
        <v>0</v>
      </c>
      <c r="AX54" s="7">
        <v>0</v>
      </c>
      <c r="AY54" s="7">
        <v>0</v>
      </c>
      <c r="AZ54" s="7">
        <v>0</v>
      </c>
      <c r="BA54" s="7">
        <v>0</v>
      </c>
      <c r="BB54" s="7">
        <v>0</v>
      </c>
      <c r="BC54" s="7">
        <v>0</v>
      </c>
      <c r="BD54" s="7">
        <v>0</v>
      </c>
      <c r="BE54" s="7">
        <v>0</v>
      </c>
      <c r="BF54" s="7">
        <v>0</v>
      </c>
      <c r="BG54" s="7">
        <v>0</v>
      </c>
      <c r="BH54" s="7">
        <v>0</v>
      </c>
      <c r="BI54" s="7">
        <v>0</v>
      </c>
      <c r="BJ54" s="7">
        <v>0</v>
      </c>
      <c r="BK54" s="7">
        <v>0</v>
      </c>
      <c r="BL54" s="7">
        <v>0</v>
      </c>
      <c r="BM54" s="7">
        <v>0</v>
      </c>
      <c r="BN54" s="7">
        <v>0</v>
      </c>
      <c r="BO54" s="7">
        <v>0</v>
      </c>
      <c r="BP54" s="7">
        <v>0</v>
      </c>
      <c r="BQ54" s="7">
        <v>0</v>
      </c>
      <c r="BR54" s="7">
        <v>0</v>
      </c>
      <c r="BS54" s="7">
        <v>0</v>
      </c>
      <c r="BT54" s="7">
        <v>0</v>
      </c>
      <c r="BU54" s="7">
        <v>0</v>
      </c>
      <c r="BV54" s="7">
        <v>0</v>
      </c>
      <c r="BW54" s="7">
        <v>0</v>
      </c>
      <c r="BX54" s="7">
        <v>0</v>
      </c>
      <c r="BY54" s="7">
        <v>0</v>
      </c>
      <c r="BZ54" s="7">
        <v>0</v>
      </c>
      <c r="CA54" s="7">
        <v>0</v>
      </c>
      <c r="CB54" s="7">
        <v>0</v>
      </c>
      <c r="CC54" s="7">
        <v>0</v>
      </c>
      <c r="CD54" s="7">
        <v>0</v>
      </c>
      <c r="CE54" s="7">
        <v>0</v>
      </c>
      <c r="CF54" s="7">
        <v>0</v>
      </c>
      <c r="CG54" s="7">
        <v>0</v>
      </c>
      <c r="CH54" s="7">
        <v>0</v>
      </c>
      <c r="CI54" s="7">
        <v>0</v>
      </c>
      <c r="CJ54" s="7">
        <v>0</v>
      </c>
      <c r="CK54" s="38">
        <f>VLOOKUP($B54,'abrasion emissions'!$O$7:$R$36,2,FALSE)</f>
        <v>1</v>
      </c>
      <c r="CL54" s="38">
        <f>VLOOKUP($B54,'abrasion emissions'!$O$7:$R$36,3,FALSE)</f>
        <v>0</v>
      </c>
      <c r="CM54" s="38">
        <f>VLOOKUP($B54,'abrasion emissions'!$O$7:$R$36,4,FALSE)</f>
        <v>0</v>
      </c>
      <c r="CN54" s="7">
        <f>((SUMIFS('abrasion emissions'!$M$7:$M$34,'abrasion emissions'!$I$7:$I$34,"PM 2.5",'abrasion emissions'!$J$7:$J$34,"urban",'abrasion emissions'!$K$7:$K$34,"Tyre",'abrasion emissions'!$L$7:$L$34,"b")*POWER(('vehicles specifications'!$Q54/1000),(1/SUMIFS('abrasion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specifications'!$P54/1000),(1/SUMIFS('abrasion emissions'!$M$7:$M$34,'abrasion emissions'!$I$7:$I$34,"PM 10",'abrasion emissions'!$J$7:$J$34,"urban",'abrasion emissions'!$K$7:$K$34,"Tyre",'abrasion emissions'!$L$7:$L$34,"c")))))/1000000</f>
        <v>5.2185117330067561E-6</v>
      </c>
      <c r="CO54" s="7">
        <f>((SUMIFS('abrasion emissions'!$M$7:$M$34,'abrasion emissions'!$I$7:$I$34,"PM 2.5",'abrasion emissions'!$J$7:$J$34,"rural",'abrasion emissions'!$K$7:$K$34,"Tyre",'abrasion emissions'!$L$7:$L$34,"b")*POWER(('vehicles specifications'!$Q54/1000),(1/SUMIFS('abrasion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specifications'!$P54/1000),(1/SUMIFS('abrasion emissions'!$M$7:$M$34,'abrasion emissions'!$I$7:$I$34,"PM 10",'abrasion emissions'!$J$7:$J$34,"rural",'abrasion emissions'!$K$7:$K$34,"Tyre",'abrasion emissions'!$L$7:$L$34,"c")))))/1000000</f>
        <v>4.0662488599771351E-6</v>
      </c>
      <c r="CP54" s="7">
        <f>((SUMIFS('abrasion emissions'!$M$7:$M$34,'abrasion emissions'!$I$7:$I$34,"PM 2.5",'abrasion emissions'!$J$7:$J$34,"motorway",'abrasion emissions'!$K$7:$K$34,"Tyre",'abrasion emissions'!$L$7:$L$34,"b")*POWER(('vehicles specifications'!$Q54/1000),(1/SUMIFS('abrasion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specifications'!$P54/1000),(1/SUMIFS('abrasion emissions'!$M$7:$M$34,'abrasion emissions'!$I$7:$I$34,"PM 10",'abrasion emissions'!$J$7:$J$34,"motorway",'abrasion emissions'!$K$7:$K$34,"Tyre",'abrasion emissions'!$L$7:$L$34,"c")))))/1000000</f>
        <v>3.4775641417735192E-6</v>
      </c>
      <c r="CQ54" s="7">
        <f>((SUMIFS('abrasion emissions'!$M$7:$M$34,'abrasion emissions'!$I$7:$I$34,"PM 2.5",'abrasion emissions'!$J$7:$J$34,"urban",'abrasion emissions'!$K$7:$K$34,"Brake",'abrasion emissions'!$L$7:$L$34,"b")*POWER(('vehicles specifications'!$Q54/1000),(1/SUMIFS('abrasion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specifications'!$P54/1000),(1/SUMIFS('abrasion emissions'!$M$7:$M$34,'abrasion emissions'!$I$7:$I$34,"PM 10",'abrasion emissions'!$J$7:$J$34,"urban",'abrasion emissions'!$K$7:$K$34,"Brake",'abrasion emissions'!$L$7:$L$34,"c")))))/1000000</f>
        <v>5.0718117291060781E-6</v>
      </c>
      <c r="CR54" s="7">
        <f>((SUMIFS('abrasion emissions'!$M$7:$M$34,'abrasion emissions'!$I$7:$I$34,"PM 2.5",'abrasion emissions'!$J$7:$J$34,"rural",'abrasion emissions'!$K$7:$K$34,"Brake",'abrasion emissions'!$L$7:$L$34,"b")*POWER(('vehicles specifications'!$Q54/1000),(1/SUMIFS('abrasion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specifications'!$P54/1000),(1/SUMIFS('abrasion emissions'!$M$7:$M$34,'abrasion emissions'!$I$7:$I$34,"PM 10",'abrasion emissions'!$J$7:$J$34,"rural",'abrasion emissions'!$K$7:$K$34,"Brake",'abrasion emissions'!$L$7:$L$34,"c")))))/1000000</f>
        <v>1.5789401928249315E-6</v>
      </c>
      <c r="CS54" s="7">
        <f>((SUMIFS('abrasion emissions'!$M$7:$M$34,'abrasion emissions'!$I$7:$I$34,"PM 2.5",'abrasion emissions'!$J$7:$J$34,"motorway",'abrasion emissions'!$K$7:$K$34,"Brake",'abrasion emissions'!$L$7:$L$34,"b")*POWER(('vehicles specifications'!$Q54/1000),(1/SUMIFS('abrasion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specifications'!$P54/1000),(1/SUMIFS('abrasion emissions'!$M$7:$M$34,'abrasion emissions'!$I$7:$I$34,"PM 10",'abrasion emissions'!$J$7:$J$34,"motorway",'abrasion emissions'!$K$7:$K$34,"Brake",'abrasion emissions'!$L$7:$L$34,"c")))))/1000000</f>
        <v>2.8666677785993169E-7</v>
      </c>
      <c r="CT54" s="7">
        <f>((SUMIFS('abrasion emissions'!$M$7:$M$38,'abrasion emissions'!$I$7:$I$38,"PM 2.5",'abrasion emissions'!$K$7:$K$38,"Re-susp.",'abrasion emissions'!$L$7:$L$38,"b")*POWER(('vehicles specifications'!$Q54/1000),(1/SUMIFS('abrasion emissions'!$M$7:$M$38,'abrasion emissions'!$I$7:$I$38,"PM 2.5",'abrasion emissions'!$K$7:$K$38,"Re-susp.",'abrasion emissions'!$L$7:$L$38,"c"))))+
(SUMIFS('abrasion emissions'!$M$7:$M$38,'abrasion emissions'!$I$7:$I$38,"PM 10",'abrasion emissions'!$K$7:$K$38,"Re-susp.",'abrasion emissions'!$L$7:$L$38,"b")*POWER(('vehicles specifications'!$Q54/1000),(1/SUMIFS('abrasion emissions'!$M$7:$M$38,'abrasion emissions'!$I$7:$I$38,"PM 10",'abrasion emissions'!$K$7:$K$38,"Re-susp.",'abrasion emissions'!$L$7:$L$38,"c")))))/1000000</f>
        <v>3.2164029018452979E-6</v>
      </c>
      <c r="CU54" s="7">
        <f>((SUMIFS('abrasion emissions'!$M$7:$M$38,'abrasion emissions'!$I$7:$I$38,"PM 2.5",'abrasion emissions'!$K$7:$K$38,"Road",'abrasion emissions'!$L$7:$L$38,"b")*POWER(('vehicles specifications'!$Q54/1000),(1/SUMIFS('abrasion emissions'!$M$7:$M$38,'abrasion emissions'!$I$7:$I$38,"PM 2.5",'abrasion emissions'!$K$7:$K$38,"Road",'abrasion emissions'!$L$7:$L$38,"c"))))+
(SUMIFS('abrasion emissions'!$M$7:$M$38,'abrasion emissions'!$I$7:$I$38,"PM 10",'abrasion emissions'!$K$7:$K$38,"Road",'abrasion emissions'!$L$7:$L$38,"b")*POWER(('vehicles specifications'!$Q54/1000),(1/SUMIFS('abrasion emissions'!$M$7:$M$38,'abrasion emissions'!$I$7:$I$38,"PM 10",'abrasion emissions'!$K$7:$K$38,"Road",'abrasion emissions'!$L$7:$L$38,"c")))))/1000000+CT54</f>
        <v>6.305178396338356E-6</v>
      </c>
      <c r="CV54" s="7">
        <f t="shared" si="13"/>
        <v>5.2185117330067561E-6</v>
      </c>
      <c r="CW54" s="7">
        <f t="shared" si="14"/>
        <v>5.0718117291060781E-6</v>
      </c>
    </row>
    <row r="55" spans="1:101" x14ac:dyDescent="0.2">
      <c r="A55" t="str">
        <f t="shared" si="1"/>
        <v>Tram, electric - 2020 - CH</v>
      </c>
      <c r="B55" t="s">
        <v>266</v>
      </c>
      <c r="C55" t="s">
        <v>34</v>
      </c>
      <c r="D55" s="18">
        <v>2020</v>
      </c>
      <c r="E55" t="s">
        <v>37</v>
      </c>
      <c r="F55" t="s">
        <v>138</v>
      </c>
      <c r="G55" t="s">
        <v>40</v>
      </c>
      <c r="H55" t="s">
        <v>32</v>
      </c>
      <c r="J55">
        <v>2800000</v>
      </c>
      <c r="K55">
        <v>70000</v>
      </c>
      <c r="L55" s="2">
        <f t="shared" si="2"/>
        <v>40</v>
      </c>
      <c r="M55">
        <v>38</v>
      </c>
      <c r="N55">
        <v>75</v>
      </c>
      <c r="O55">
        <v>120</v>
      </c>
      <c r="P55" s="2">
        <f t="shared" si="0"/>
        <v>54000</v>
      </c>
      <c r="Q55">
        <f t="shared" si="3"/>
        <v>56970</v>
      </c>
      <c r="R55">
        <v>660</v>
      </c>
      <c r="S55" s="2">
        <v>43200</v>
      </c>
      <c r="T55" s="1">
        <v>0</v>
      </c>
      <c r="U55" s="2">
        <f t="shared" si="4"/>
        <v>43200</v>
      </c>
      <c r="V55">
        <v>7800</v>
      </c>
      <c r="W55">
        <v>3000</v>
      </c>
      <c r="X55" s="3">
        <v>0</v>
      </c>
      <c r="Y55" s="1">
        <v>0.8</v>
      </c>
      <c r="Z55" s="3">
        <f t="shared" si="5"/>
        <v>0</v>
      </c>
      <c r="AA55" s="3" t="str">
        <f>IF(I55&lt;&gt;"",X55/INDEX('energy battery'!$B$3:$D$6,MATCH('vehicles specifications'!$D55,'energy battery'!$A$3:$A$6,0),MATCH('vehicles specifications'!$I55,'energy battery'!$B$2:$D$2,0)),"")</f>
        <v/>
      </c>
      <c r="AB55" s="3" t="str">
        <f t="shared" si="6"/>
        <v/>
      </c>
      <c r="AC55" s="3" t="str">
        <f t="shared" si="7"/>
        <v/>
      </c>
      <c r="AD55" s="3">
        <v>0</v>
      </c>
      <c r="AE55">
        <v>0</v>
      </c>
      <c r="AF55">
        <v>0</v>
      </c>
      <c r="AG55">
        <v>0</v>
      </c>
      <c r="AH55">
        <v>0</v>
      </c>
      <c r="AI55">
        <v>0</v>
      </c>
      <c r="AJ55">
        <v>0</v>
      </c>
      <c r="AK55" s="6">
        <f>L55/30</f>
        <v>1.3333333333333333</v>
      </c>
      <c r="AL55">
        <f>0.00012*M55</f>
        <v>4.5599999999999998E-3</v>
      </c>
      <c r="AM55">
        <v>0</v>
      </c>
      <c r="AN55" s="2">
        <f t="shared" si="9"/>
        <v>43200</v>
      </c>
      <c r="AO55" s="2">
        <f t="shared" si="10"/>
        <v>10800</v>
      </c>
      <c r="AP55" s="2" t="str">
        <f t="shared" si="11"/>
        <v/>
      </c>
      <c r="AQ55" s="6" t="s">
        <v>85</v>
      </c>
      <c r="AR55" s="20"/>
      <c r="AS55" s="6">
        <v>13.3</v>
      </c>
      <c r="AT55" s="2">
        <f t="shared" si="12"/>
        <v>0</v>
      </c>
      <c r="AU55" s="5">
        <v>0</v>
      </c>
      <c r="AV55" s="5">
        <v>0</v>
      </c>
      <c r="AW55" s="7">
        <v>0</v>
      </c>
      <c r="AX55" s="7">
        <v>0</v>
      </c>
      <c r="AY55" s="7">
        <v>0</v>
      </c>
      <c r="AZ55" s="7">
        <v>0</v>
      </c>
      <c r="BA55" s="7">
        <v>0</v>
      </c>
      <c r="BB55" s="7">
        <v>0</v>
      </c>
      <c r="BC55" s="7">
        <v>0</v>
      </c>
      <c r="BD55" s="7">
        <v>0</v>
      </c>
      <c r="BE55" s="7">
        <v>0</v>
      </c>
      <c r="BF55" s="7">
        <v>0</v>
      </c>
      <c r="BG55" s="7">
        <v>0</v>
      </c>
      <c r="BH55" s="7">
        <v>0</v>
      </c>
      <c r="BI55" s="7">
        <v>0</v>
      </c>
      <c r="BJ55" s="7">
        <v>0</v>
      </c>
      <c r="BK55" s="7">
        <v>0</v>
      </c>
      <c r="BL55" s="7">
        <v>0</v>
      </c>
      <c r="BM55" s="7">
        <v>0</v>
      </c>
      <c r="BN55" s="7">
        <v>0</v>
      </c>
      <c r="BO55" s="7">
        <v>0</v>
      </c>
      <c r="BP55" s="7">
        <v>0</v>
      </c>
      <c r="BQ55" s="7">
        <v>0</v>
      </c>
      <c r="BR55" s="7">
        <v>0</v>
      </c>
      <c r="BS55" s="7">
        <v>0</v>
      </c>
      <c r="BT55" s="7">
        <v>0</v>
      </c>
      <c r="BU55" s="7">
        <v>0</v>
      </c>
      <c r="BV55" s="7">
        <v>0</v>
      </c>
      <c r="BW55" s="7">
        <v>0</v>
      </c>
      <c r="BX55" s="7">
        <v>0</v>
      </c>
      <c r="BY55" s="7">
        <v>0</v>
      </c>
      <c r="BZ55" s="7">
        <v>0</v>
      </c>
      <c r="CA55" s="7">
        <v>0</v>
      </c>
      <c r="CB55" s="7">
        <v>0</v>
      </c>
      <c r="CC55" s="7">
        <v>0</v>
      </c>
      <c r="CD55" s="7">
        <v>0</v>
      </c>
      <c r="CE55" s="7">
        <v>0</v>
      </c>
      <c r="CF55" s="7">
        <v>0</v>
      </c>
      <c r="CG55" s="7">
        <v>0</v>
      </c>
      <c r="CH55" s="7">
        <v>0</v>
      </c>
      <c r="CI55" s="7">
        <v>0</v>
      </c>
      <c r="CJ55" s="7">
        <v>0</v>
      </c>
      <c r="CK55" s="38" t="e">
        <f>VLOOKUP($B55,'abrasion emissions'!$O$7:$R$36,2,FALSE)</f>
        <v>#N/A</v>
      </c>
      <c r="CL55" s="38" t="e">
        <f>VLOOKUP($B55,'abrasion emissions'!$O$7:$R$36,3,FALSE)</f>
        <v>#N/A</v>
      </c>
      <c r="CM55" s="38" t="e">
        <f>VLOOKUP($B55,'abrasion emissions'!$O$7:$R$36,4,FALSE)</f>
        <v>#N/A</v>
      </c>
      <c r="CN55" s="7">
        <f>((SUMIFS('abrasion emissions'!$M$7:$M$34,'abrasion emissions'!$I$7:$I$34,"PM 2.5",'abrasion emissions'!$J$7:$J$34,"urban",'abrasion emissions'!$K$7:$K$34,"Tyre",'abrasion emissions'!$L$7:$L$34,"b")*POWER(('vehicles specifications'!$Q55/1000),(1/SUMIFS('abrasion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specifications'!$P55/1000),(1/SUMIFS('abrasion emissions'!$M$7:$M$34,'abrasion emissions'!$I$7:$I$34,"PM 10",'abrasion emissions'!$J$7:$J$34,"urban",'abrasion emissions'!$K$7:$K$34,"Tyre",'abrasion emissions'!$L$7:$L$34,"c")))))/1000000</f>
        <v>8.0406778461654231E-5</v>
      </c>
      <c r="CO55" s="7">
        <f>((SUMIFS('abrasion emissions'!$M$7:$M$34,'abrasion emissions'!$I$7:$I$34,"PM 2.5",'abrasion emissions'!$J$7:$J$34,"rural",'abrasion emissions'!$K$7:$K$34,"Tyre",'abrasion emissions'!$L$7:$L$34,"b")*POWER(('vehicles specifications'!$Q55/1000),(1/SUMIFS('abrasion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specifications'!$P55/1000),(1/SUMIFS('abrasion emissions'!$M$7:$M$34,'abrasion emissions'!$I$7:$I$34,"PM 10",'abrasion emissions'!$J$7:$J$34,"rural",'abrasion emissions'!$K$7:$K$34,"Tyre",'abrasion emissions'!$L$7:$L$34,"c")))))/1000000</f>
        <v>6.2604517047010552E-5</v>
      </c>
      <c r="CP55" s="7">
        <f>((SUMIFS('abrasion emissions'!$M$7:$M$34,'abrasion emissions'!$I$7:$I$34,"PM 2.5",'abrasion emissions'!$J$7:$J$34,"motorway",'abrasion emissions'!$K$7:$K$34,"Tyre",'abrasion emissions'!$L$7:$L$34,"b")*POWER(('vehicles specifications'!$Q55/1000),(1/SUMIFS('abrasion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specifications'!$P55/1000),(1/SUMIFS('abrasion emissions'!$M$7:$M$34,'abrasion emissions'!$I$7:$I$34,"PM 10",'abrasion emissions'!$J$7:$J$34,"motorway",'abrasion emissions'!$K$7:$K$34,"Tyre",'abrasion emissions'!$L$7:$L$34,"c")))))/1000000</f>
        <v>5.3420126710347625E-5</v>
      </c>
      <c r="CQ55" s="7">
        <f>((SUMIFS('abrasion emissions'!$M$7:$M$34,'abrasion emissions'!$I$7:$I$34,"PM 2.5",'abrasion emissions'!$J$7:$J$34,"urban",'abrasion emissions'!$K$7:$K$34,"Brake",'abrasion emissions'!$L$7:$L$34,"b")*POWER(('vehicles specifications'!$Q55/1000),(1/SUMIFS('abrasion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specifications'!$P55/1000),(1/SUMIFS('abrasion emissions'!$M$7:$M$34,'abrasion emissions'!$I$7:$I$34,"PM 10",'abrasion emissions'!$J$7:$J$34,"urban",'abrasion emissions'!$K$7:$K$34,"Brake",'abrasion emissions'!$L$7:$L$34,"c")))))/1000000</f>
        <v>1.2662534993081333E-4</v>
      </c>
      <c r="CR55" s="7">
        <f>((SUMIFS('abrasion emissions'!$M$7:$M$34,'abrasion emissions'!$I$7:$I$34,"PM 2.5",'abrasion emissions'!$J$7:$J$34,"rural",'abrasion emissions'!$K$7:$K$34,"Brake",'abrasion emissions'!$L$7:$L$34,"b")*POWER(('vehicles specifications'!$Q55/1000),(1/SUMIFS('abrasion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specifications'!$P55/1000),(1/SUMIFS('abrasion emissions'!$M$7:$M$34,'abrasion emissions'!$I$7:$I$34,"PM 10",'abrasion emissions'!$J$7:$J$34,"rural",'abrasion emissions'!$K$7:$K$34,"Brake",'abrasion emissions'!$L$7:$L$34,"c")))))/1000000</f>
        <v>9.2341833570672464E-5</v>
      </c>
      <c r="CS55" s="7">
        <f>((SUMIFS('abrasion emissions'!$M$7:$M$34,'abrasion emissions'!$I$7:$I$34,"PM 2.5",'abrasion emissions'!$J$7:$J$34,"motorway",'abrasion emissions'!$K$7:$K$34,"Brake",'abrasion emissions'!$L$7:$L$34,"b")*POWER(('vehicles specifications'!$Q55/1000),(1/SUMIFS('abrasion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specifications'!$P55/1000),(1/SUMIFS('abrasion emissions'!$M$7:$M$34,'abrasion emissions'!$I$7:$I$34,"PM 10",'abrasion emissions'!$J$7:$J$34,"motorway",'abrasion emissions'!$K$7:$K$34,"Brake",'abrasion emissions'!$L$7:$L$34,"c")))))/1000000</f>
        <v>3.1016259503069494E-5</v>
      </c>
      <c r="CT55" s="7">
        <f>((SUMIFS('abrasion emissions'!$M$7:$M$38,'abrasion emissions'!$I$7:$I$38,"PM 2.5",'abrasion emissions'!$K$7:$K$38,"Re-susp.",'abrasion emissions'!$L$7:$L$38,"b")*POWER(('vehicles specifications'!$Q55/1000),(1/SUMIFS('abrasion emissions'!$M$7:$M$38,'abrasion emissions'!$I$7:$I$38,"PM 2.5",'abrasion emissions'!$K$7:$K$38,"Re-susp.",'abrasion emissions'!$L$7:$L$38,"c"))))+
(SUMIFS('abrasion emissions'!$M$7:$M$38,'abrasion emissions'!$I$7:$I$38,"PM 10",'abrasion emissions'!$K$7:$K$38,"Re-susp.",'abrasion emissions'!$L$7:$L$38,"b")*POWER(('vehicles specifications'!$Q55/1000),(1/SUMIFS('abrasion emissions'!$M$7:$M$38,'abrasion emissions'!$I$7:$I$38,"PM 10",'abrasion emissions'!$K$7:$K$38,"Re-susp.",'abrasion emissions'!$L$7:$L$38,"c")))))/1000000</f>
        <v>6.469725665196656E-4</v>
      </c>
      <c r="CU55" s="7">
        <f>((SUMIFS('abrasion emissions'!$M$7:$M$38,'abrasion emissions'!$I$7:$I$38,"PM 2.5",'abrasion emissions'!$K$7:$K$38,"Road",'abrasion emissions'!$L$7:$L$38,"b")*POWER(('vehicles specifications'!$Q55/1000),(1/SUMIFS('abrasion emissions'!$M$7:$M$38,'abrasion emissions'!$I$7:$I$38,"PM 2.5",'abrasion emissions'!$K$7:$K$38,"Road",'abrasion emissions'!$L$7:$L$38,"c"))))+
(SUMIFS('abrasion emissions'!$M$7:$M$38,'abrasion emissions'!$I$7:$I$38,"PM 10",'abrasion emissions'!$K$7:$K$38,"Road",'abrasion emissions'!$L$7:$L$38,"b")*POWER(('vehicles specifications'!$Q55/1000),(1/SUMIFS('abrasion emissions'!$M$7:$M$38,'abrasion emissions'!$I$7:$I$38,"PM 10",'abrasion emissions'!$K$7:$K$38,"Road",'abrasion emissions'!$L$7:$L$38,"c")))))/1000000+CT55</f>
        <v>7.9799135598491761E-4</v>
      </c>
      <c r="CV55" s="7" t="e">
        <f t="shared" si="13"/>
        <v>#N/A</v>
      </c>
      <c r="CW55" s="7" t="e">
        <f t="shared" si="14"/>
        <v>#N/A</v>
      </c>
    </row>
    <row r="56" spans="1:101" x14ac:dyDescent="0.2">
      <c r="A56" t="str">
        <f t="shared" si="1"/>
        <v>Tram, electric - 2030 - CH</v>
      </c>
      <c r="B56" t="s">
        <v>266</v>
      </c>
      <c r="C56" t="s">
        <v>34</v>
      </c>
      <c r="D56" s="18">
        <v>2030</v>
      </c>
      <c r="E56" t="s">
        <v>37</v>
      </c>
      <c r="F56" t="s">
        <v>138</v>
      </c>
      <c r="G56" t="s">
        <v>40</v>
      </c>
      <c r="H56" t="s">
        <v>32</v>
      </c>
      <c r="J56">
        <v>2800000</v>
      </c>
      <c r="K56">
        <v>70000</v>
      </c>
      <c r="L56" s="2">
        <f t="shared" si="2"/>
        <v>40</v>
      </c>
      <c r="M56">
        <v>38</v>
      </c>
      <c r="N56">
        <v>75</v>
      </c>
      <c r="O56">
        <v>120</v>
      </c>
      <c r="P56" s="2">
        <f t="shared" si="0"/>
        <v>52380</v>
      </c>
      <c r="Q56">
        <f t="shared" si="3"/>
        <v>55350</v>
      </c>
      <c r="R56">
        <v>660</v>
      </c>
      <c r="S56" s="2">
        <v>43200</v>
      </c>
      <c r="T56" s="1">
        <v>0.03</v>
      </c>
      <c r="U56" s="2">
        <f t="shared" si="4"/>
        <v>41904</v>
      </c>
      <c r="V56">
        <v>7566</v>
      </c>
      <c r="W56">
        <v>2910</v>
      </c>
      <c r="X56" s="3">
        <v>0</v>
      </c>
      <c r="Y56" s="1">
        <v>0.8</v>
      </c>
      <c r="Z56" s="3">
        <f t="shared" si="5"/>
        <v>0</v>
      </c>
      <c r="AA56" s="3" t="str">
        <f>IF(I56&lt;&gt;"",X56/INDEX('energy battery'!$B$3:$D$6,MATCH('vehicles specifications'!$D56,'energy battery'!$A$3:$A$6,0),MATCH('vehicles specifications'!$I56,'energy battery'!$B$2:$D$2,0)),"")</f>
        <v/>
      </c>
      <c r="AB56" s="3" t="str">
        <f t="shared" si="6"/>
        <v/>
      </c>
      <c r="AC56" s="3" t="str">
        <f t="shared" si="7"/>
        <v/>
      </c>
      <c r="AD56" s="3">
        <v>0</v>
      </c>
      <c r="AE56">
        <v>0</v>
      </c>
      <c r="AF56">
        <v>0</v>
      </c>
      <c r="AG56">
        <v>0</v>
      </c>
      <c r="AH56">
        <v>0</v>
      </c>
      <c r="AI56">
        <v>0</v>
      </c>
      <c r="AJ56">
        <v>0</v>
      </c>
      <c r="AK56" s="6">
        <f>L56/30</f>
        <v>1.3333333333333333</v>
      </c>
      <c r="AL56">
        <f>0.00012*M56</f>
        <v>4.5599999999999998E-3</v>
      </c>
      <c r="AM56">
        <v>0</v>
      </c>
      <c r="AN56" s="2">
        <f t="shared" si="9"/>
        <v>41904</v>
      </c>
      <c r="AO56" s="2">
        <f t="shared" si="10"/>
        <v>10476</v>
      </c>
      <c r="AP56" s="2" t="str">
        <f t="shared" si="11"/>
        <v/>
      </c>
      <c r="AQ56" s="6" t="s">
        <v>85</v>
      </c>
      <c r="AR56" s="20"/>
      <c r="AS56" s="6">
        <v>13.3</v>
      </c>
      <c r="AT56" s="2">
        <f t="shared" si="12"/>
        <v>0</v>
      </c>
      <c r="AU56" s="5">
        <v>0</v>
      </c>
      <c r="AV56" s="5">
        <v>0</v>
      </c>
      <c r="AW56" s="7">
        <v>0</v>
      </c>
      <c r="AX56" s="7">
        <v>0</v>
      </c>
      <c r="AY56" s="7">
        <v>0</v>
      </c>
      <c r="AZ56" s="7">
        <v>0</v>
      </c>
      <c r="BA56" s="7">
        <v>0</v>
      </c>
      <c r="BB56" s="7">
        <v>0</v>
      </c>
      <c r="BC56" s="7">
        <v>0</v>
      </c>
      <c r="BD56" s="7">
        <v>0</v>
      </c>
      <c r="BE56" s="7">
        <v>0</v>
      </c>
      <c r="BF56" s="7">
        <v>0</v>
      </c>
      <c r="BG56" s="7">
        <v>0</v>
      </c>
      <c r="BH56" s="7">
        <v>0</v>
      </c>
      <c r="BI56" s="7">
        <v>0</v>
      </c>
      <c r="BJ56" s="7">
        <v>0</v>
      </c>
      <c r="BK56" s="7">
        <v>0</v>
      </c>
      <c r="BL56" s="7">
        <v>0</v>
      </c>
      <c r="BM56" s="7">
        <v>0</v>
      </c>
      <c r="BN56" s="7">
        <v>0</v>
      </c>
      <c r="BO56" s="7">
        <v>0</v>
      </c>
      <c r="BP56" s="7">
        <v>0</v>
      </c>
      <c r="BQ56" s="7">
        <v>0</v>
      </c>
      <c r="BR56" s="7">
        <v>0</v>
      </c>
      <c r="BS56" s="7">
        <v>0</v>
      </c>
      <c r="BT56" s="7">
        <v>0</v>
      </c>
      <c r="BU56" s="7">
        <v>0</v>
      </c>
      <c r="BV56" s="7">
        <v>0</v>
      </c>
      <c r="BW56" s="7">
        <v>0</v>
      </c>
      <c r="BX56" s="7">
        <v>0</v>
      </c>
      <c r="BY56" s="7">
        <v>0</v>
      </c>
      <c r="BZ56" s="7">
        <v>0</v>
      </c>
      <c r="CA56" s="7">
        <v>0</v>
      </c>
      <c r="CB56" s="7">
        <v>0</v>
      </c>
      <c r="CC56" s="7">
        <v>0</v>
      </c>
      <c r="CD56" s="7">
        <v>0</v>
      </c>
      <c r="CE56" s="7">
        <v>0</v>
      </c>
      <c r="CF56" s="7">
        <v>0</v>
      </c>
      <c r="CG56" s="7">
        <v>0</v>
      </c>
      <c r="CH56" s="7">
        <v>0</v>
      </c>
      <c r="CI56" s="7">
        <v>0</v>
      </c>
      <c r="CJ56" s="7">
        <v>0</v>
      </c>
      <c r="CK56" s="38" t="e">
        <f>VLOOKUP($B56,'abrasion emissions'!$O$7:$R$36,2,FALSE)</f>
        <v>#N/A</v>
      </c>
      <c r="CL56" s="38" t="e">
        <f>VLOOKUP($B56,'abrasion emissions'!$O$7:$R$36,3,FALSE)</f>
        <v>#N/A</v>
      </c>
      <c r="CM56" s="38" t="e">
        <f>VLOOKUP($B56,'abrasion emissions'!$O$7:$R$36,4,FALSE)</f>
        <v>#N/A</v>
      </c>
      <c r="CN56" s="7">
        <f>((SUMIFS('abrasion emissions'!$M$7:$M$34,'abrasion emissions'!$I$7:$I$34,"PM 2.5",'abrasion emissions'!$J$7:$J$34,"urban",'abrasion emissions'!$K$7:$K$34,"Tyre",'abrasion emissions'!$L$7:$L$34,"b")*POWER(('vehicles specifications'!$Q56/1000),(1/SUMIFS('abrasion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specifications'!$P56/1000),(1/SUMIFS('abrasion emissions'!$M$7:$M$34,'abrasion emissions'!$I$7:$I$34,"PM 10",'abrasion emissions'!$J$7:$J$34,"urban",'abrasion emissions'!$K$7:$K$34,"Tyre",'abrasion emissions'!$L$7:$L$34,"c")))))/1000000</f>
        <v>7.9381839799667054E-5</v>
      </c>
      <c r="CO56" s="7">
        <f>((SUMIFS('abrasion emissions'!$M$7:$M$34,'abrasion emissions'!$I$7:$I$34,"PM 2.5",'abrasion emissions'!$J$7:$J$34,"rural",'abrasion emissions'!$K$7:$K$34,"Tyre",'abrasion emissions'!$L$7:$L$34,"b")*POWER(('vehicles specifications'!$Q56/1000),(1/SUMIFS('abrasion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specifications'!$P56/1000),(1/SUMIFS('abrasion emissions'!$M$7:$M$34,'abrasion emissions'!$I$7:$I$34,"PM 10",'abrasion emissions'!$J$7:$J$34,"rural",'abrasion emissions'!$K$7:$K$34,"Tyre",'abrasion emissions'!$L$7:$L$34,"c")))))/1000000</f>
        <v>6.1806564514160783E-5</v>
      </c>
      <c r="CP56" s="7">
        <f>((SUMIFS('abrasion emissions'!$M$7:$M$34,'abrasion emissions'!$I$7:$I$34,"PM 2.5",'abrasion emissions'!$J$7:$J$34,"motorway",'abrasion emissions'!$K$7:$K$34,"Tyre",'abrasion emissions'!$L$7:$L$34,"b")*POWER(('vehicles specifications'!$Q56/1000),(1/SUMIFS('abrasion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specifications'!$P56/1000),(1/SUMIFS('abrasion emissions'!$M$7:$M$34,'abrasion emissions'!$I$7:$I$34,"PM 10",'abrasion emissions'!$J$7:$J$34,"motorway",'abrasion emissions'!$K$7:$K$34,"Tyre",'abrasion emissions'!$L$7:$L$34,"c")))))/1000000</f>
        <v>5.2739393757373405E-5</v>
      </c>
      <c r="CQ56" s="7">
        <f>((SUMIFS('abrasion emissions'!$M$7:$M$34,'abrasion emissions'!$I$7:$I$34,"PM 2.5",'abrasion emissions'!$J$7:$J$34,"urban",'abrasion emissions'!$K$7:$K$34,"Brake",'abrasion emissions'!$L$7:$L$34,"b")*POWER(('vehicles specifications'!$Q56/1000),(1/SUMIFS('abrasion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specifications'!$P56/1000),(1/SUMIFS('abrasion emissions'!$M$7:$M$34,'abrasion emissions'!$I$7:$I$34,"PM 10",'abrasion emissions'!$J$7:$J$34,"urban",'abrasion emissions'!$K$7:$K$34,"Brake",'abrasion emissions'!$L$7:$L$34,"c")))))/1000000</f>
        <v>1.2468867258201335E-4</v>
      </c>
      <c r="CR56" s="7">
        <f>((SUMIFS('abrasion emissions'!$M$7:$M$34,'abrasion emissions'!$I$7:$I$34,"PM 2.5",'abrasion emissions'!$J$7:$J$34,"rural",'abrasion emissions'!$K$7:$K$34,"Brake",'abrasion emissions'!$L$7:$L$34,"b")*POWER(('vehicles specifications'!$Q56/1000),(1/SUMIFS('abrasion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specifications'!$P56/1000),(1/SUMIFS('abrasion emissions'!$M$7:$M$34,'abrasion emissions'!$I$7:$I$34,"PM 10",'abrasion emissions'!$J$7:$J$34,"rural",'abrasion emissions'!$K$7:$K$34,"Brake",'abrasion emissions'!$L$7:$L$34,"c")))))/1000000</f>
        <v>9.0555795255209073E-5</v>
      </c>
      <c r="CS56" s="7">
        <f>((SUMIFS('abrasion emissions'!$M$7:$M$34,'abrasion emissions'!$I$7:$I$34,"PM 2.5",'abrasion emissions'!$J$7:$J$34,"motorway",'abrasion emissions'!$K$7:$K$34,"Brake",'abrasion emissions'!$L$7:$L$34,"b")*POWER(('vehicles specifications'!$Q56/1000),(1/SUMIFS('abrasion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specifications'!$P56/1000),(1/SUMIFS('abrasion emissions'!$M$7:$M$34,'abrasion emissions'!$I$7:$I$34,"PM 10",'abrasion emissions'!$J$7:$J$34,"motorway",'abrasion emissions'!$K$7:$K$34,"Brake",'abrasion emissions'!$L$7:$L$34,"c")))))/1000000</f>
        <v>3.032514023108255E-5</v>
      </c>
      <c r="CT56" s="7">
        <f>((SUMIFS('abrasion emissions'!$M$7:$M$38,'abrasion emissions'!$I$7:$I$38,"PM 2.5",'abrasion emissions'!$K$7:$K$38,"Re-susp.",'abrasion emissions'!$L$7:$L$38,"b")*POWER(('vehicles specifications'!$Q56/1000),(1/SUMIFS('abrasion emissions'!$M$7:$M$38,'abrasion emissions'!$I$7:$I$38,"PM 2.5",'abrasion emissions'!$K$7:$K$38,"Re-susp.",'abrasion emissions'!$L$7:$L$38,"c"))))+
(SUMIFS('abrasion emissions'!$M$7:$M$38,'abrasion emissions'!$I$7:$I$38,"PM 10",'abrasion emissions'!$K$7:$K$38,"Re-susp.",'abrasion emissions'!$L$7:$L$38,"b")*POWER(('vehicles specifications'!$Q56/1000),(1/SUMIFS('abrasion emissions'!$M$7:$M$38,'abrasion emissions'!$I$7:$I$38,"PM 10",'abrasion emissions'!$K$7:$K$38,"Re-susp.",'abrasion emissions'!$L$7:$L$38,"c")))))/1000000</f>
        <v>6.3022588182128157E-4</v>
      </c>
      <c r="CU56" s="7">
        <f>((SUMIFS('abrasion emissions'!$M$7:$M$38,'abrasion emissions'!$I$7:$I$38,"PM 2.5",'abrasion emissions'!$K$7:$K$38,"Road",'abrasion emissions'!$L$7:$L$38,"b")*POWER(('vehicles specifications'!$Q56/1000),(1/SUMIFS('abrasion emissions'!$M$7:$M$38,'abrasion emissions'!$I$7:$I$38,"PM 2.5",'abrasion emissions'!$K$7:$K$38,"Road",'abrasion emissions'!$L$7:$L$38,"c"))))+
(SUMIFS('abrasion emissions'!$M$7:$M$38,'abrasion emissions'!$I$7:$I$38,"PM 10",'abrasion emissions'!$K$7:$K$38,"Road",'abrasion emissions'!$L$7:$L$38,"b")*POWER(('vehicles specifications'!$Q56/1000),(1/SUMIFS('abrasion emissions'!$M$7:$M$38,'abrasion emissions'!$I$7:$I$38,"PM 10",'abrasion emissions'!$K$7:$K$38,"Road",'abrasion emissions'!$L$7:$L$38,"c")))))/1000000+CT56</f>
        <v>7.7836801314775707E-4</v>
      </c>
      <c r="CV56" s="7" t="e">
        <f t="shared" si="13"/>
        <v>#N/A</v>
      </c>
      <c r="CW56" s="7" t="e">
        <f t="shared" si="14"/>
        <v>#N/A</v>
      </c>
    </row>
    <row r="57" spans="1:101" x14ac:dyDescent="0.2">
      <c r="A57" t="str">
        <f t="shared" si="1"/>
        <v>Tram, electric - 2040 - CH</v>
      </c>
      <c r="B57" t="s">
        <v>266</v>
      </c>
      <c r="C57" t="s">
        <v>34</v>
      </c>
      <c r="D57" s="18">
        <v>2040</v>
      </c>
      <c r="E57" t="s">
        <v>37</v>
      </c>
      <c r="F57" t="s">
        <v>138</v>
      </c>
      <c r="G57" t="s">
        <v>40</v>
      </c>
      <c r="H57" t="s">
        <v>32</v>
      </c>
      <c r="J57">
        <v>2800000</v>
      </c>
      <c r="K57">
        <v>70000</v>
      </c>
      <c r="L57" s="2">
        <f t="shared" si="2"/>
        <v>40</v>
      </c>
      <c r="M57">
        <v>38</v>
      </c>
      <c r="N57">
        <v>75</v>
      </c>
      <c r="O57">
        <v>120</v>
      </c>
      <c r="P57" s="2">
        <f t="shared" si="0"/>
        <v>51202</v>
      </c>
      <c r="Q57">
        <f t="shared" si="3"/>
        <v>54172</v>
      </c>
      <c r="R57">
        <v>660</v>
      </c>
      <c r="S57" s="2">
        <v>43200</v>
      </c>
      <c r="T57" s="1">
        <v>0.05</v>
      </c>
      <c r="U57" s="2">
        <f t="shared" si="4"/>
        <v>41040</v>
      </c>
      <c r="V57">
        <v>7340</v>
      </c>
      <c r="W57">
        <v>2822</v>
      </c>
      <c r="X57" s="3">
        <v>0</v>
      </c>
      <c r="Y57" s="1">
        <v>0.8</v>
      </c>
      <c r="Z57" s="3">
        <f t="shared" si="5"/>
        <v>0</v>
      </c>
      <c r="AA57" s="3" t="str">
        <f>IF(I57&lt;&gt;"",X57/INDEX('energy battery'!$B$3:$D$6,MATCH('vehicles specifications'!$D57,'energy battery'!$A$3:$A$6,0),MATCH('vehicles specifications'!$I57,'energy battery'!$B$2:$D$2,0)),"")</f>
        <v/>
      </c>
      <c r="AB57" s="3" t="str">
        <f t="shared" si="6"/>
        <v/>
      </c>
      <c r="AC57" s="3" t="str">
        <f t="shared" si="7"/>
        <v/>
      </c>
      <c r="AD57" s="3">
        <v>0</v>
      </c>
      <c r="AE57">
        <v>0</v>
      </c>
      <c r="AF57">
        <v>0</v>
      </c>
      <c r="AG57">
        <v>0</v>
      </c>
      <c r="AH57">
        <v>0</v>
      </c>
      <c r="AI57">
        <v>0</v>
      </c>
      <c r="AJ57">
        <v>0</v>
      </c>
      <c r="AK57" s="6">
        <f>L57/30</f>
        <v>1.3333333333333333</v>
      </c>
      <c r="AL57">
        <f>0.00012*M57</f>
        <v>4.5599999999999998E-3</v>
      </c>
      <c r="AM57">
        <v>0</v>
      </c>
      <c r="AN57" s="2">
        <f t="shared" si="9"/>
        <v>41040</v>
      </c>
      <c r="AO57" s="2">
        <f t="shared" si="10"/>
        <v>10162</v>
      </c>
      <c r="AP57" s="2" t="str">
        <f t="shared" si="11"/>
        <v/>
      </c>
      <c r="AQ57" s="6" t="s">
        <v>85</v>
      </c>
      <c r="AR57" s="20"/>
      <c r="AS57" s="6">
        <v>13.3</v>
      </c>
      <c r="AT57" s="2">
        <f t="shared" si="12"/>
        <v>0</v>
      </c>
      <c r="AU57" s="5">
        <v>0</v>
      </c>
      <c r="AV57" s="5">
        <v>0</v>
      </c>
      <c r="AW57" s="7">
        <v>0</v>
      </c>
      <c r="AX57" s="7">
        <v>0</v>
      </c>
      <c r="AY57" s="7">
        <v>0</v>
      </c>
      <c r="AZ57" s="7">
        <v>0</v>
      </c>
      <c r="BA57" s="7">
        <v>0</v>
      </c>
      <c r="BB57" s="7">
        <v>0</v>
      </c>
      <c r="BC57" s="7">
        <v>0</v>
      </c>
      <c r="BD57" s="7">
        <v>0</v>
      </c>
      <c r="BE57" s="7">
        <v>0</v>
      </c>
      <c r="BF57" s="7">
        <v>0</v>
      </c>
      <c r="BG57" s="7">
        <v>0</v>
      </c>
      <c r="BH57" s="7">
        <v>0</v>
      </c>
      <c r="BI57" s="7">
        <v>0</v>
      </c>
      <c r="BJ57" s="7">
        <v>0</v>
      </c>
      <c r="BK57" s="7">
        <v>0</v>
      </c>
      <c r="BL57" s="7">
        <v>0</v>
      </c>
      <c r="BM57" s="7">
        <v>0</v>
      </c>
      <c r="BN57" s="7">
        <v>0</v>
      </c>
      <c r="BO57" s="7">
        <v>0</v>
      </c>
      <c r="BP57" s="7">
        <v>0</v>
      </c>
      <c r="BQ57" s="7">
        <v>0</v>
      </c>
      <c r="BR57" s="7">
        <v>0</v>
      </c>
      <c r="BS57" s="7">
        <v>0</v>
      </c>
      <c r="BT57" s="7">
        <v>0</v>
      </c>
      <c r="BU57" s="7">
        <v>0</v>
      </c>
      <c r="BV57" s="7">
        <v>0</v>
      </c>
      <c r="BW57" s="7">
        <v>0</v>
      </c>
      <c r="BX57" s="7">
        <v>0</v>
      </c>
      <c r="BY57" s="7">
        <v>0</v>
      </c>
      <c r="BZ57" s="7">
        <v>0</v>
      </c>
      <c r="CA57" s="7">
        <v>0</v>
      </c>
      <c r="CB57" s="7">
        <v>0</v>
      </c>
      <c r="CC57" s="7">
        <v>0</v>
      </c>
      <c r="CD57" s="7">
        <v>0</v>
      </c>
      <c r="CE57" s="7">
        <v>0</v>
      </c>
      <c r="CF57" s="7">
        <v>0</v>
      </c>
      <c r="CG57" s="7">
        <v>0</v>
      </c>
      <c r="CH57" s="7">
        <v>0</v>
      </c>
      <c r="CI57" s="7">
        <v>0</v>
      </c>
      <c r="CJ57" s="7">
        <v>0</v>
      </c>
      <c r="CK57" s="38" t="e">
        <f>VLOOKUP($B57,'abrasion emissions'!$O$7:$R$36,2,FALSE)</f>
        <v>#N/A</v>
      </c>
      <c r="CL57" s="38" t="e">
        <f>VLOOKUP($B57,'abrasion emissions'!$O$7:$R$36,3,FALSE)</f>
        <v>#N/A</v>
      </c>
      <c r="CM57" s="38" t="e">
        <f>VLOOKUP($B57,'abrasion emissions'!$O$7:$R$36,4,FALSE)</f>
        <v>#N/A</v>
      </c>
      <c r="CN57" s="7">
        <f>((SUMIFS('abrasion emissions'!$M$7:$M$34,'abrasion emissions'!$I$7:$I$34,"PM 2.5",'abrasion emissions'!$J$7:$J$34,"urban",'abrasion emissions'!$K$7:$K$34,"Tyre",'abrasion emissions'!$L$7:$L$34,"b")*POWER(('vehicles specifications'!$Q57/1000),(1/SUMIFS('abrasion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specifications'!$P57/1000),(1/SUMIFS('abrasion emissions'!$M$7:$M$34,'abrasion emissions'!$I$7:$I$34,"PM 10",'abrasion emissions'!$J$7:$J$34,"urban",'abrasion emissions'!$K$7:$K$34,"Tyre",'abrasion emissions'!$L$7:$L$34,"c")))))/1000000</f>
        <v>7.8625595429657321E-5</v>
      </c>
      <c r="CO57" s="7">
        <f>((SUMIFS('abrasion emissions'!$M$7:$M$34,'abrasion emissions'!$I$7:$I$34,"PM 2.5",'abrasion emissions'!$J$7:$J$34,"rural",'abrasion emissions'!$K$7:$K$34,"Tyre",'abrasion emissions'!$L$7:$L$34,"b")*POWER(('vehicles specifications'!$Q57/1000),(1/SUMIFS('abrasion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specifications'!$P57/1000),(1/SUMIFS('abrasion emissions'!$M$7:$M$34,'abrasion emissions'!$I$7:$I$34,"PM 10",'abrasion emissions'!$J$7:$J$34,"rural",'abrasion emissions'!$K$7:$K$34,"Tyre",'abrasion emissions'!$L$7:$L$34,"c")))))/1000000</f>
        <v>6.1217801080177934E-5</v>
      </c>
      <c r="CP57" s="7">
        <f>((SUMIFS('abrasion emissions'!$M$7:$M$34,'abrasion emissions'!$I$7:$I$34,"PM 2.5",'abrasion emissions'!$J$7:$J$34,"motorway",'abrasion emissions'!$K$7:$K$34,"Tyre",'abrasion emissions'!$L$7:$L$34,"b")*POWER(('vehicles specifications'!$Q57/1000),(1/SUMIFS('abrasion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specifications'!$P57/1000),(1/SUMIFS('abrasion emissions'!$M$7:$M$34,'abrasion emissions'!$I$7:$I$34,"PM 10",'abrasion emissions'!$J$7:$J$34,"motorway",'abrasion emissions'!$K$7:$K$34,"Tyre",'abrasion emissions'!$L$7:$L$34,"c")))))/1000000</f>
        <v>5.2237121657177369E-5</v>
      </c>
      <c r="CQ57" s="7">
        <f>((SUMIFS('abrasion emissions'!$M$7:$M$34,'abrasion emissions'!$I$7:$I$34,"PM 2.5",'abrasion emissions'!$J$7:$J$34,"urban",'abrasion emissions'!$K$7:$K$34,"Brake",'abrasion emissions'!$L$7:$L$34,"b")*POWER(('vehicles specifications'!$Q57/1000),(1/SUMIFS('abrasion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specifications'!$P57/1000),(1/SUMIFS('abrasion emissions'!$M$7:$M$34,'abrasion emissions'!$I$7:$I$34,"PM 10",'abrasion emissions'!$J$7:$J$34,"urban",'abrasion emissions'!$K$7:$K$34,"Brake",'abrasion emissions'!$L$7:$L$34,"c")))))/1000000</f>
        <v>1.2326321276807963E-4</v>
      </c>
      <c r="CR57" s="7">
        <f>((SUMIFS('abrasion emissions'!$M$7:$M$34,'abrasion emissions'!$I$7:$I$34,"PM 2.5",'abrasion emissions'!$J$7:$J$34,"rural",'abrasion emissions'!$K$7:$K$34,"Brake",'abrasion emissions'!$L$7:$L$34,"b")*POWER(('vehicles specifications'!$Q57/1000),(1/SUMIFS('abrasion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specifications'!$P57/1000),(1/SUMIFS('abrasion emissions'!$M$7:$M$34,'abrasion emissions'!$I$7:$I$34,"PM 10",'abrasion emissions'!$J$7:$J$34,"rural",'abrasion emissions'!$K$7:$K$34,"Brake",'abrasion emissions'!$L$7:$L$34,"c")))))/1000000</f>
        <v>8.9245920681234149E-5</v>
      </c>
      <c r="CS57" s="7">
        <f>((SUMIFS('abrasion emissions'!$M$7:$M$34,'abrasion emissions'!$I$7:$I$34,"PM 2.5",'abrasion emissions'!$J$7:$J$34,"motorway",'abrasion emissions'!$K$7:$K$34,"Brake",'abrasion emissions'!$L$7:$L$34,"b")*POWER(('vehicles specifications'!$Q57/1000),(1/SUMIFS('abrasion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specifications'!$P57/1000),(1/SUMIFS('abrasion emissions'!$M$7:$M$34,'abrasion emissions'!$I$7:$I$34,"PM 10",'abrasion emissions'!$J$7:$J$34,"motorway",'abrasion emissions'!$K$7:$K$34,"Brake",'abrasion emissions'!$L$7:$L$34,"c")))))/1000000</f>
        <v>2.9819605713689123E-5</v>
      </c>
      <c r="CT57" s="7">
        <f>((SUMIFS('abrasion emissions'!$M$7:$M$38,'abrasion emissions'!$I$7:$I$38,"PM 2.5",'abrasion emissions'!$K$7:$K$38,"Re-susp.",'abrasion emissions'!$L$7:$L$38,"b")*POWER(('vehicles specifications'!$Q57/1000),(1/SUMIFS('abrasion emissions'!$M$7:$M$38,'abrasion emissions'!$I$7:$I$38,"PM 2.5",'abrasion emissions'!$K$7:$K$38,"Re-susp.",'abrasion emissions'!$L$7:$L$38,"c"))))+
(SUMIFS('abrasion emissions'!$M$7:$M$38,'abrasion emissions'!$I$7:$I$38,"PM 10",'abrasion emissions'!$K$7:$K$38,"Re-susp.",'abrasion emissions'!$L$7:$L$38,"b")*POWER(('vehicles specifications'!$Q57/1000),(1/SUMIFS('abrasion emissions'!$M$7:$M$38,'abrasion emissions'!$I$7:$I$38,"PM 10",'abrasion emissions'!$K$7:$K$38,"Re-susp.",'abrasion emissions'!$L$7:$L$38,"c")))))/1000000</f>
        <v>6.1802041394619801E-4</v>
      </c>
      <c r="CU57" s="7">
        <f>((SUMIFS('abrasion emissions'!$M$7:$M$38,'abrasion emissions'!$I$7:$I$38,"PM 2.5",'abrasion emissions'!$K$7:$K$38,"Road",'abrasion emissions'!$L$7:$L$38,"b")*POWER(('vehicles specifications'!$Q57/1000),(1/SUMIFS('abrasion emissions'!$M$7:$M$38,'abrasion emissions'!$I$7:$I$38,"PM 2.5",'abrasion emissions'!$K$7:$K$38,"Road",'abrasion emissions'!$L$7:$L$38,"c"))))+
(SUMIFS('abrasion emissions'!$M$7:$M$38,'abrasion emissions'!$I$7:$I$38,"PM 10",'abrasion emissions'!$K$7:$K$38,"Road",'abrasion emissions'!$L$7:$L$38,"b")*POWER(('vehicles specifications'!$Q57/1000),(1/SUMIFS('abrasion emissions'!$M$7:$M$38,'abrasion emissions'!$I$7:$I$38,"PM 10",'abrasion emissions'!$K$7:$K$38,"Road",'abrasion emissions'!$L$7:$L$38,"c")))))/1000000+CT57</f>
        <v>7.6405310385816469E-4</v>
      </c>
      <c r="CV57" s="7" t="e">
        <f t="shared" si="13"/>
        <v>#N/A</v>
      </c>
      <c r="CW57" s="7" t="e">
        <f t="shared" si="14"/>
        <v>#N/A</v>
      </c>
    </row>
    <row r="58" spans="1:101" x14ac:dyDescent="0.2">
      <c r="A58" t="str">
        <f t="shared" si="1"/>
        <v>Tram, electric - 2050 - CH</v>
      </c>
      <c r="B58" t="s">
        <v>266</v>
      </c>
      <c r="C58" t="s">
        <v>34</v>
      </c>
      <c r="D58" s="18">
        <v>2050</v>
      </c>
      <c r="E58" t="s">
        <v>37</v>
      </c>
      <c r="F58" t="s">
        <v>138</v>
      </c>
      <c r="G58" t="s">
        <v>40</v>
      </c>
      <c r="H58" t="s">
        <v>32</v>
      </c>
      <c r="J58">
        <v>2800000</v>
      </c>
      <c r="K58">
        <v>70000</v>
      </c>
      <c r="L58" s="2">
        <f t="shared" si="2"/>
        <v>40</v>
      </c>
      <c r="M58">
        <v>38</v>
      </c>
      <c r="N58">
        <v>75</v>
      </c>
      <c r="O58">
        <v>120</v>
      </c>
      <c r="P58" s="2">
        <f t="shared" si="0"/>
        <v>50033</v>
      </c>
      <c r="Q58">
        <f t="shared" si="3"/>
        <v>53003</v>
      </c>
      <c r="R58">
        <v>660</v>
      </c>
      <c r="S58" s="2">
        <v>43200</v>
      </c>
      <c r="T58" s="1">
        <v>7.0000000000000007E-2</v>
      </c>
      <c r="U58" s="2">
        <f t="shared" si="4"/>
        <v>40176</v>
      </c>
      <c r="V58">
        <v>7119</v>
      </c>
      <c r="W58">
        <v>2738</v>
      </c>
      <c r="X58" s="3">
        <v>0</v>
      </c>
      <c r="Y58" s="1">
        <v>0.8</v>
      </c>
      <c r="Z58" s="3">
        <f t="shared" si="5"/>
        <v>0</v>
      </c>
      <c r="AA58" s="3" t="str">
        <f>IF(I58&lt;&gt;"",X58/INDEX('energy battery'!$B$3:$D$6,MATCH('vehicles specifications'!$D58,'energy battery'!$A$3:$A$6,0),MATCH('vehicles specifications'!$I58,'energy battery'!$B$2:$D$2,0)),"")</f>
        <v/>
      </c>
      <c r="AB58" s="3" t="str">
        <f t="shared" si="6"/>
        <v/>
      </c>
      <c r="AC58" s="3" t="str">
        <f t="shared" si="7"/>
        <v/>
      </c>
      <c r="AD58" s="3">
        <v>0</v>
      </c>
      <c r="AE58">
        <v>0</v>
      </c>
      <c r="AF58">
        <v>0</v>
      </c>
      <c r="AG58">
        <v>0</v>
      </c>
      <c r="AH58">
        <v>0</v>
      </c>
      <c r="AI58">
        <v>0</v>
      </c>
      <c r="AJ58">
        <v>0</v>
      </c>
      <c r="AK58" s="6">
        <f>L58/30</f>
        <v>1.3333333333333333</v>
      </c>
      <c r="AL58">
        <f>0.00012*M58</f>
        <v>4.5599999999999998E-3</v>
      </c>
      <c r="AM58">
        <v>0</v>
      </c>
      <c r="AN58" s="2">
        <f t="shared" si="9"/>
        <v>40176</v>
      </c>
      <c r="AO58" s="2">
        <f t="shared" si="10"/>
        <v>9857</v>
      </c>
      <c r="AP58" s="2" t="str">
        <f t="shared" si="11"/>
        <v/>
      </c>
      <c r="AQ58" s="6" t="s">
        <v>85</v>
      </c>
      <c r="AR58" s="20"/>
      <c r="AS58" s="6">
        <v>13.3</v>
      </c>
      <c r="AT58" s="2">
        <f t="shared" si="12"/>
        <v>0</v>
      </c>
      <c r="AU58" s="5">
        <v>0</v>
      </c>
      <c r="AV58" s="5">
        <v>0</v>
      </c>
      <c r="AW58" s="7">
        <v>0</v>
      </c>
      <c r="AX58" s="7">
        <v>0</v>
      </c>
      <c r="AY58" s="7">
        <v>0</v>
      </c>
      <c r="AZ58" s="7">
        <v>0</v>
      </c>
      <c r="BA58" s="7">
        <v>0</v>
      </c>
      <c r="BB58" s="7">
        <v>0</v>
      </c>
      <c r="BC58" s="7">
        <v>0</v>
      </c>
      <c r="BD58" s="7">
        <v>0</v>
      </c>
      <c r="BE58" s="7">
        <v>0</v>
      </c>
      <c r="BF58" s="7">
        <v>0</v>
      </c>
      <c r="BG58" s="7">
        <v>0</v>
      </c>
      <c r="BH58" s="7">
        <v>0</v>
      </c>
      <c r="BI58" s="7">
        <v>0</v>
      </c>
      <c r="BJ58" s="7">
        <v>0</v>
      </c>
      <c r="BK58" s="7">
        <v>0</v>
      </c>
      <c r="BL58" s="7">
        <v>0</v>
      </c>
      <c r="BM58" s="7">
        <v>0</v>
      </c>
      <c r="BN58" s="7">
        <v>0</v>
      </c>
      <c r="BO58" s="7">
        <v>0</v>
      </c>
      <c r="BP58" s="7">
        <v>0</v>
      </c>
      <c r="BQ58" s="7">
        <v>0</v>
      </c>
      <c r="BR58" s="7">
        <v>0</v>
      </c>
      <c r="BS58" s="7">
        <v>0</v>
      </c>
      <c r="BT58" s="7">
        <v>0</v>
      </c>
      <c r="BU58" s="7">
        <v>0</v>
      </c>
      <c r="BV58" s="7">
        <v>0</v>
      </c>
      <c r="BW58" s="7">
        <v>0</v>
      </c>
      <c r="BX58" s="7">
        <v>0</v>
      </c>
      <c r="BY58" s="7">
        <v>0</v>
      </c>
      <c r="BZ58" s="7">
        <v>0</v>
      </c>
      <c r="CA58" s="7">
        <v>0</v>
      </c>
      <c r="CB58" s="7">
        <v>0</v>
      </c>
      <c r="CC58" s="7">
        <v>0</v>
      </c>
      <c r="CD58" s="7">
        <v>0</v>
      </c>
      <c r="CE58" s="7">
        <v>0</v>
      </c>
      <c r="CF58" s="7">
        <v>0</v>
      </c>
      <c r="CG58" s="7">
        <v>0</v>
      </c>
      <c r="CH58" s="7">
        <v>0</v>
      </c>
      <c r="CI58" s="7">
        <v>0</v>
      </c>
      <c r="CJ58" s="7">
        <v>0</v>
      </c>
      <c r="CK58" s="38" t="e">
        <f>VLOOKUP($B58,'abrasion emissions'!$O$7:$R$36,2,FALSE)</f>
        <v>#N/A</v>
      </c>
      <c r="CL58" s="38" t="e">
        <f>VLOOKUP($B58,'abrasion emissions'!$O$7:$R$36,3,FALSE)</f>
        <v>#N/A</v>
      </c>
      <c r="CM58" s="38" t="e">
        <f>VLOOKUP($B58,'abrasion emissions'!$O$7:$R$36,4,FALSE)</f>
        <v>#N/A</v>
      </c>
      <c r="CN58" s="7">
        <f>((SUMIFS('abrasion emissions'!$M$7:$M$34,'abrasion emissions'!$I$7:$I$34,"PM 2.5",'abrasion emissions'!$J$7:$J$34,"urban",'abrasion emissions'!$K$7:$K$34,"Tyre",'abrasion emissions'!$L$7:$L$34,"b")*POWER(('vehicles specifications'!$Q58/1000),(1/SUMIFS('abrasion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specifications'!$P58/1000),(1/SUMIFS('abrasion emissions'!$M$7:$M$34,'abrasion emissions'!$I$7:$I$34,"PM 10",'abrasion emissions'!$J$7:$J$34,"urban",'abrasion emissions'!$K$7:$K$34,"Tyre",'abrasion emissions'!$L$7:$L$34,"c")))))/1000000</f>
        <v>7.7865655472198655E-5</v>
      </c>
      <c r="CO58" s="7">
        <f>((SUMIFS('abrasion emissions'!$M$7:$M$34,'abrasion emissions'!$I$7:$I$34,"PM 2.5",'abrasion emissions'!$J$7:$J$34,"rural",'abrasion emissions'!$K$7:$K$34,"Tyre",'abrasion emissions'!$L$7:$L$34,"b")*POWER(('vehicles specifications'!$Q58/1000),(1/SUMIFS('abrasion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specifications'!$P58/1000),(1/SUMIFS('abrasion emissions'!$M$7:$M$34,'abrasion emissions'!$I$7:$I$34,"PM 10",'abrasion emissions'!$J$7:$J$34,"rural",'abrasion emissions'!$K$7:$K$34,"Tyre",'abrasion emissions'!$L$7:$L$34,"c")))))/1000000</f>
        <v>6.0626161107583212E-5</v>
      </c>
      <c r="CP58" s="7">
        <f>((SUMIFS('abrasion emissions'!$M$7:$M$34,'abrasion emissions'!$I$7:$I$34,"PM 2.5",'abrasion emissions'!$J$7:$J$34,"motorway",'abrasion emissions'!$K$7:$K$34,"Tyre",'abrasion emissions'!$L$7:$L$34,"b")*POWER(('vehicles specifications'!$Q58/1000),(1/SUMIFS('abrasion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specifications'!$P58/1000),(1/SUMIFS('abrasion emissions'!$M$7:$M$34,'abrasion emissions'!$I$7:$I$34,"PM 10",'abrasion emissions'!$J$7:$J$34,"motorway",'abrasion emissions'!$K$7:$K$34,"Tyre",'abrasion emissions'!$L$7:$L$34,"c")))))/1000000</f>
        <v>5.1732397120755224E-5</v>
      </c>
      <c r="CQ58" s="7">
        <f>((SUMIFS('abrasion emissions'!$M$7:$M$34,'abrasion emissions'!$I$7:$I$34,"PM 2.5",'abrasion emissions'!$J$7:$J$34,"urban",'abrasion emissions'!$K$7:$K$34,"Brake",'abrasion emissions'!$L$7:$L$34,"b")*POWER(('vehicles specifications'!$Q58/1000),(1/SUMIFS('abrasion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specifications'!$P58/1000),(1/SUMIFS('abrasion emissions'!$M$7:$M$34,'abrasion emissions'!$I$7:$I$34,"PM 10",'abrasion emissions'!$J$7:$J$34,"urban",'abrasion emissions'!$K$7:$K$34,"Brake",'abrasion emissions'!$L$7:$L$34,"c")))))/1000000</f>
        <v>1.2183381350335447E-4</v>
      </c>
      <c r="CR58" s="7">
        <f>((SUMIFS('abrasion emissions'!$M$7:$M$34,'abrasion emissions'!$I$7:$I$34,"PM 2.5",'abrasion emissions'!$J$7:$J$34,"rural",'abrasion emissions'!$K$7:$K$34,"Brake",'abrasion emissions'!$L$7:$L$34,"b")*POWER(('vehicles specifications'!$Q58/1000),(1/SUMIFS('abrasion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specifications'!$P58/1000),(1/SUMIFS('abrasion emissions'!$M$7:$M$34,'abrasion emissions'!$I$7:$I$34,"PM 10",'abrasion emissions'!$J$7:$J$34,"rural",'abrasion emissions'!$K$7:$K$34,"Brake",'abrasion emissions'!$L$7:$L$34,"c")))))/1000000</f>
        <v>8.7936474425447136E-5</v>
      </c>
      <c r="CS58" s="7">
        <f>((SUMIFS('abrasion emissions'!$M$7:$M$34,'abrasion emissions'!$I$7:$I$34,"PM 2.5",'abrasion emissions'!$J$7:$J$34,"motorway",'abrasion emissions'!$K$7:$K$34,"Brake",'abrasion emissions'!$L$7:$L$34,"b")*POWER(('vehicles specifications'!$Q58/1000),(1/SUMIFS('abrasion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specifications'!$P58/1000),(1/SUMIFS('abrasion emissions'!$M$7:$M$34,'abrasion emissions'!$I$7:$I$34,"PM 10",'abrasion emissions'!$J$7:$J$34,"motorway",'abrasion emissions'!$K$7:$K$34,"Brake",'abrasion emissions'!$L$7:$L$34,"c")))))/1000000</f>
        <v>2.9315377117454594E-5</v>
      </c>
      <c r="CT58" s="7">
        <f>((SUMIFS('abrasion emissions'!$M$7:$M$38,'abrasion emissions'!$I$7:$I$38,"PM 2.5",'abrasion emissions'!$K$7:$K$38,"Re-susp.",'abrasion emissions'!$L$7:$L$38,"b")*POWER(('vehicles specifications'!$Q58/1000),(1/SUMIFS('abrasion emissions'!$M$7:$M$38,'abrasion emissions'!$I$7:$I$38,"PM 2.5",'abrasion emissions'!$K$7:$K$38,"Re-susp.",'abrasion emissions'!$L$7:$L$38,"c"))))+
(SUMIFS('abrasion emissions'!$M$7:$M$38,'abrasion emissions'!$I$7:$I$38,"PM 10",'abrasion emissions'!$K$7:$K$38,"Re-susp.",'abrasion emissions'!$L$7:$L$38,"b")*POWER(('vehicles specifications'!$Q58/1000),(1/SUMIFS('abrasion emissions'!$M$7:$M$38,'abrasion emissions'!$I$7:$I$38,"PM 10",'abrasion emissions'!$K$7:$K$38,"Re-susp.",'abrasion emissions'!$L$7:$L$38,"c")))))/1000000</f>
        <v>6.0588431978129791E-4</v>
      </c>
      <c r="CU58" s="7">
        <f>((SUMIFS('abrasion emissions'!$M$7:$M$38,'abrasion emissions'!$I$7:$I$38,"PM 2.5",'abrasion emissions'!$K$7:$K$38,"Road",'abrasion emissions'!$L$7:$L$38,"b")*POWER(('vehicles specifications'!$Q58/1000),(1/SUMIFS('abrasion emissions'!$M$7:$M$38,'abrasion emissions'!$I$7:$I$38,"PM 2.5",'abrasion emissions'!$K$7:$K$38,"Road",'abrasion emissions'!$L$7:$L$38,"c"))))+
(SUMIFS('abrasion emissions'!$M$7:$M$38,'abrasion emissions'!$I$7:$I$38,"PM 10",'abrasion emissions'!$K$7:$K$38,"Road",'abrasion emissions'!$L$7:$L$38,"b")*POWER(('vehicles specifications'!$Q58/1000),(1/SUMIFS('abrasion emissions'!$M$7:$M$38,'abrasion emissions'!$I$7:$I$38,"PM 10",'abrasion emissions'!$K$7:$K$38,"Road",'abrasion emissions'!$L$7:$L$38,"c")))))/1000000+CT58</f>
        <v>7.4980851383390362E-4</v>
      </c>
      <c r="CV58" s="7" t="e">
        <f t="shared" si="13"/>
        <v>#N/A</v>
      </c>
      <c r="CW58" s="7" t="e">
        <f t="shared" si="14"/>
        <v>#N/A</v>
      </c>
    </row>
    <row r="59" spans="1:101" x14ac:dyDescent="0.2">
      <c r="A59" t="str">
        <f t="shared" si="1"/>
        <v>Moped, gasoline, &lt;4kW, EURO-3 - 2006 - CH</v>
      </c>
      <c r="B59" t="s">
        <v>354</v>
      </c>
      <c r="D59" s="18">
        <v>2006</v>
      </c>
      <c r="E59" t="s">
        <v>37</v>
      </c>
      <c r="F59" t="s">
        <v>139</v>
      </c>
      <c r="G59" t="s">
        <v>39</v>
      </c>
      <c r="H59" t="s">
        <v>35</v>
      </c>
      <c r="J59">
        <v>25000</v>
      </c>
      <c r="K59">
        <v>1570</v>
      </c>
      <c r="L59" s="2">
        <f t="shared" si="2"/>
        <v>15.923566878980891</v>
      </c>
      <c r="M59">
        <v>1</v>
      </c>
      <c r="N59">
        <v>75</v>
      </c>
      <c r="O59">
        <v>2</v>
      </c>
      <c r="P59" s="2">
        <f t="shared" ref="P59:P166" si="64">SUM(U59,V59,W59,AC59,AF59,AH59)</f>
        <v>65.098124999999996</v>
      </c>
      <c r="Q59" s="2">
        <f t="shared" si="3"/>
        <v>142.09812499999998</v>
      </c>
      <c r="R59">
        <v>2.5</v>
      </c>
      <c r="S59" s="2">
        <v>41.962499999999999</v>
      </c>
      <c r="T59" s="1">
        <v>-0.05</v>
      </c>
      <c r="U59" s="2">
        <f t="shared" si="4"/>
        <v>44.060625000000002</v>
      </c>
      <c r="V59">
        <v>15</v>
      </c>
      <c r="W59">
        <v>0</v>
      </c>
      <c r="X59" s="3">
        <v>0</v>
      </c>
      <c r="Y59" s="1">
        <v>0.8</v>
      </c>
      <c r="Z59" s="3">
        <f t="shared" si="5"/>
        <v>0</v>
      </c>
      <c r="AA59" s="3" t="str">
        <f>IF(I59&lt;&gt;"",X59/INDEX('energy battery'!$B$3:$D$6,MATCH('vehicles specifications'!$D59,'energy battery'!$A$3:$A$6,0),MATCH('vehicles specifications'!$I59,'energy battery'!$B$2:$D$2,0)),"")</f>
        <v/>
      </c>
      <c r="AB59" s="3" t="str">
        <f t="shared" si="6"/>
        <v/>
      </c>
      <c r="AC59" s="3" t="str">
        <f t="shared" si="7"/>
        <v/>
      </c>
      <c r="AD59" s="3">
        <v>0</v>
      </c>
      <c r="AE59" s="3">
        <v>7</v>
      </c>
      <c r="AF59">
        <f>AE59*'fuels and tailpipe emissions'!$B$3</f>
        <v>5.25</v>
      </c>
      <c r="AG59" s="2">
        <f>AF59*'fuels and tailpipe emissions'!$C$3</f>
        <v>62.125</v>
      </c>
      <c r="AH59" s="3">
        <f>0.15*AF59</f>
        <v>0.78749999999999998</v>
      </c>
      <c r="AI59">
        <v>0</v>
      </c>
      <c r="AJ59">
        <v>0</v>
      </c>
      <c r="AK59">
        <f>J59/25000</f>
        <v>1</v>
      </c>
      <c r="AL59">
        <f t="shared" ref="AL59:AL166" si="65">0.000537/1000*Q59</f>
        <v>7.6306693124999993E-5</v>
      </c>
      <c r="AM59">
        <v>1.2899999999999999E-3</v>
      </c>
      <c r="AN59" s="2">
        <f t="shared" si="9"/>
        <v>44.060625000000002</v>
      </c>
      <c r="AO59" s="2">
        <f t="shared" si="10"/>
        <v>15</v>
      </c>
      <c r="AP59" s="2" t="str">
        <f t="shared" si="11"/>
        <v/>
      </c>
      <c r="AQ59" s="6">
        <v>0.83950213329410028</v>
      </c>
      <c r="AR59" s="20">
        <v>0</v>
      </c>
      <c r="AS59" s="6" t="str">
        <f>IF($H59="BEV",SUMPRODUCT(#REF!,#REF!),"")</f>
        <v/>
      </c>
      <c r="AT59" s="2">
        <f t="shared" si="12"/>
        <v>266.4078995516374</v>
      </c>
      <c r="AU59" s="5">
        <f>IF($H59="ICEV-p",$AQ59/('fuels and tailpipe emissions'!$C$3*3.6)*'fuels and tailpipe emissions'!$D$3,"")*(1-AR59)</f>
        <v>6.1878795740457154E-2</v>
      </c>
      <c r="AV59" s="5">
        <f>IF($H59="ICEV-p",$AQ59/('fuels and tailpipe emissions'!$C$3*3.6)*'fuels and tailpipe emissions'!$D$3,"")*AR59</f>
        <v>0</v>
      </c>
      <c r="AW59" s="7">
        <f>IF($H59="ICEV-p",$AQ59/('fuels and tailpipe emissions'!$C$3*3.6)*'fuels and tailpipe emissions'!$E$3,"")</f>
        <v>3.1530596555646953E-7</v>
      </c>
      <c r="AX59" s="7">
        <f>SUMIFS('fuels and tailpipe emissions'!$C$10:$C$126,'fuels and tailpipe emissions'!$A$10:$A$126,'vehicles specifications'!$F59,'fuels and tailpipe emissions'!$B$10:$B$126,'vehicles specifications'!AX$2)/1000*$AQ59</f>
        <v>1.0310040666120319E-4</v>
      </c>
      <c r="AY59" s="7">
        <f>SUMIFS('fuels and tailpipe emissions'!$C$10:$C$126,'fuels and tailpipe emissions'!$A$10:$A$126,'vehicles specifications'!$F59,'fuels and tailpipe emissions'!$B$10:$B$126,'vehicles specifications'!AY$2)/1000*$AQ59</f>
        <v>2.2338843798195468E-5</v>
      </c>
      <c r="AZ59" s="7">
        <f>SUMIFS('fuels and tailpipe emissions'!$C$10:$C$126,'fuels and tailpipe emissions'!$A$10:$A$126,'vehicles specifications'!$F59,'fuels and tailpipe emissions'!$B$10:$B$126,'vehicles specifications'!AZ$2)/1000*$AQ59</f>
        <v>3.277971259693117E-3</v>
      </c>
      <c r="BA59" s="7">
        <f>SUMIFS('fuels and tailpipe emissions'!$C$10:$C$126,'fuels and tailpipe emissions'!$A$10:$A$126,'vehicles specifications'!$F59,'fuels and tailpipe emissions'!$B$10:$B$126,'vehicles specifications'!BA$2)/1000*$AQ59</f>
        <v>1.1333761439977408E-6</v>
      </c>
      <c r="BB59" s="7">
        <f>SUMIFS('fuels and tailpipe emissions'!$C$10:$C$126,'fuels and tailpipe emissions'!$A$10:$A$126,'vehicles specifications'!$F59,'fuels and tailpipe emissions'!$B$10:$B$126,'vehicles specifications'!BB$2)/1000*$AQ59</f>
        <v>1.1333761439977408E-6</v>
      </c>
      <c r="BC59" s="7">
        <f>SUMIFS('fuels and tailpipe emissions'!$C$10:$C$126,'fuels and tailpipe emissions'!$A$10:$A$126,'vehicles specifications'!$F59,'fuels and tailpipe emissions'!$B$10:$B$126,'vehicles specifications'!BC$2)/1000*$AQ59</f>
        <v>3.7393687755796559E-4</v>
      </c>
      <c r="BD59" s="7">
        <f>SUMIFS('fuels and tailpipe emissions'!$C$10:$C$126,'fuels and tailpipe emissions'!$A$10:$A$126,'vehicles specifications'!$F59,'fuels and tailpipe emissions'!$B$10:$B$126,'vehicles specifications'!BD$2)/1000*$AQ59</f>
        <v>1.1713745554585587E-5</v>
      </c>
      <c r="BE59" s="7">
        <f>SUMIFS('fuels and tailpipe emissions'!$C$10:$C$126,'fuels and tailpipe emissions'!$A$10:$A$126,'vehicles specifications'!$F59,'fuels and tailpipe emissions'!$B$10:$B$126,'vehicles specifications'!BE$2)/1000*$AQ59</f>
        <v>8.3141932216628021E-4</v>
      </c>
      <c r="BF59" s="7">
        <f>SUMIFS('fuels and tailpipe emissions'!$C$10:$C$126,'fuels and tailpipe emissions'!$A$10:$A$126,'vehicles specifications'!$F59,'fuels and tailpipe emissions'!$B$10:$B$126,'vehicles specifications'!BF$2)/1000*$AQ59</f>
        <v>5.8625721434801813E-5</v>
      </c>
      <c r="BG59" s="7">
        <f>SUMIFS('fuels and tailpipe emissions'!$C$10:$C$126,'fuels and tailpipe emissions'!$A$10:$A$126,'vehicles specifications'!$F59,'fuels and tailpipe emissions'!$B$10:$B$126,'vehicles specifications'!BG$2)/1000*$AQ59</f>
        <v>1.1945679916182187E-5</v>
      </c>
      <c r="BH59" s="7">
        <f>SUMIFS('fuels and tailpipe emissions'!$C$10:$C$126,'fuels and tailpipe emissions'!$A$10:$A$126,'vehicles specifications'!$F59,'fuels and tailpipe emissions'!$B$10:$B$126,'vehicles specifications'!BH$2)/1000*$AQ59</f>
        <v>9.6300558093530248E-5</v>
      </c>
      <c r="BI59" s="7">
        <f>SUMIFS('fuels and tailpipe emissions'!$C$10:$C$126,'fuels and tailpipe emissions'!$A$10:$A$126,'vehicles specifications'!$F59,'fuels and tailpipe emissions'!$B$10:$B$126,'vehicles specifications'!BI$2)/1000*$AQ59</f>
        <v>3.9512633568910311E-5</v>
      </c>
      <c r="BJ59" s="7">
        <f>SUMIFS('fuels and tailpipe emissions'!$C$10:$C$126,'fuels and tailpipe emissions'!$A$10:$A$126,'vehicles specifications'!$F59,'fuels and tailpipe emissions'!$B$10:$B$126,'vehicles specifications'!BJ$2)/1000*$AQ59</f>
        <v>2.9588530253928191E-5</v>
      </c>
      <c r="BK59" s="7">
        <f>SUMIFS('fuels and tailpipe emissions'!$C$10:$C$126,'fuels and tailpipe emissions'!$A$10:$A$126,'vehicles specifications'!$F59,'fuels and tailpipe emissions'!$B$10:$B$126,'vehicles specifications'!BK$2)/1000*$AQ59</f>
        <v>2.0950884776073375E-5</v>
      </c>
      <c r="BL59" s="7">
        <f>SUMIFS('fuels and tailpipe emissions'!$C$10:$C$126,'fuels and tailpipe emissions'!$A$10:$A$126,'vehicles specifications'!$F59,'fuels and tailpipe emissions'!$B$10:$B$126,'vehicles specifications'!BL$2)/1000*$AQ59</f>
        <v>1.3599697135345875E-5</v>
      </c>
      <c r="BM59" s="7">
        <f>SUMIFS('fuels and tailpipe emissions'!$C$10:$C$126,'fuels and tailpipe emissions'!$A$10:$A$126,'vehicles specifications'!$F59,'fuels and tailpipe emissions'!$B$10:$B$126,'vehicles specifications'!BM$2)/1000*$AQ59</f>
        <v>1.3415917444327687E-4</v>
      </c>
      <c r="BN59" s="7">
        <f>SUMIFS('fuels and tailpipe emissions'!$C$10:$C$126,'fuels and tailpipe emissions'!$A$10:$A$126,'vehicles specifications'!$F59,'fuels and tailpipe emissions'!$B$10:$B$126,'vehicles specifications'!BN$2)/1000*$AQ59</f>
        <v>7.0203841968947625E-5</v>
      </c>
      <c r="BO59" s="7">
        <f>SUMIFS('fuels and tailpipe emissions'!$C$10:$C$126,'fuels and tailpipe emissions'!$A$10:$A$126,'vehicles specifications'!$F59,'fuels and tailpipe emissions'!$B$10:$B$126,'vehicles specifications'!BO$2)/1000*$AQ59</f>
        <v>2.0215766012000624E-6</v>
      </c>
      <c r="BP59" s="7">
        <f>SUMIFS('fuels and tailpipe emissions'!$C$10:$C$126,'fuels and tailpipe emissions'!$A$10:$A$126,'vehicles specifications'!$F59,'fuels and tailpipe emissions'!$B$10:$B$126,'vehicles specifications'!BP$2)/1000*$AQ59</f>
        <v>1.0310040666120319E-4</v>
      </c>
      <c r="BQ59" s="7">
        <f>SUMIFS('fuels and tailpipe emissions'!$C$10:$C$126,'fuels and tailpipe emissions'!$A$10:$A$126,'vehicles specifications'!$F59,'fuels and tailpipe emissions'!$B$10:$B$126,'vehicles specifications'!BQ$2)/1000*$AQ59</f>
        <v>2.0179010073796986E-4</v>
      </c>
      <c r="BR59" s="7">
        <f>SUMIFS('fuels and tailpipe emissions'!$C$10:$C$126,'fuels and tailpipe emissions'!$A$10:$A$126,'vehicles specifications'!$F59,'fuels and tailpipe emissions'!$B$10:$B$126,'vehicles specifications'!BR$2)/1000*$AQ59</f>
        <v>9.9792372222875822E-5</v>
      </c>
      <c r="BS59" s="7">
        <f>SUMIFS('fuels and tailpipe emissions'!$C$10:$C$126,'fuels and tailpipe emissions'!$A$10:$A$126,'vehicles specifications'!$F59,'fuels and tailpipe emissions'!$B$10:$B$126,'vehicles specifications'!BS$2)/1000*$AQ59</f>
        <v>4.1534210170110372E-5</v>
      </c>
      <c r="BT59" s="7">
        <f>SUMIFS('fuels and tailpipe emissions'!$C$10:$C$126,'fuels and tailpipe emissions'!$A$10:$A$126,'vehicles specifications'!$F59,'fuels and tailpipe emissions'!$B$10:$B$126,'vehicles specifications'!BT$2)/1000*$AQ59</f>
        <v>3.1242547473091882E-5</v>
      </c>
      <c r="BU59" s="7">
        <f>SUMIFS('fuels and tailpipe emissions'!$C$10:$C$126,'fuels and tailpipe emissions'!$A$10:$A$126,'vehicles specifications'!$F59,'fuels and tailpipe emissions'!$B$10:$B$126,'vehicles specifications'!BU$2)/1000*$AQ59</f>
        <v>1.3783476826364063E-5</v>
      </c>
      <c r="BV59" s="7">
        <f>SUMIFS('fuels and tailpipe emissions'!$C$10:$C$126,'fuels and tailpipe emissions'!$A$10:$A$126,'vehicles specifications'!$F59,'fuels and tailpipe emissions'!$B$10:$B$126,'vehicles specifications'!BV$2)/1000*$AQ59</f>
        <v>4.0431532024001248E-6</v>
      </c>
      <c r="BW59" s="7">
        <f>SUMIFS('fuels and tailpipe emissions'!$C$10:$C$126,'fuels and tailpipe emissions'!$A$10:$A$126,'vehicles specifications'!$F59,'fuels and tailpipe emissions'!$B$10:$B$126,'vehicles specifications'!BW$2)/1000*$AQ59</f>
        <v>1.1210561152109439E-5</v>
      </c>
      <c r="BX59" s="7">
        <f>SUMIFS('fuels and tailpipe emissions'!$C$10:$C$126,'fuels and tailpipe emissions'!$A$10:$A$126,'vehicles specifications'!$F59,'fuels and tailpipe emissions'!$B$10:$B$126,'vehicles specifications'!BX$2)/1000*$AQ59</f>
        <v>9.1889845509093757E-7</v>
      </c>
      <c r="BY59" s="7">
        <f>SUMIFS('fuels and tailpipe emissions'!$C$10:$C$126,'fuels and tailpipe emissions'!$A$10:$A$126,'vehicles specifications'!$F59,'fuels and tailpipe emissions'!$B$10:$B$126,'vehicles specifications'!BY$2)/1000*$AQ59</f>
        <v>3.4918141293455624E-6</v>
      </c>
      <c r="BZ59" s="7">
        <f>SUMIFS('fuels and tailpipe emissions'!$C$10:$C$126,'fuels and tailpipe emissions'!$A$10:$A$126,'vehicles specifications'!$F59,'fuels and tailpipe emissions'!$B$10:$B$126,'vehicles specifications'!BZ$2)/1000*$AQ59</f>
        <v>1.8561748792836937E-5</v>
      </c>
      <c r="CA59" s="7">
        <f>SUMIFS('fuels and tailpipe emissions'!$C$10:$C$126,'fuels and tailpipe emissions'!$A$10:$A$126,'vehicles specifications'!$F59,'fuels and tailpipe emissions'!$B$10:$B$126,'vehicles specifications'!CA$2)/1000*$AQ59</f>
        <v>6.8740409973258097E-10</v>
      </c>
      <c r="CB59" s="7">
        <f>SUMIFS('fuels and tailpipe emissions'!$C$10:$C$126,'fuels and tailpipe emissions'!$A$10:$A$126,'vehicles specifications'!$F59,'fuels and tailpipe emissions'!$B$10:$B$126,'vehicles specifications'!CB$2)/1000*$AQ59</f>
        <v>5.9258974114877665E-12</v>
      </c>
      <c r="CC59" s="7">
        <f>SUMIFS('fuels and tailpipe emissions'!$C$10:$C$126,'fuels and tailpipe emissions'!$A$10:$A$126,'vehicles specifications'!$F59,'fuels and tailpipe emissions'!$B$10:$B$126,'vehicles specifications'!CC$2)/1000*$AQ59</f>
        <v>3.9505982743251777E-12</v>
      </c>
      <c r="CD59" s="7">
        <f>SUMIFS('fuels and tailpipe emissions'!$C$10:$C$126,'fuels and tailpipe emissions'!$A$10:$A$126,'vehicles specifications'!$F59,'fuels and tailpipe emissions'!$B$10:$B$126,'vehicles specifications'!CD$2)/1000*$AQ59</f>
        <v>4.2666461362711927E-8</v>
      </c>
      <c r="CE59" s="7">
        <f>SUMIFS('fuels and tailpipe emissions'!$C$10:$C$126,'fuels and tailpipe emissions'!$A$10:$A$126,'vehicles specifications'!$F59,'fuels and tailpipe emissions'!$B$10:$B$126,'vehicles specifications'!CE$2)/1000*$AQ59</f>
        <v>8.2962563760828726E-10</v>
      </c>
      <c r="CF59" s="7">
        <f>SUMIFS('fuels and tailpipe emissions'!$C$10:$C$126,'fuels and tailpipe emissions'!$A$10:$A$126,'vehicles specifications'!$F59,'fuels and tailpipe emissions'!$B$10:$B$126,'vehicles specifications'!CF$2)/1000*$AQ59</f>
        <v>2.5678888783113659E-10</v>
      </c>
      <c r="CG59" s="7">
        <f>SUMIFS('fuels and tailpipe emissions'!$C$10:$C$126,'fuels and tailpipe emissions'!$A$10:$A$126,'vehicles specifications'!$F59,'fuels and tailpipe emissions'!$B$10:$B$126,'vehicles specifications'!CG$2)/1000*$AQ59</f>
        <v>3.1604786194601424E-10</v>
      </c>
      <c r="CH59" s="7">
        <f>SUMIFS('fuels and tailpipe emissions'!$C$10:$C$126,'fuels and tailpipe emissions'!$A$10:$A$126,'vehicles specifications'!$F59,'fuels and tailpipe emissions'!$B$10:$B$126,'vehicles specifications'!CH$2)/1000*$AQ59</f>
        <v>6.3209572389202838E-13</v>
      </c>
      <c r="CI59" s="7">
        <f>SUMIFS('fuels and tailpipe emissions'!$C$10:$C$126,'fuels and tailpipe emissions'!$A$10:$A$126,'vehicles specifications'!$F59,'fuels and tailpipe emissions'!$B$10:$B$126,'vehicles specifications'!CI$2)/1000*$AQ59</f>
        <v>1.7185102493314524E-10</v>
      </c>
      <c r="CJ59" s="7">
        <f>SUMIFS('fuels and tailpipe emissions'!$C$10:$C$126,'fuels and tailpipe emissions'!$A$10:$A$126,'vehicles specifications'!$F59,'fuels and tailpipe emissions'!$B$10:$B$126,'vehicles specifications'!CJ$2)/1000*$AQ59</f>
        <v>2.1333230681355966E-10</v>
      </c>
      <c r="CK59" s="38">
        <f>VLOOKUP($B59,'abrasion emissions'!$O$7:$R$36,2,FALSE)</f>
        <v>0.5</v>
      </c>
      <c r="CL59" s="38">
        <f>VLOOKUP($B59,'abrasion emissions'!$O$7:$R$36,3,FALSE)</f>
        <v>0.5</v>
      </c>
      <c r="CM59" s="38">
        <f>VLOOKUP($B59,'abrasion emissions'!$O$7:$R$36,4,FALSE)</f>
        <v>0</v>
      </c>
      <c r="CN59" s="7">
        <f>((SUMIFS('abrasion emissions'!$M$7:$M$34,'abrasion emissions'!$I$7:$I$34,"PM 2.5",'abrasion emissions'!$J$7:$J$34,"urban",'abrasion emissions'!$K$7:$K$34,"Tyre",'abrasion emissions'!$L$7:$L$34,"b")*POWER(('vehicles specifications'!$Q59/1000),(1/SUMIFS('abrasion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specifications'!$P59/1000),(1/SUMIFS('abrasion emissions'!$M$7:$M$34,'abrasion emissions'!$I$7:$I$34,"PM 10",'abrasion emissions'!$J$7:$J$34,"urban",'abrasion emissions'!$K$7:$K$34,"Tyre",'abrasion emissions'!$L$7:$L$34,"c")))))/1000000</f>
        <v>5.2789719644806837E-6</v>
      </c>
      <c r="CO59" s="7">
        <f>((SUMIFS('abrasion emissions'!$M$7:$M$34,'abrasion emissions'!$I$7:$I$34,"PM 2.5",'abrasion emissions'!$J$7:$J$34,"rural",'abrasion emissions'!$K$7:$K$34,"Tyre",'abrasion emissions'!$L$7:$L$34,"b")*POWER(('vehicles specifications'!$Q59/1000),(1/SUMIFS('abrasion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specifications'!$P59/1000),(1/SUMIFS('abrasion emissions'!$M$7:$M$34,'abrasion emissions'!$I$7:$I$34,"PM 10",'abrasion emissions'!$J$7:$J$34,"rural",'abrasion emissions'!$K$7:$K$34,"Tyre",'abrasion emissions'!$L$7:$L$34,"c")))))/1000000</f>
        <v>4.1119929442236188E-6</v>
      </c>
      <c r="CP59" s="7">
        <f>((SUMIFS('abrasion emissions'!$M$7:$M$34,'abrasion emissions'!$I$7:$I$34,"PM 2.5",'abrasion emissions'!$J$7:$J$34,"motorway",'abrasion emissions'!$K$7:$K$34,"Tyre",'abrasion emissions'!$L$7:$L$34,"b")*POWER(('vehicles specifications'!$Q59/1000),(1/SUMIFS('abrasion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specifications'!$P59/1000),(1/SUMIFS('abrasion emissions'!$M$7:$M$34,'abrasion emissions'!$I$7:$I$34,"PM 10",'abrasion emissions'!$J$7:$J$34,"motorway",'abrasion emissions'!$K$7:$K$34,"Tyre",'abrasion emissions'!$L$7:$L$34,"c")))))/1000000</f>
        <v>3.5132583363581064E-6</v>
      </c>
      <c r="CQ59" s="7">
        <f>((SUMIFS('abrasion emissions'!$M$7:$M$34,'abrasion emissions'!$I$7:$I$34,"PM 2.5",'abrasion emissions'!$J$7:$J$34,"urban",'abrasion emissions'!$K$7:$K$34,"Brake",'abrasion emissions'!$L$7:$L$34,"b")*POWER(('vehicles specifications'!$Q59/1000),(1/SUMIFS('abrasion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specifications'!$P59/1000),(1/SUMIFS('abrasion emissions'!$M$7:$M$34,'abrasion emissions'!$I$7:$I$34,"PM 10",'abrasion emissions'!$J$7:$J$34,"urban",'abrasion emissions'!$K$7:$K$34,"Brake",'abrasion emissions'!$L$7:$L$34,"c")))))/1000000</f>
        <v>4.9362726417290589E-6</v>
      </c>
      <c r="CR59" s="7">
        <f>((SUMIFS('abrasion emissions'!$M$7:$M$34,'abrasion emissions'!$I$7:$I$34,"PM 2.5",'abrasion emissions'!$J$7:$J$34,"rural",'abrasion emissions'!$K$7:$K$34,"Brake",'abrasion emissions'!$L$7:$L$34,"b")*POWER(('vehicles specifications'!$Q59/1000),(1/SUMIFS('abrasion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specifications'!$P59/1000),(1/SUMIFS('abrasion emissions'!$M$7:$M$34,'abrasion emissions'!$I$7:$I$34,"PM 10",'abrasion emissions'!$J$7:$J$34,"rural",'abrasion emissions'!$K$7:$K$34,"Brake",'abrasion emissions'!$L$7:$L$34,"c")))))/1000000</f>
        <v>1.5166667867339179E-6</v>
      </c>
      <c r="CS59" s="7">
        <f>((SUMIFS('abrasion emissions'!$M$7:$M$34,'abrasion emissions'!$I$7:$I$34,"PM 2.5",'abrasion emissions'!$J$7:$J$34,"motorway",'abrasion emissions'!$K$7:$K$34,"Brake",'abrasion emissions'!$L$7:$L$34,"b")*POWER(('vehicles specifications'!$Q59/1000),(1/SUMIFS('abrasion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specifications'!$P59/1000),(1/SUMIFS('abrasion emissions'!$M$7:$M$34,'abrasion emissions'!$I$7:$I$34,"PM 10",'abrasion emissions'!$J$7:$J$34,"motorway",'abrasion emissions'!$K$7:$K$34,"Brake",'abrasion emissions'!$L$7:$L$34,"c")))))/1000000</f>
        <v>2.7183042520566158E-7</v>
      </c>
      <c r="CT59" s="7">
        <f>((SUMIFS('abrasion emissions'!$M$7:$M$38,'abrasion emissions'!$I$7:$I$38,"PM 2.5",'abrasion emissions'!$K$7:$K$38,"Re-susp.",'abrasion emissions'!$L$7:$L$38,"b")*POWER(('vehicles specifications'!$Q59/1000),(1/SUMIFS('abrasion emissions'!$M$7:$M$38,'abrasion emissions'!$I$7:$I$38,"PM 2.5",'abrasion emissions'!$K$7:$K$38,"Re-susp.",'abrasion emissions'!$L$7:$L$38,"c"))))+
(SUMIFS('abrasion emissions'!$M$7:$M$38,'abrasion emissions'!$I$7:$I$38,"PM 10",'abrasion emissions'!$K$7:$K$38,"Re-susp.",'abrasion emissions'!$L$7:$L$38,"b")*POWER(('vehicles specifications'!$Q59/1000),(1/SUMIFS('abrasion emissions'!$M$7:$M$38,'abrasion emissions'!$I$7:$I$38,"PM 10",'abrasion emissions'!$K$7:$K$38,"Re-susp.",'abrasion emissions'!$L$7:$L$38,"c")))))/1000000</f>
        <v>2.7827206985141324E-6</v>
      </c>
      <c r="CU59" s="7">
        <f>((SUMIFS('abrasion emissions'!$M$7:$M$38,'abrasion emissions'!$I$7:$I$38,"PM 2.5",'abrasion emissions'!$K$7:$K$38,"Road",'abrasion emissions'!$L$7:$L$38,"b")*POWER(('vehicles specifications'!$Q59/1000),(1/SUMIFS('abrasion emissions'!$M$7:$M$38,'abrasion emissions'!$I$7:$I$38,"PM 2.5",'abrasion emissions'!$K$7:$K$38,"Road",'abrasion emissions'!$L$7:$L$38,"c"))))+
(SUMIFS('abrasion emissions'!$M$7:$M$38,'abrasion emissions'!$I$7:$I$38,"PM 10",'abrasion emissions'!$K$7:$K$38,"Road",'abrasion emissions'!$L$7:$L$38,"b")*POWER(('vehicles specifications'!$Q59/1000),(1/SUMIFS('abrasion emissions'!$M$7:$M$38,'abrasion emissions'!$I$7:$I$38,"PM 10",'abrasion emissions'!$K$7:$K$38,"Road",'abrasion emissions'!$L$7:$L$38,"c")))))/1000000+CT59</f>
        <v>5.5602526913109987E-6</v>
      </c>
      <c r="CV59" s="7">
        <f t="shared" si="13"/>
        <v>4.6954824543521508E-6</v>
      </c>
      <c r="CW59" s="7">
        <f t="shared" si="14"/>
        <v>3.2264697142314886E-6</v>
      </c>
    </row>
    <row r="60" spans="1:101" x14ac:dyDescent="0.2">
      <c r="A60" t="str">
        <f t="shared" si="1"/>
        <v>Moped, gasoline, &lt;4kW, EURO-4 - 2016 - CH</v>
      </c>
      <c r="B60" t="s">
        <v>355</v>
      </c>
      <c r="D60" s="18">
        <v>2016</v>
      </c>
      <c r="E60" t="s">
        <v>37</v>
      </c>
      <c r="F60" t="s">
        <v>140</v>
      </c>
      <c r="G60" t="s">
        <v>39</v>
      </c>
      <c r="H60" t="s">
        <v>35</v>
      </c>
      <c r="J60">
        <v>25000</v>
      </c>
      <c r="K60">
        <v>1570</v>
      </c>
      <c r="L60" s="2">
        <f t="shared" si="2"/>
        <v>15.923566878980891</v>
      </c>
      <c r="M60">
        <v>1</v>
      </c>
      <c r="N60">
        <v>75</v>
      </c>
      <c r="O60">
        <v>2</v>
      </c>
      <c r="P60" s="2">
        <f t="shared" si="64"/>
        <v>63.83925</v>
      </c>
      <c r="Q60" s="2">
        <f t="shared" si="3"/>
        <v>140.83924999999999</v>
      </c>
      <c r="R60">
        <v>2.5</v>
      </c>
      <c r="S60" s="2">
        <v>41.962499999999999</v>
      </c>
      <c r="T60" s="1">
        <v>-0.02</v>
      </c>
      <c r="U60" s="2">
        <f t="shared" si="4"/>
        <v>42.801749999999998</v>
      </c>
      <c r="V60">
        <v>15</v>
      </c>
      <c r="W60">
        <v>0</v>
      </c>
      <c r="X60" s="3">
        <v>0</v>
      </c>
      <c r="Y60" s="1">
        <v>0.8</v>
      </c>
      <c r="Z60" s="3">
        <f t="shared" si="5"/>
        <v>0</v>
      </c>
      <c r="AA60" s="3" t="str">
        <f>IF(I60&lt;&gt;"",X60/INDEX('energy battery'!$B$3:$D$6,MATCH('vehicles specifications'!$D60,'energy battery'!$A$3:$A$6,0),MATCH('vehicles specifications'!$I60,'energy battery'!$B$2:$D$2,0)),"")</f>
        <v/>
      </c>
      <c r="AB60" s="3" t="str">
        <f t="shared" si="6"/>
        <v/>
      </c>
      <c r="AC60" s="3" t="str">
        <f t="shared" si="7"/>
        <v/>
      </c>
      <c r="AD60" s="3">
        <v>0</v>
      </c>
      <c r="AE60" s="3">
        <v>7</v>
      </c>
      <c r="AF60">
        <f>AE60*'fuels and tailpipe emissions'!$B$3</f>
        <v>5.25</v>
      </c>
      <c r="AG60" s="2">
        <f>AF60*'fuels and tailpipe emissions'!$C$3</f>
        <v>62.125</v>
      </c>
      <c r="AH60" s="3">
        <f t="shared" ref="AH60:AH76" si="66">0.15*AF60</f>
        <v>0.78749999999999998</v>
      </c>
      <c r="AI60">
        <v>0</v>
      </c>
      <c r="AJ60">
        <v>0</v>
      </c>
      <c r="AK60">
        <f t="shared" ref="AK60:AK123" si="67">J60/25000</f>
        <v>1</v>
      </c>
      <c r="AL60">
        <f t="shared" si="65"/>
        <v>7.5630677249999997E-5</v>
      </c>
      <c r="AM60">
        <v>1.2899999999999999E-3</v>
      </c>
      <c r="AN60" s="2">
        <f t="shared" si="9"/>
        <v>42.801749999999998</v>
      </c>
      <c r="AO60" s="2">
        <f t="shared" si="10"/>
        <v>15</v>
      </c>
      <c r="AP60" s="2" t="str">
        <f t="shared" si="11"/>
        <v/>
      </c>
      <c r="AQ60" s="6">
        <v>0.83119023098425771</v>
      </c>
      <c r="AR60" s="20">
        <v>0</v>
      </c>
      <c r="AS60" s="6" t="str">
        <f>IF($H60="BEV",SUMPRODUCT(#REF!,#REF!),"")</f>
        <v/>
      </c>
      <c r="AT60" s="2">
        <f t="shared" si="12"/>
        <v>269.07197854715383</v>
      </c>
      <c r="AU60" s="5">
        <f>IF($H60="ICEV-p",$AQ60/('fuels and tailpipe emissions'!$C$3*3.6)*'fuels and tailpipe emissions'!$D$3,"")*(1-AR60)</f>
        <v>6.1266134396492228E-2</v>
      </c>
      <c r="AV60" s="5">
        <f>IF($H60="ICEV-p",$AQ60/('fuels and tailpipe emissions'!$C$3*3.6)*'fuels and tailpipe emissions'!$D$3,"")*AR60</f>
        <v>0</v>
      </c>
      <c r="AW60" s="7">
        <f>IF($H60="ICEV-p",$AQ60/('fuels and tailpipe emissions'!$C$3*3.6)*'fuels and tailpipe emissions'!$E$3,"")</f>
        <v>3.1218412431333619E-7</v>
      </c>
      <c r="AX60" s="7">
        <f>SUMIFS('fuels and tailpipe emissions'!$C$10:$C$126,'fuels and tailpipe emissions'!$A$10:$A$126,'vehicles specifications'!$F60,'fuels and tailpipe emissions'!$B$10:$B$126,'vehicles specifications'!AX$2)/1000*$AQ60</f>
        <v>5.0538174149900782E-5</v>
      </c>
      <c r="AY60" s="7">
        <f>SUMIFS('fuels and tailpipe emissions'!$C$10:$C$126,'fuels and tailpipe emissions'!$A$10:$A$126,'vehicles specifications'!$F60,'fuels and tailpipe emissions'!$B$10:$B$126,'vehicles specifications'!AY$2)/1000*$AQ60</f>
        <v>2.2915507072459244E-5</v>
      </c>
      <c r="AZ60" s="7">
        <f>SUMIFS('fuels and tailpipe emissions'!$C$10:$C$126,'fuels and tailpipe emissions'!$A$10:$A$126,'vehicles specifications'!$F60,'fuels and tailpipe emissions'!$B$10:$B$126,'vehicles specifications'!AZ$2)/1000*$AQ60</f>
        <v>2.4230819782310601E-3</v>
      </c>
      <c r="BA60" s="7">
        <f>SUMIFS('fuels and tailpipe emissions'!$C$10:$C$126,'fuels and tailpipe emissions'!$A$10:$A$126,'vehicles specifications'!$F60,'fuels and tailpipe emissions'!$B$10:$B$126,'vehicles specifications'!BA$2)/1000*$AQ60</f>
        <v>1.1626335399522705E-6</v>
      </c>
      <c r="BB60" s="7">
        <f>SUMIFS('fuels and tailpipe emissions'!$C$10:$C$126,'fuels and tailpipe emissions'!$A$10:$A$126,'vehicles specifications'!$F60,'fuels and tailpipe emissions'!$B$10:$B$126,'vehicles specifications'!BB$2)/1000*$AQ60</f>
        <v>1.1626335399522705E-6</v>
      </c>
      <c r="BC60" s="7">
        <f>SUMIFS('fuels and tailpipe emissions'!$C$10:$C$126,'fuels and tailpipe emissions'!$A$10:$A$126,'vehicles specifications'!$F60,'fuels and tailpipe emissions'!$B$10:$B$126,'vehicles specifications'!BC$2)/1000*$AQ60</f>
        <v>8.7186713305431907E-5</v>
      </c>
      <c r="BD60" s="7">
        <f>SUMIFS('fuels and tailpipe emissions'!$C$10:$C$126,'fuels and tailpipe emissions'!$A$10:$A$126,'vehicles specifications'!$F60,'fuels and tailpipe emissions'!$B$10:$B$126,'vehicles specifications'!BD$2)/1000*$AQ60</f>
        <v>6.6770044199458891E-6</v>
      </c>
      <c r="BE60" s="7">
        <f>SUMIFS('fuels and tailpipe emissions'!$C$10:$C$126,'fuels and tailpipe emissions'!$A$10:$A$126,'vehicles specifications'!$F60,'fuels and tailpipe emissions'!$B$10:$B$126,'vehicles specifications'!BE$2)/1000*$AQ60</f>
        <v>4.0754848458850478E-4</v>
      </c>
      <c r="BF60" s="7">
        <f>SUMIFS('fuels and tailpipe emissions'!$C$10:$C$126,'fuels and tailpipe emissions'!$A$10:$A$126,'vehicles specifications'!$F60,'fuels and tailpipe emissions'!$B$10:$B$126,'vehicles specifications'!BF$2)/1000*$AQ60</f>
        <v>2.873739314406123E-5</v>
      </c>
      <c r="BG60" s="7">
        <f>SUMIFS('fuels and tailpipe emissions'!$C$10:$C$126,'fuels and tailpipe emissions'!$A$10:$A$126,'vehicles specifications'!$F60,'fuels and tailpipe emissions'!$B$10:$B$126,'vehicles specifications'!BG$2)/1000*$AQ60</f>
        <v>5.8555816751221947E-6</v>
      </c>
      <c r="BH60" s="7">
        <f>SUMIFS('fuels and tailpipe emissions'!$C$10:$C$126,'fuels and tailpipe emissions'!$A$10:$A$126,'vehicles specifications'!$F60,'fuels and tailpipe emissions'!$B$10:$B$126,'vehicles specifications'!BH$2)/1000*$AQ60</f>
        <v>4.7204996888677385E-5</v>
      </c>
      <c r="BI60" s="7">
        <f>SUMIFS('fuels and tailpipe emissions'!$C$10:$C$126,'fuels and tailpipe emissions'!$A$10:$A$126,'vehicles specifications'!$F60,'fuels and tailpipe emissions'!$B$10:$B$126,'vehicles specifications'!BI$2)/1000*$AQ60</f>
        <v>1.936846246386572E-5</v>
      </c>
      <c r="BJ60" s="7">
        <f>SUMIFS('fuels and tailpipe emissions'!$C$10:$C$126,'fuels and tailpipe emissions'!$A$10:$A$126,'vehicles specifications'!$F60,'fuels and tailpipe emissions'!$B$10:$B$126,'vehicles specifications'!BJ$2)/1000*$AQ60</f>
        <v>1.4503825379918051E-5</v>
      </c>
      <c r="BK60" s="7">
        <f>SUMIFS('fuels and tailpipe emissions'!$C$10:$C$126,'fuels and tailpipe emissions'!$A$10:$A$126,'vehicles specifications'!$F60,'fuels and tailpipe emissions'!$B$10:$B$126,'vehicles specifications'!BK$2)/1000*$AQ60</f>
        <v>1.0269789399445079E-5</v>
      </c>
      <c r="BL60" s="7">
        <f>SUMIFS('fuels and tailpipe emissions'!$C$10:$C$126,'fuels and tailpipe emissions'!$A$10:$A$126,'vehicles specifications'!$F60,'fuels and tailpipe emissions'!$B$10:$B$126,'vehicles specifications'!BL$2)/1000*$AQ60</f>
        <v>6.6663545224468059E-6</v>
      </c>
      <c r="BM60" s="7">
        <f>SUMIFS('fuels and tailpipe emissions'!$C$10:$C$126,'fuels and tailpipe emissions'!$A$10:$A$126,'vehicles specifications'!$F60,'fuels and tailpipe emissions'!$B$10:$B$126,'vehicles specifications'!BM$2)/1000*$AQ60</f>
        <v>6.5762686505218488E-5</v>
      </c>
      <c r="BN60" s="7">
        <f>SUMIFS('fuels and tailpipe emissions'!$C$10:$C$126,'fuels and tailpipe emissions'!$A$10:$A$126,'vehicles specifications'!$F60,'fuels and tailpipe emissions'!$B$10:$B$126,'vehicles specifications'!BN$2)/1000*$AQ60</f>
        <v>3.441280307533351E-5</v>
      </c>
      <c r="BO60" s="7">
        <f>SUMIFS('fuels and tailpipe emissions'!$C$10:$C$126,'fuels and tailpipe emissions'!$A$10:$A$126,'vehicles specifications'!$F60,'fuels and tailpipe emissions'!$B$10:$B$126,'vehicles specifications'!BO$2)/1000*$AQ60</f>
        <v>9.9094459117452519E-7</v>
      </c>
      <c r="BP60" s="7">
        <f>SUMIFS('fuels and tailpipe emissions'!$C$10:$C$126,'fuels and tailpipe emissions'!$A$10:$A$126,'vehicles specifications'!$F60,'fuels and tailpipe emissions'!$B$10:$B$126,'vehicles specifications'!BP$2)/1000*$AQ60</f>
        <v>5.0538174149900782E-5</v>
      </c>
      <c r="BQ60" s="7">
        <f>SUMIFS('fuels and tailpipe emissions'!$C$10:$C$126,'fuels and tailpipe emissions'!$A$10:$A$126,'vehicles specifications'!$F60,'fuels and tailpipe emissions'!$B$10:$B$126,'vehicles specifications'!BQ$2)/1000*$AQ60</f>
        <v>9.8914287373602611E-5</v>
      </c>
      <c r="BR60" s="7">
        <f>SUMIFS('fuels and tailpipe emissions'!$C$10:$C$126,'fuels and tailpipe emissions'!$A$10:$A$126,'vehicles specifications'!$F60,'fuels and tailpipe emissions'!$B$10:$B$126,'vehicles specifications'!BR$2)/1000*$AQ60</f>
        <v>4.8916628455251568E-5</v>
      </c>
      <c r="BS60" s="7">
        <f>SUMIFS('fuels and tailpipe emissions'!$C$10:$C$126,'fuels and tailpipe emissions'!$A$10:$A$126,'vehicles specifications'!$F60,'fuels and tailpipe emissions'!$B$10:$B$126,'vehicles specifications'!BS$2)/1000*$AQ60</f>
        <v>2.0359407055040244E-5</v>
      </c>
      <c r="BT60" s="7">
        <f>SUMIFS('fuels and tailpipe emissions'!$C$10:$C$126,'fuels and tailpipe emissions'!$A$10:$A$126,'vehicles specifications'!$F60,'fuels and tailpipe emissions'!$B$10:$B$126,'vehicles specifications'!BT$2)/1000*$AQ60</f>
        <v>1.5314598227242665E-5</v>
      </c>
      <c r="BU60" s="7">
        <f>SUMIFS('fuels and tailpipe emissions'!$C$10:$C$126,'fuels and tailpipe emissions'!$A$10:$A$126,'vehicles specifications'!$F60,'fuels and tailpipe emissions'!$B$10:$B$126,'vehicles specifications'!BU$2)/1000*$AQ60</f>
        <v>6.7564403943717619E-6</v>
      </c>
      <c r="BV60" s="7">
        <f>SUMIFS('fuels and tailpipe emissions'!$C$10:$C$126,'fuels and tailpipe emissions'!$A$10:$A$126,'vehicles specifications'!$F60,'fuels and tailpipe emissions'!$B$10:$B$126,'vehicles specifications'!BV$2)/1000*$AQ60</f>
        <v>1.9818891823490504E-6</v>
      </c>
      <c r="BW60" s="7">
        <f>SUMIFS('fuels and tailpipe emissions'!$C$10:$C$126,'fuels and tailpipe emissions'!$A$10:$A$126,'vehicles specifications'!$F60,'fuels and tailpipe emissions'!$B$10:$B$126,'vehicles specifications'!BW$2)/1000*$AQ60</f>
        <v>5.495238187422368E-6</v>
      </c>
      <c r="BX60" s="7">
        <f>SUMIFS('fuels and tailpipe emissions'!$C$10:$C$126,'fuels and tailpipe emissions'!$A$10:$A$126,'vehicles specifications'!$F60,'fuels and tailpipe emissions'!$B$10:$B$126,'vehicles specifications'!BX$2)/1000*$AQ60</f>
        <v>0</v>
      </c>
      <c r="BY60" s="7">
        <f>SUMIFS('fuels and tailpipe emissions'!$C$10:$C$126,'fuels and tailpipe emissions'!$A$10:$A$126,'vehicles specifications'!$F60,'fuels and tailpipe emissions'!$B$10:$B$126,'vehicles specifications'!BY$2)/1000*$AQ60</f>
        <v>1.7116315665741799E-6</v>
      </c>
      <c r="BZ60" s="7">
        <f>SUMIFS('fuels and tailpipe emissions'!$C$10:$C$126,'fuels and tailpipe emissions'!$A$10:$A$126,'vehicles specifications'!$F60,'fuels and tailpipe emissions'!$B$10:$B$126,'vehicles specifications'!BZ$2)/1000*$AQ60</f>
        <v>9.0986730644206395E-6</v>
      </c>
      <c r="CA60" s="7">
        <f>SUMIFS('fuels and tailpipe emissions'!$C$10:$C$126,'fuels and tailpipe emissions'!$A$10:$A$126,'vehicles specifications'!$F60,'fuels and tailpipe emissions'!$B$10:$B$126,'vehicles specifications'!CA$2)/1000*$AQ60</f>
        <v>6.8059811854710989E-10</v>
      </c>
      <c r="CB60" s="7">
        <f>SUMIFS('fuels and tailpipe emissions'!$C$10:$C$126,'fuels and tailpipe emissions'!$A$10:$A$126,'vehicles specifications'!$F60,'fuels and tailpipe emissions'!$B$10:$B$126,'vehicles specifications'!CB$2)/1000*$AQ60</f>
        <v>5.8672251598888778E-12</v>
      </c>
      <c r="CC60" s="7">
        <f>SUMIFS('fuels and tailpipe emissions'!$C$10:$C$126,'fuels and tailpipe emissions'!$A$10:$A$126,'vehicles specifications'!$F60,'fuels and tailpipe emissions'!$B$10:$B$126,'vehicles specifications'!CC$2)/1000*$AQ60</f>
        <v>3.9114834399259186E-12</v>
      </c>
      <c r="CD60" s="7">
        <f>SUMIFS('fuels and tailpipe emissions'!$C$10:$C$126,'fuels and tailpipe emissions'!$A$10:$A$126,'vehicles specifications'!$F60,'fuels and tailpipe emissions'!$B$10:$B$126,'vehicles specifications'!CD$2)/1000*$AQ60</f>
        <v>4.2244021151199922E-8</v>
      </c>
      <c r="CE60" s="7">
        <f>SUMIFS('fuels and tailpipe emissions'!$C$10:$C$126,'fuels and tailpipe emissions'!$A$10:$A$126,'vehicles specifications'!$F60,'fuels and tailpipe emissions'!$B$10:$B$126,'vehicles specifications'!CE$2)/1000*$AQ60</f>
        <v>8.2141152238444284E-10</v>
      </c>
      <c r="CF60" s="7">
        <f>SUMIFS('fuels and tailpipe emissions'!$C$10:$C$126,'fuels and tailpipe emissions'!$A$10:$A$126,'vehicles specifications'!$F60,'fuels and tailpipe emissions'!$B$10:$B$126,'vehicles specifications'!CF$2)/1000*$AQ60</f>
        <v>2.5424642359518471E-10</v>
      </c>
      <c r="CG60" s="7">
        <f>SUMIFS('fuels and tailpipe emissions'!$C$10:$C$126,'fuels and tailpipe emissions'!$A$10:$A$126,'vehicles specifications'!$F60,'fuels and tailpipe emissions'!$B$10:$B$126,'vehicles specifications'!CG$2)/1000*$AQ60</f>
        <v>3.1291867519407351E-10</v>
      </c>
      <c r="CH60" s="7">
        <f>SUMIFS('fuels and tailpipe emissions'!$C$10:$C$126,'fuels and tailpipe emissions'!$A$10:$A$126,'vehicles specifications'!$F60,'fuels and tailpipe emissions'!$B$10:$B$126,'vehicles specifications'!CH$2)/1000*$AQ60</f>
        <v>6.258373503881469E-13</v>
      </c>
      <c r="CI60" s="7">
        <f>SUMIFS('fuels and tailpipe emissions'!$C$10:$C$126,'fuels and tailpipe emissions'!$A$10:$A$126,'vehicles specifications'!$F60,'fuels and tailpipe emissions'!$B$10:$B$126,'vehicles specifications'!CI$2)/1000*$AQ60</f>
        <v>1.7014952963677747E-10</v>
      </c>
      <c r="CJ60" s="7">
        <f>SUMIFS('fuels and tailpipe emissions'!$C$10:$C$126,'fuels and tailpipe emissions'!$A$10:$A$126,'vehicles specifications'!$F60,'fuels and tailpipe emissions'!$B$10:$B$126,'vehicles specifications'!CJ$2)/1000*$AQ60</f>
        <v>2.1122010575599965E-10</v>
      </c>
      <c r="CK60" s="38">
        <f>VLOOKUP($B60,'abrasion emissions'!$O$7:$R$36,2,FALSE)</f>
        <v>0.5</v>
      </c>
      <c r="CL60" s="38">
        <f>VLOOKUP($B60,'abrasion emissions'!$O$7:$R$36,3,FALSE)</f>
        <v>0.5</v>
      </c>
      <c r="CM60" s="38">
        <f>VLOOKUP($B60,'abrasion emissions'!$O$7:$R$36,4,FALSE)</f>
        <v>0</v>
      </c>
      <c r="CN60" s="7">
        <f>((SUMIFS('abrasion emissions'!$M$7:$M$34,'abrasion emissions'!$I$7:$I$34,"PM 2.5",'abrasion emissions'!$J$7:$J$34,"urban",'abrasion emissions'!$K$7:$K$34,"Tyre",'abrasion emissions'!$L$7:$L$34,"b")*POWER(('vehicles specifications'!$Q60/1000),(1/SUMIFS('abrasion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specifications'!$P60/1000),(1/SUMIFS('abrasion emissions'!$M$7:$M$34,'abrasion emissions'!$I$7:$I$34,"PM 10",'abrasion emissions'!$J$7:$J$34,"urban",'abrasion emissions'!$K$7:$K$34,"Tyre",'abrasion emissions'!$L$7:$L$34,"c")))))/1000000</f>
        <v>5.2504651270529482E-6</v>
      </c>
      <c r="CO60" s="7">
        <f>((SUMIFS('abrasion emissions'!$M$7:$M$34,'abrasion emissions'!$I$7:$I$34,"PM 2.5",'abrasion emissions'!$J$7:$J$34,"rural",'abrasion emissions'!$K$7:$K$34,"Tyre",'abrasion emissions'!$L$7:$L$34,"b")*POWER(('vehicles specifications'!$Q60/1000),(1/SUMIFS('abrasion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specifications'!$P60/1000),(1/SUMIFS('abrasion emissions'!$M$7:$M$34,'abrasion emissions'!$I$7:$I$34,"PM 10",'abrasion emissions'!$J$7:$J$34,"rural",'abrasion emissions'!$K$7:$K$34,"Tyre",'abrasion emissions'!$L$7:$L$34,"c")))))/1000000</f>
        <v>4.0898128638973128E-6</v>
      </c>
      <c r="CP60" s="7">
        <f>((SUMIFS('abrasion emissions'!$M$7:$M$34,'abrasion emissions'!$I$7:$I$34,"PM 2.5",'abrasion emissions'!$J$7:$J$34,"motorway",'abrasion emissions'!$K$7:$K$34,"Tyre",'abrasion emissions'!$L$7:$L$34,"b")*POWER(('vehicles specifications'!$Q60/1000),(1/SUMIFS('abrasion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specifications'!$P60/1000),(1/SUMIFS('abrasion emissions'!$M$7:$M$34,'abrasion emissions'!$I$7:$I$34,"PM 10",'abrasion emissions'!$J$7:$J$34,"motorway",'abrasion emissions'!$K$7:$K$34,"Tyre",'abrasion emissions'!$L$7:$L$34,"c")))))/1000000</f>
        <v>3.4943705211420178E-6</v>
      </c>
      <c r="CQ60" s="7">
        <f>((SUMIFS('abrasion emissions'!$M$7:$M$34,'abrasion emissions'!$I$7:$I$34,"PM 2.5",'abrasion emissions'!$J$7:$J$34,"urban",'abrasion emissions'!$K$7:$K$34,"Brake",'abrasion emissions'!$L$7:$L$34,"b")*POWER(('vehicles specifications'!$Q60/1000),(1/SUMIFS('abrasion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specifications'!$P60/1000),(1/SUMIFS('abrasion emissions'!$M$7:$M$34,'abrasion emissions'!$I$7:$I$34,"PM 10",'abrasion emissions'!$J$7:$J$34,"urban",'abrasion emissions'!$K$7:$K$34,"Brake",'abrasion emissions'!$L$7:$L$34,"c")))))/1000000</f>
        <v>4.9076703228365884E-6</v>
      </c>
      <c r="CR60" s="7">
        <f>((SUMIFS('abrasion emissions'!$M$7:$M$34,'abrasion emissions'!$I$7:$I$34,"PM 2.5",'abrasion emissions'!$J$7:$J$34,"rural",'abrasion emissions'!$K$7:$K$34,"Brake",'abrasion emissions'!$L$7:$L$34,"b")*POWER(('vehicles specifications'!$Q60/1000),(1/SUMIFS('abrasion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specifications'!$P60/1000),(1/SUMIFS('abrasion emissions'!$M$7:$M$34,'abrasion emissions'!$I$7:$I$34,"PM 10",'abrasion emissions'!$J$7:$J$34,"rural",'abrasion emissions'!$K$7:$K$34,"Brake",'abrasion emissions'!$L$7:$L$34,"c")))))/1000000</f>
        <v>1.5056513170814299E-6</v>
      </c>
      <c r="CS60" s="7">
        <f>((SUMIFS('abrasion emissions'!$M$7:$M$34,'abrasion emissions'!$I$7:$I$34,"PM 2.5",'abrasion emissions'!$J$7:$J$34,"motorway",'abrasion emissions'!$K$7:$K$34,"Brake",'abrasion emissions'!$L$7:$L$34,"b")*POWER(('vehicles specifications'!$Q60/1000),(1/SUMIFS('abrasion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specifications'!$P60/1000),(1/SUMIFS('abrasion emissions'!$M$7:$M$34,'abrasion emissions'!$I$7:$I$34,"PM 10",'abrasion emissions'!$J$7:$J$34,"motorway",'abrasion emissions'!$K$7:$K$34,"Brake",'abrasion emissions'!$L$7:$L$34,"c")))))/1000000</f>
        <v>2.6958049975262109E-7</v>
      </c>
      <c r="CT60" s="7">
        <f>((SUMIFS('abrasion emissions'!$M$7:$M$38,'abrasion emissions'!$I$7:$I$38,"PM 2.5",'abrasion emissions'!$K$7:$K$38,"Re-susp.",'abrasion emissions'!$L$7:$L$38,"b")*POWER(('vehicles specifications'!$Q60/1000),(1/SUMIFS('abrasion emissions'!$M$7:$M$38,'abrasion emissions'!$I$7:$I$38,"PM 2.5",'abrasion emissions'!$K$7:$K$38,"Re-susp.",'abrasion emissions'!$L$7:$L$38,"c"))))+
(SUMIFS('abrasion emissions'!$M$7:$M$38,'abrasion emissions'!$I$7:$I$38,"PM 10",'abrasion emissions'!$K$7:$K$38,"Re-susp.",'abrasion emissions'!$L$7:$L$38,"b")*POWER(('vehicles specifications'!$Q60/1000),(1/SUMIFS('abrasion emissions'!$M$7:$M$38,'abrasion emissions'!$I$7:$I$38,"PM 10",'abrasion emissions'!$K$7:$K$38,"Re-susp.",'abrasion emissions'!$L$7:$L$38,"c")))))/1000000</f>
        <v>2.760300130462521E-6</v>
      </c>
      <c r="CU60" s="7">
        <f>((SUMIFS('abrasion emissions'!$M$7:$M$38,'abrasion emissions'!$I$7:$I$38,"PM 2.5",'abrasion emissions'!$K$7:$K$38,"Road",'abrasion emissions'!$L$7:$L$38,"b")*POWER(('vehicles specifications'!$Q60/1000),(1/SUMIFS('abrasion emissions'!$M$7:$M$38,'abrasion emissions'!$I$7:$I$38,"PM 2.5",'abrasion emissions'!$K$7:$K$38,"Road",'abrasion emissions'!$L$7:$L$38,"c"))))+
(SUMIFS('abrasion emissions'!$M$7:$M$38,'abrasion emissions'!$I$7:$I$38,"PM 10",'abrasion emissions'!$K$7:$K$38,"Road",'abrasion emissions'!$L$7:$L$38,"b")*POWER(('vehicles specifications'!$Q60/1000),(1/SUMIFS('abrasion emissions'!$M$7:$M$38,'abrasion emissions'!$I$7:$I$38,"PM 10",'abrasion emissions'!$K$7:$K$38,"Road",'abrasion emissions'!$L$7:$L$38,"c")))))/1000000+CT60</f>
        <v>5.5214033406186255E-6</v>
      </c>
      <c r="CV60" s="7">
        <f t="shared" si="13"/>
        <v>4.6701389954751309E-6</v>
      </c>
      <c r="CW60" s="7">
        <f t="shared" si="14"/>
        <v>3.206660819959009E-6</v>
      </c>
    </row>
    <row r="61" spans="1:101" x14ac:dyDescent="0.2">
      <c r="A61" t="str">
        <f t="shared" si="1"/>
        <v>Moped, gasoline, &lt;4kW, EURO-5 - 2020 - CH</v>
      </c>
      <c r="B61" t="s">
        <v>356</v>
      </c>
      <c r="D61" s="18">
        <v>2020</v>
      </c>
      <c r="E61" t="s">
        <v>37</v>
      </c>
      <c r="F61" t="s">
        <v>141</v>
      </c>
      <c r="G61" t="s">
        <v>39</v>
      </c>
      <c r="H61" t="s">
        <v>35</v>
      </c>
      <c r="J61">
        <v>25000</v>
      </c>
      <c r="K61">
        <v>1570</v>
      </c>
      <c r="L61" s="2">
        <f t="shared" si="2"/>
        <v>15.923566878980891</v>
      </c>
      <c r="M61">
        <v>1</v>
      </c>
      <c r="N61">
        <v>75</v>
      </c>
      <c r="O61">
        <v>2</v>
      </c>
      <c r="P61" s="2">
        <f t="shared" si="64"/>
        <v>63</v>
      </c>
      <c r="Q61" s="2">
        <f t="shared" si="3"/>
        <v>140</v>
      </c>
      <c r="R61">
        <v>2.5</v>
      </c>
      <c r="S61" s="2">
        <v>41.962499999999999</v>
      </c>
      <c r="T61" s="1">
        <v>0</v>
      </c>
      <c r="U61" s="2">
        <f t="shared" si="4"/>
        <v>41.962499999999999</v>
      </c>
      <c r="V61">
        <v>15</v>
      </c>
      <c r="W61">
        <v>0</v>
      </c>
      <c r="X61" s="3">
        <v>0</v>
      </c>
      <c r="Y61" s="1">
        <v>0.8</v>
      </c>
      <c r="Z61" s="3">
        <f t="shared" si="5"/>
        <v>0</v>
      </c>
      <c r="AA61" s="3" t="str">
        <f>IF(I61&lt;&gt;"",X61/INDEX('energy battery'!$B$3:$D$6,MATCH('vehicles specifications'!$D61,'energy battery'!$A$3:$A$6,0),MATCH('vehicles specifications'!$I61,'energy battery'!$B$2:$D$2,0)),"")</f>
        <v/>
      </c>
      <c r="AB61" s="3" t="str">
        <f t="shared" si="6"/>
        <v/>
      </c>
      <c r="AC61" s="3" t="str">
        <f t="shared" si="7"/>
        <v/>
      </c>
      <c r="AD61" s="3">
        <v>0</v>
      </c>
      <c r="AE61" s="3">
        <v>7</v>
      </c>
      <c r="AF61">
        <f>AE61*'fuels and tailpipe emissions'!$B$3</f>
        <v>5.25</v>
      </c>
      <c r="AG61" s="2">
        <f>AF61*'fuels and tailpipe emissions'!$C$3</f>
        <v>62.125</v>
      </c>
      <c r="AH61" s="3">
        <f t="shared" si="66"/>
        <v>0.78749999999999998</v>
      </c>
      <c r="AI61">
        <v>0</v>
      </c>
      <c r="AJ61">
        <v>0</v>
      </c>
      <c r="AK61">
        <f t="shared" si="67"/>
        <v>1</v>
      </c>
      <c r="AL61">
        <f t="shared" si="65"/>
        <v>7.5179999999999995E-5</v>
      </c>
      <c r="AM61">
        <v>1.2899999999999999E-3</v>
      </c>
      <c r="AN61" s="2">
        <f t="shared" si="9"/>
        <v>41.962499999999999</v>
      </c>
      <c r="AO61" s="2">
        <f t="shared" si="10"/>
        <v>15</v>
      </c>
      <c r="AP61" s="2" t="str">
        <f t="shared" si="11"/>
        <v/>
      </c>
      <c r="AQ61" s="6">
        <v>0.82287832867441513</v>
      </c>
      <c r="AR61" s="20">
        <v>0</v>
      </c>
      <c r="AS61" s="6" t="str">
        <f>IF($H61="BEV",SUMPRODUCT(#REF!,#REF!),"")</f>
        <v/>
      </c>
      <c r="AT61" s="2">
        <f t="shared" si="12"/>
        <v>271.78987732035739</v>
      </c>
      <c r="AU61" s="5">
        <f>IF($H61="ICEV-p",$AQ61/('fuels and tailpipe emissions'!$C$3*3.6)*'fuels and tailpipe emissions'!$D$3,"")*(1-AR61)</f>
        <v>6.0653473052527308E-2</v>
      </c>
      <c r="AV61" s="5">
        <f>IF($H61="ICEV-p",$AQ61/('fuels and tailpipe emissions'!$C$3*3.6)*'fuels and tailpipe emissions'!$D$3,"")*AR61</f>
        <v>0</v>
      </c>
      <c r="AW61" s="7">
        <f>IF($H61="ICEV-p",$AQ61/('fuels and tailpipe emissions'!$C$3*3.6)*'fuels and tailpipe emissions'!$E$3,"")</f>
        <v>3.0906228307020284E-7</v>
      </c>
      <c r="AX61" s="7">
        <f>SUMIFS('fuels and tailpipe emissions'!$C$10:$C$126,'fuels and tailpipe emissions'!$A$10:$A$126,'vehicles specifications'!$F61,'fuels and tailpipe emissions'!$B$10:$B$126,'vehicles specifications'!AX$2)/1000*$AQ61</f>
        <v>5.0032792408401772E-5</v>
      </c>
      <c r="AY61" s="7">
        <f>SUMIFS('fuels and tailpipe emissions'!$C$10:$C$126,'fuels and tailpipe emissions'!$A$10:$A$126,'vehicles specifications'!$F61,'fuels and tailpipe emissions'!$B$10:$B$126,'vehicles specifications'!AY$2)/1000*$AQ61</f>
        <v>2.2686352001734651E-5</v>
      </c>
      <c r="AZ61" s="7">
        <f>SUMIFS('fuels and tailpipe emissions'!$C$10:$C$126,'fuels and tailpipe emissions'!$A$10:$A$126,'vehicles specifications'!$F61,'fuels and tailpipe emissions'!$B$10:$B$126,'vehicles specifications'!AZ$2)/1000*$AQ61</f>
        <v>2.3988511584487494E-3</v>
      </c>
      <c r="BA61" s="7">
        <f>SUMIFS('fuels and tailpipe emissions'!$C$10:$C$126,'fuels and tailpipe emissions'!$A$10:$A$126,'vehicles specifications'!$F61,'fuels and tailpipe emissions'!$B$10:$B$126,'vehicles specifications'!BA$2)/1000*$AQ61</f>
        <v>1.1510072045527478E-6</v>
      </c>
      <c r="BB61" s="7">
        <f>SUMIFS('fuels and tailpipe emissions'!$C$10:$C$126,'fuels and tailpipe emissions'!$A$10:$A$126,'vehicles specifications'!$F61,'fuels and tailpipe emissions'!$B$10:$B$126,'vehicles specifications'!BB$2)/1000*$AQ61</f>
        <v>1.1510072045527478E-6</v>
      </c>
      <c r="BC61" s="7">
        <f>SUMIFS('fuels and tailpipe emissions'!$C$10:$C$126,'fuels and tailpipe emissions'!$A$10:$A$126,'vehicles specifications'!$F61,'fuels and tailpipe emissions'!$B$10:$B$126,'vehicles specifications'!BC$2)/1000*$AQ61</f>
        <v>8.6314846172377596E-5</v>
      </c>
      <c r="BD61" s="7">
        <f>SUMIFS('fuels and tailpipe emissions'!$C$10:$C$126,'fuels and tailpipe emissions'!$A$10:$A$126,'vehicles specifications'!$F61,'fuels and tailpipe emissions'!$B$10:$B$126,'vehicles specifications'!BD$2)/1000*$AQ61</f>
        <v>6.6102343757464297E-6</v>
      </c>
      <c r="BE61" s="7">
        <f>SUMIFS('fuels and tailpipe emissions'!$C$10:$C$126,'fuels and tailpipe emissions'!$A$10:$A$126,'vehicles specifications'!$F61,'fuels and tailpipe emissions'!$B$10:$B$126,'vehicles specifications'!BE$2)/1000*$AQ61</f>
        <v>4.0347299974261968E-4</v>
      </c>
      <c r="BF61" s="7">
        <f>SUMIFS('fuels and tailpipe emissions'!$C$10:$C$126,'fuels and tailpipe emissions'!$A$10:$A$126,'vehicles specifications'!$F61,'fuels and tailpipe emissions'!$B$10:$B$126,'vehicles specifications'!BF$2)/1000*$AQ61</f>
        <v>2.8450019212620617E-5</v>
      </c>
      <c r="BG61" s="7">
        <f>SUMIFS('fuels and tailpipe emissions'!$C$10:$C$126,'fuels and tailpipe emissions'!$A$10:$A$126,'vehicles specifications'!$F61,'fuels and tailpipe emissions'!$B$10:$B$126,'vehicles specifications'!BG$2)/1000*$AQ61</f>
        <v>5.7970258583709726E-6</v>
      </c>
      <c r="BH61" s="7">
        <f>SUMIFS('fuels and tailpipe emissions'!$C$10:$C$126,'fuels and tailpipe emissions'!$A$10:$A$126,'vehicles specifications'!$F61,'fuels and tailpipe emissions'!$B$10:$B$126,'vehicles specifications'!BH$2)/1000*$AQ61</f>
        <v>4.6732946919790611E-5</v>
      </c>
      <c r="BI61" s="7">
        <f>SUMIFS('fuels and tailpipe emissions'!$C$10:$C$126,'fuels and tailpipe emissions'!$A$10:$A$126,'vehicles specifications'!$F61,'fuels and tailpipe emissions'!$B$10:$B$126,'vehicles specifications'!BI$2)/1000*$AQ61</f>
        <v>1.9174777839227063E-5</v>
      </c>
      <c r="BJ61" s="7">
        <f>SUMIFS('fuels and tailpipe emissions'!$C$10:$C$126,'fuels and tailpipe emissions'!$A$10:$A$126,'vehicles specifications'!$F61,'fuels and tailpipe emissions'!$B$10:$B$126,'vehicles specifications'!BJ$2)/1000*$AQ61</f>
        <v>1.4358787126118871E-5</v>
      </c>
      <c r="BK61" s="7">
        <f>SUMIFS('fuels and tailpipe emissions'!$C$10:$C$126,'fuels and tailpipe emissions'!$A$10:$A$126,'vehicles specifications'!$F61,'fuels and tailpipe emissions'!$B$10:$B$126,'vehicles specifications'!BK$2)/1000*$AQ61</f>
        <v>1.016709150545063E-5</v>
      </c>
      <c r="BL61" s="7">
        <f>SUMIFS('fuels and tailpipe emissions'!$C$10:$C$126,'fuels and tailpipe emissions'!$A$10:$A$126,'vehicles specifications'!$F61,'fuels and tailpipe emissions'!$B$10:$B$126,'vehicles specifications'!BL$2)/1000*$AQ61</f>
        <v>6.599690977222338E-6</v>
      </c>
      <c r="BM61" s="7">
        <f>SUMIFS('fuels and tailpipe emissions'!$C$10:$C$126,'fuels and tailpipe emissions'!$A$10:$A$126,'vehicles specifications'!$F61,'fuels and tailpipe emissions'!$B$10:$B$126,'vehicles specifications'!BM$2)/1000*$AQ61</f>
        <v>6.5105059640166308E-5</v>
      </c>
      <c r="BN61" s="7">
        <f>SUMIFS('fuels and tailpipe emissions'!$C$10:$C$126,'fuels and tailpipe emissions'!$A$10:$A$126,'vehicles specifications'!$F61,'fuels and tailpipe emissions'!$B$10:$B$126,'vehicles specifications'!BN$2)/1000*$AQ61</f>
        <v>3.406867504458017E-5</v>
      </c>
      <c r="BO61" s="7">
        <f>SUMIFS('fuels and tailpipe emissions'!$C$10:$C$126,'fuels and tailpipe emissions'!$A$10:$A$126,'vehicles specifications'!$F61,'fuels and tailpipe emissions'!$B$10:$B$126,'vehicles specifications'!BO$2)/1000*$AQ61</f>
        <v>9.8103514526278003E-7</v>
      </c>
      <c r="BP61" s="7">
        <f>SUMIFS('fuels and tailpipe emissions'!$C$10:$C$126,'fuels and tailpipe emissions'!$A$10:$A$126,'vehicles specifications'!$F61,'fuels and tailpipe emissions'!$B$10:$B$126,'vehicles specifications'!BP$2)/1000*$AQ61</f>
        <v>5.0032792408401772E-5</v>
      </c>
      <c r="BQ61" s="7">
        <f>SUMIFS('fuels and tailpipe emissions'!$C$10:$C$126,'fuels and tailpipe emissions'!$A$10:$A$126,'vehicles specifications'!$F61,'fuels and tailpipe emissions'!$B$10:$B$126,'vehicles specifications'!BQ$2)/1000*$AQ61</f>
        <v>9.7925144499866576E-5</v>
      </c>
      <c r="BR61" s="7">
        <f>SUMIFS('fuels and tailpipe emissions'!$C$10:$C$126,'fuels and tailpipe emissions'!$A$10:$A$126,'vehicles specifications'!$F61,'fuels and tailpipe emissions'!$B$10:$B$126,'vehicles specifications'!BR$2)/1000*$AQ61</f>
        <v>4.8427462170699053E-5</v>
      </c>
      <c r="BS61" s="7">
        <f>SUMIFS('fuels and tailpipe emissions'!$C$10:$C$126,'fuels and tailpipe emissions'!$A$10:$A$126,'vehicles specifications'!$F61,'fuels and tailpipe emissions'!$B$10:$B$126,'vehicles specifications'!BS$2)/1000*$AQ61</f>
        <v>2.0155812984489841E-5</v>
      </c>
      <c r="BT61" s="7">
        <f>SUMIFS('fuels and tailpipe emissions'!$C$10:$C$126,'fuels and tailpipe emissions'!$A$10:$A$126,'vehicles specifications'!$F61,'fuels and tailpipe emissions'!$B$10:$B$126,'vehicles specifications'!BT$2)/1000*$AQ61</f>
        <v>1.5161452244970237E-5</v>
      </c>
      <c r="BU61" s="7">
        <f>SUMIFS('fuels and tailpipe emissions'!$C$10:$C$126,'fuels and tailpipe emissions'!$A$10:$A$126,'vehicles specifications'!$F61,'fuels and tailpipe emissions'!$B$10:$B$126,'vehicles specifications'!BU$2)/1000*$AQ61</f>
        <v>6.6888759904280447E-6</v>
      </c>
      <c r="BV61" s="7">
        <f>SUMIFS('fuels and tailpipe emissions'!$C$10:$C$126,'fuels and tailpipe emissions'!$A$10:$A$126,'vehicles specifications'!$F61,'fuels and tailpipe emissions'!$B$10:$B$126,'vehicles specifications'!BV$2)/1000*$AQ61</f>
        <v>1.9620702905255601E-6</v>
      </c>
      <c r="BW61" s="7">
        <f>SUMIFS('fuels and tailpipe emissions'!$C$10:$C$126,'fuels and tailpipe emissions'!$A$10:$A$126,'vehicles specifications'!$F61,'fuels and tailpipe emissions'!$B$10:$B$126,'vehicles specifications'!BW$2)/1000*$AQ61</f>
        <v>5.4402858055481441E-6</v>
      </c>
      <c r="BX61" s="7">
        <f>SUMIFS('fuels and tailpipe emissions'!$C$10:$C$126,'fuels and tailpipe emissions'!$A$10:$A$126,'vehicles specifications'!$F61,'fuels and tailpipe emissions'!$B$10:$B$126,'vehicles specifications'!BX$2)/1000*$AQ61</f>
        <v>0</v>
      </c>
      <c r="BY61" s="7">
        <f>SUMIFS('fuels and tailpipe emissions'!$C$10:$C$126,'fuels and tailpipe emissions'!$A$10:$A$126,'vehicles specifications'!$F61,'fuels and tailpipe emissions'!$B$10:$B$126,'vehicles specifications'!BY$2)/1000*$AQ61</f>
        <v>1.6945152509084381E-6</v>
      </c>
      <c r="BZ61" s="7">
        <f>SUMIFS('fuels and tailpipe emissions'!$C$10:$C$126,'fuels and tailpipe emissions'!$A$10:$A$126,'vehicles specifications'!$F61,'fuels and tailpipe emissions'!$B$10:$B$126,'vehicles specifications'!BZ$2)/1000*$AQ61</f>
        <v>9.0076863337764332E-6</v>
      </c>
      <c r="CA61" s="7">
        <f>SUMIFS('fuels and tailpipe emissions'!$C$10:$C$126,'fuels and tailpipe emissions'!$A$10:$A$126,'vehicles specifications'!$F61,'fuels and tailpipe emissions'!$B$10:$B$126,'vehicles specifications'!CA$2)/1000*$AQ61</f>
        <v>6.7379213736163881E-10</v>
      </c>
      <c r="CB61" s="7">
        <f>SUMIFS('fuels and tailpipe emissions'!$C$10:$C$126,'fuels and tailpipe emissions'!$A$10:$A$126,'vehicles specifications'!$F61,'fuels and tailpipe emissions'!$B$10:$B$126,'vehicles specifications'!CB$2)/1000*$AQ61</f>
        <v>5.8085529082899891E-12</v>
      </c>
      <c r="CC61" s="7">
        <f>SUMIFS('fuels and tailpipe emissions'!$C$10:$C$126,'fuels and tailpipe emissions'!$A$10:$A$126,'vehicles specifications'!$F61,'fuels and tailpipe emissions'!$B$10:$B$126,'vehicles specifications'!CC$2)/1000*$AQ61</f>
        <v>3.8723686055266594E-12</v>
      </c>
      <c r="CD61" s="7">
        <f>SUMIFS('fuels and tailpipe emissions'!$C$10:$C$126,'fuels and tailpipe emissions'!$A$10:$A$126,'vehicles specifications'!$F61,'fuels and tailpipe emissions'!$B$10:$B$126,'vehicles specifications'!CD$2)/1000*$AQ61</f>
        <v>4.1821580939687923E-8</v>
      </c>
      <c r="CE61" s="7">
        <f>SUMIFS('fuels and tailpipe emissions'!$C$10:$C$126,'fuels and tailpipe emissions'!$A$10:$A$126,'vehicles specifications'!$F61,'fuels and tailpipe emissions'!$B$10:$B$126,'vehicles specifications'!CE$2)/1000*$AQ61</f>
        <v>8.1319740716059841E-10</v>
      </c>
      <c r="CF61" s="7">
        <f>SUMIFS('fuels and tailpipe emissions'!$C$10:$C$126,'fuels and tailpipe emissions'!$A$10:$A$126,'vehicles specifications'!$F61,'fuels and tailpipe emissions'!$B$10:$B$126,'vehicles specifications'!CF$2)/1000*$AQ61</f>
        <v>2.5170395935923289E-10</v>
      </c>
      <c r="CG61" s="7">
        <f>SUMIFS('fuels and tailpipe emissions'!$C$10:$C$126,'fuels and tailpipe emissions'!$A$10:$A$126,'vehicles specifications'!$F61,'fuels and tailpipe emissions'!$B$10:$B$126,'vehicles specifications'!CG$2)/1000*$AQ61</f>
        <v>3.0978948844213278E-10</v>
      </c>
      <c r="CH61" s="7">
        <f>SUMIFS('fuels and tailpipe emissions'!$C$10:$C$126,'fuels and tailpipe emissions'!$A$10:$A$126,'vehicles specifications'!$F61,'fuels and tailpipe emissions'!$B$10:$B$126,'vehicles specifications'!CH$2)/1000*$AQ61</f>
        <v>6.1957897688426542E-13</v>
      </c>
      <c r="CI61" s="7">
        <f>SUMIFS('fuels and tailpipe emissions'!$C$10:$C$126,'fuels and tailpipe emissions'!$A$10:$A$126,'vehicles specifications'!$F61,'fuels and tailpipe emissions'!$B$10:$B$126,'vehicles specifications'!CI$2)/1000*$AQ61</f>
        <v>1.684480343404097E-10</v>
      </c>
      <c r="CJ61" s="7">
        <f>SUMIFS('fuels and tailpipe emissions'!$C$10:$C$126,'fuels and tailpipe emissions'!$A$10:$A$126,'vehicles specifications'!$F61,'fuels and tailpipe emissions'!$B$10:$B$126,'vehicles specifications'!CJ$2)/1000*$AQ61</f>
        <v>2.0910790469843966E-10</v>
      </c>
      <c r="CK61" s="38">
        <f>VLOOKUP($B61,'abrasion emissions'!$O$7:$R$36,2,FALSE)</f>
        <v>0.5</v>
      </c>
      <c r="CL61" s="38">
        <f>VLOOKUP($B61,'abrasion emissions'!$O$7:$R$36,3,FALSE)</f>
        <v>0.5</v>
      </c>
      <c r="CM61" s="38">
        <f>VLOOKUP($B61,'abrasion emissions'!$O$7:$R$36,4,FALSE)</f>
        <v>0</v>
      </c>
      <c r="CN61" s="7">
        <f>((SUMIFS('abrasion emissions'!$M$7:$M$34,'abrasion emissions'!$I$7:$I$34,"PM 2.5",'abrasion emissions'!$J$7:$J$34,"urban",'abrasion emissions'!$K$7:$K$34,"Tyre",'abrasion emissions'!$L$7:$L$34,"b")*POWER(('vehicles specifications'!$Q61/1000),(1/SUMIFS('abrasion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specifications'!$P61/1000),(1/SUMIFS('abrasion emissions'!$M$7:$M$34,'abrasion emissions'!$I$7:$I$34,"PM 10",'abrasion emissions'!$J$7:$J$34,"urban",'abrasion emissions'!$K$7:$K$34,"Tyre",'abrasion emissions'!$L$7:$L$34,"c")))))/1000000</f>
        <v>5.2313297025527667E-6</v>
      </c>
      <c r="CO61" s="7">
        <f>((SUMIFS('abrasion emissions'!$M$7:$M$34,'abrasion emissions'!$I$7:$I$34,"PM 2.5",'abrasion emissions'!$J$7:$J$34,"rural",'abrasion emissions'!$K$7:$K$34,"Tyre",'abrasion emissions'!$L$7:$L$34,"b")*POWER(('vehicles specifications'!$Q61/1000),(1/SUMIFS('abrasion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specifications'!$P61/1000),(1/SUMIFS('abrasion emissions'!$M$7:$M$34,'abrasion emissions'!$I$7:$I$34,"PM 10",'abrasion emissions'!$J$7:$J$34,"rural",'abrasion emissions'!$K$7:$K$34,"Tyre",'abrasion emissions'!$L$7:$L$34,"c")))))/1000000</f>
        <v>4.0749244333737954E-6</v>
      </c>
      <c r="CP61" s="7">
        <f>((SUMIFS('abrasion emissions'!$M$7:$M$34,'abrasion emissions'!$I$7:$I$34,"PM 2.5",'abrasion emissions'!$J$7:$J$34,"motorway",'abrasion emissions'!$K$7:$K$34,"Tyre",'abrasion emissions'!$L$7:$L$34,"b")*POWER(('vehicles specifications'!$Q61/1000),(1/SUMIFS('abrasion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specifications'!$P61/1000),(1/SUMIFS('abrasion emissions'!$M$7:$M$34,'abrasion emissions'!$I$7:$I$34,"PM 10",'abrasion emissions'!$J$7:$J$34,"motorway",'abrasion emissions'!$K$7:$K$34,"Tyre",'abrasion emissions'!$L$7:$L$34,"c")))))/1000000</f>
        <v>3.4816923118132662E-6</v>
      </c>
      <c r="CQ61" s="7">
        <f>((SUMIFS('abrasion emissions'!$M$7:$M$34,'abrasion emissions'!$I$7:$I$34,"PM 2.5",'abrasion emissions'!$J$7:$J$34,"urban",'abrasion emissions'!$K$7:$K$34,"Brake",'abrasion emissions'!$L$7:$L$34,"b")*POWER(('vehicles specifications'!$Q61/1000),(1/SUMIFS('abrasion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specifications'!$P61/1000),(1/SUMIFS('abrasion emissions'!$M$7:$M$34,'abrasion emissions'!$I$7:$I$34,"PM 10",'abrasion emissions'!$J$7:$J$34,"urban",'abrasion emissions'!$K$7:$K$34,"Brake",'abrasion emissions'!$L$7:$L$34,"c")))))/1000000</f>
        <v>4.8885057934681661E-6</v>
      </c>
      <c r="CR61" s="7">
        <f>((SUMIFS('abrasion emissions'!$M$7:$M$34,'abrasion emissions'!$I$7:$I$34,"PM 2.5",'abrasion emissions'!$J$7:$J$34,"rural",'abrasion emissions'!$K$7:$K$34,"Brake",'abrasion emissions'!$L$7:$L$34,"b")*POWER(('vehicles specifications'!$Q61/1000),(1/SUMIFS('abrasion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specifications'!$P61/1000),(1/SUMIFS('abrasion emissions'!$M$7:$M$34,'abrasion emissions'!$I$7:$I$34,"PM 10",'abrasion emissions'!$J$7:$J$34,"rural",'abrasion emissions'!$K$7:$K$34,"Brake",'abrasion emissions'!$L$7:$L$34,"c")))))/1000000</f>
        <v>1.4982819076459531E-6</v>
      </c>
      <c r="CS61" s="7">
        <f>((SUMIFS('abrasion emissions'!$M$7:$M$34,'abrasion emissions'!$I$7:$I$34,"PM 2.5",'abrasion emissions'!$J$7:$J$34,"motorway",'abrasion emissions'!$K$7:$K$34,"Brake",'abrasion emissions'!$L$7:$L$34,"b")*POWER(('vehicles specifications'!$Q61/1000),(1/SUMIFS('abrasion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specifications'!$P61/1000),(1/SUMIFS('abrasion emissions'!$M$7:$M$34,'abrasion emissions'!$I$7:$I$34,"PM 10",'abrasion emissions'!$J$7:$J$34,"motorway",'abrasion emissions'!$K$7:$K$34,"Brake",'abrasion emissions'!$L$7:$L$34,"c")))))/1000000</f>
        <v>2.6807696421830676E-7</v>
      </c>
      <c r="CT61" s="7">
        <f>((SUMIFS('abrasion emissions'!$M$7:$M$38,'abrasion emissions'!$I$7:$I$38,"PM 2.5",'abrasion emissions'!$K$7:$K$38,"Re-susp.",'abrasion emissions'!$L$7:$L$38,"b")*POWER(('vehicles specifications'!$Q61/1000),(1/SUMIFS('abrasion emissions'!$M$7:$M$38,'abrasion emissions'!$I$7:$I$38,"PM 2.5",'abrasion emissions'!$K$7:$K$38,"Re-susp.",'abrasion emissions'!$L$7:$L$38,"c"))))+
(SUMIFS('abrasion emissions'!$M$7:$M$38,'abrasion emissions'!$I$7:$I$38,"PM 10",'abrasion emissions'!$K$7:$K$38,"Re-susp.",'abrasion emissions'!$L$7:$L$38,"b")*POWER(('vehicles specifications'!$Q61/1000),(1/SUMIFS('abrasion emissions'!$M$7:$M$38,'abrasion emissions'!$I$7:$I$38,"PM 10",'abrasion emissions'!$K$7:$K$38,"Re-susp.",'abrasion emissions'!$L$7:$L$38,"c")))))/1000000</f>
        <v>2.7453429704514766E-6</v>
      </c>
      <c r="CU61" s="7">
        <f>((SUMIFS('abrasion emissions'!$M$7:$M$38,'abrasion emissions'!$I$7:$I$38,"PM 2.5",'abrasion emissions'!$K$7:$K$38,"Road",'abrasion emissions'!$L$7:$L$38,"b")*POWER(('vehicles specifications'!$Q61/1000),(1/SUMIFS('abrasion emissions'!$M$7:$M$38,'abrasion emissions'!$I$7:$I$38,"PM 2.5",'abrasion emissions'!$K$7:$K$38,"Road",'abrasion emissions'!$L$7:$L$38,"c"))))+
(SUMIFS('abrasion emissions'!$M$7:$M$38,'abrasion emissions'!$I$7:$I$38,"PM 10",'abrasion emissions'!$K$7:$K$38,"Road",'abrasion emissions'!$L$7:$L$38,"b")*POWER(('vehicles specifications'!$Q61/1000),(1/SUMIFS('abrasion emissions'!$M$7:$M$38,'abrasion emissions'!$I$7:$I$38,"PM 10",'abrasion emissions'!$K$7:$K$38,"Road",'abrasion emissions'!$L$7:$L$38,"c")))))/1000000+CT61</f>
        <v>5.4954664602228434E-6</v>
      </c>
      <c r="CV61" s="7">
        <f t="shared" si="13"/>
        <v>4.653127067963281E-6</v>
      </c>
      <c r="CW61" s="7">
        <f t="shared" si="14"/>
        <v>3.1933938505570598E-6</v>
      </c>
    </row>
    <row r="62" spans="1:101" x14ac:dyDescent="0.2">
      <c r="A62" t="str">
        <f t="shared" si="1"/>
        <v>Moped, gasoline, &lt;4kW, EURO-5 - 2030 - CH</v>
      </c>
      <c r="B62" t="s">
        <v>356</v>
      </c>
      <c r="D62" s="18">
        <v>2030</v>
      </c>
      <c r="E62" t="s">
        <v>37</v>
      </c>
      <c r="F62" t="s">
        <v>141</v>
      </c>
      <c r="G62" t="s">
        <v>39</v>
      </c>
      <c r="H62" t="s">
        <v>35</v>
      </c>
      <c r="J62">
        <v>25000</v>
      </c>
      <c r="K62">
        <v>1570</v>
      </c>
      <c r="L62" s="2">
        <f t="shared" si="2"/>
        <v>15.923566878980891</v>
      </c>
      <c r="M62">
        <v>1</v>
      </c>
      <c r="N62">
        <v>75</v>
      </c>
      <c r="O62">
        <v>2</v>
      </c>
      <c r="P62" s="2">
        <f t="shared" si="64"/>
        <v>61.729124999999996</v>
      </c>
      <c r="Q62" s="2">
        <f t="shared" si="3"/>
        <v>138.72912500000001</v>
      </c>
      <c r="R62">
        <v>2.5</v>
      </c>
      <c r="S62" s="2">
        <v>42.362499999999997</v>
      </c>
      <c r="T62" s="1">
        <v>0.03</v>
      </c>
      <c r="U62" s="2">
        <f t="shared" si="4"/>
        <v>41.091624999999993</v>
      </c>
      <c r="V62">
        <v>14.6</v>
      </c>
      <c r="W62">
        <v>0</v>
      </c>
      <c r="X62" s="3">
        <v>0</v>
      </c>
      <c r="Y62" s="1">
        <v>0.8</v>
      </c>
      <c r="Z62" s="3">
        <f t="shared" si="5"/>
        <v>0</v>
      </c>
      <c r="AA62" s="3" t="str">
        <f>IF(I62&lt;&gt;"",X62/INDEX('energy battery'!$B$3:$D$6,MATCH('vehicles specifications'!$D62,'energy battery'!$A$3:$A$6,0),MATCH('vehicles specifications'!$I62,'energy battery'!$B$2:$D$2,0)),"")</f>
        <v/>
      </c>
      <c r="AB62" s="3" t="str">
        <f t="shared" si="6"/>
        <v/>
      </c>
      <c r="AC62" s="3" t="str">
        <f t="shared" si="7"/>
        <v/>
      </c>
      <c r="AD62" s="3">
        <v>0</v>
      </c>
      <c r="AE62" s="3">
        <v>7</v>
      </c>
      <c r="AF62">
        <f>AE62*'fuels and tailpipe emissions'!$B$3</f>
        <v>5.25</v>
      </c>
      <c r="AG62" s="2">
        <f>AF62*'fuels and tailpipe emissions'!$C$3</f>
        <v>62.125</v>
      </c>
      <c r="AH62" s="3">
        <f t="shared" si="66"/>
        <v>0.78749999999999998</v>
      </c>
      <c r="AI62">
        <v>0</v>
      </c>
      <c r="AJ62">
        <v>0</v>
      </c>
      <c r="AK62">
        <f t="shared" si="67"/>
        <v>1</v>
      </c>
      <c r="AL62">
        <f t="shared" si="65"/>
        <v>7.4497540125000012E-5</v>
      </c>
      <c r="AM62">
        <v>1.2899999999999999E-3</v>
      </c>
      <c r="AN62" s="2">
        <f t="shared" si="9"/>
        <v>41.091624999999993</v>
      </c>
      <c r="AO62" s="2">
        <f t="shared" si="10"/>
        <v>14.6</v>
      </c>
      <c r="AP62" s="2" t="str">
        <f t="shared" si="11"/>
        <v/>
      </c>
      <c r="AQ62" s="6">
        <v>0.81464954538767098</v>
      </c>
      <c r="AR62" s="20">
        <v>0</v>
      </c>
      <c r="AS62" s="6" t="str">
        <f>IF($H62="BEV",SUMPRODUCT(#REF!,#REF!),"")</f>
        <v/>
      </c>
      <c r="AT62" s="2">
        <f t="shared" si="12"/>
        <v>274.5352296165226</v>
      </c>
      <c r="AU62" s="5">
        <f>IF($H62="ICEV-p",$AQ62/('fuels and tailpipe emissions'!$C$3*3.6)*'fuels and tailpipe emissions'!$D$3,"")*(1-AR62)</f>
        <v>6.0046938322002044E-2</v>
      </c>
      <c r="AV62" s="5">
        <f>IF($H62="ICEV-p",$AQ62/('fuels and tailpipe emissions'!$C$3*3.6)*'fuels and tailpipe emissions'!$D$3,"")*AR62</f>
        <v>0</v>
      </c>
      <c r="AW62" s="7">
        <f>IF($H62="ICEV-p",$AQ62/('fuels and tailpipe emissions'!$C$3*3.6)*'fuels and tailpipe emissions'!$E$3,"")</f>
        <v>3.0597166023950081E-7</v>
      </c>
      <c r="AX62" s="7">
        <f>SUMIFS('fuels and tailpipe emissions'!$C$10:$C$126,'fuels and tailpipe emissions'!$A$10:$A$126,'vehicles specifications'!$F62,'fuels and tailpipe emissions'!$B$10:$B$126,'vehicles specifications'!AX$2)/1000*$AQ62</f>
        <v>4.9532464484317754E-5</v>
      </c>
      <c r="AY62" s="7">
        <f>SUMIFS('fuels and tailpipe emissions'!$C$10:$C$126,'fuels and tailpipe emissions'!$A$10:$A$126,'vehicles specifications'!$F62,'fuels and tailpipe emissions'!$B$10:$B$126,'vehicles specifications'!AY$2)/1000*$AQ62</f>
        <v>2.2459488481717305E-5</v>
      </c>
      <c r="AZ62" s="7">
        <f>SUMIFS('fuels and tailpipe emissions'!$C$10:$C$126,'fuels and tailpipe emissions'!$A$10:$A$126,'vehicles specifications'!$F62,'fuels and tailpipe emissions'!$B$10:$B$126,'vehicles specifications'!AZ$2)/1000*$AQ62</f>
        <v>2.374862646864262E-3</v>
      </c>
      <c r="BA62" s="7">
        <f>SUMIFS('fuels and tailpipe emissions'!$C$10:$C$126,'fuels and tailpipe emissions'!$A$10:$A$126,'vehicles specifications'!$F62,'fuels and tailpipe emissions'!$B$10:$B$126,'vehicles specifications'!BA$2)/1000*$AQ62</f>
        <v>1.1394971325072205E-6</v>
      </c>
      <c r="BB62" s="7">
        <f>SUMIFS('fuels and tailpipe emissions'!$C$10:$C$126,'fuels and tailpipe emissions'!$A$10:$A$126,'vehicles specifications'!$F62,'fuels and tailpipe emissions'!$B$10:$B$126,'vehicles specifications'!BB$2)/1000*$AQ62</f>
        <v>1.1394971325072205E-6</v>
      </c>
      <c r="BC62" s="7">
        <f>SUMIFS('fuels and tailpipe emissions'!$C$10:$C$126,'fuels and tailpipe emissions'!$A$10:$A$126,'vehicles specifications'!$F62,'fuels and tailpipe emissions'!$B$10:$B$126,'vehicles specifications'!BC$2)/1000*$AQ62</f>
        <v>8.5451697710653811E-5</v>
      </c>
      <c r="BD62" s="7">
        <f>SUMIFS('fuels and tailpipe emissions'!$C$10:$C$126,'fuels and tailpipe emissions'!$A$10:$A$126,'vehicles specifications'!$F62,'fuels and tailpipe emissions'!$B$10:$B$126,'vehicles specifications'!BD$2)/1000*$AQ62</f>
        <v>6.5441320319889656E-6</v>
      </c>
      <c r="BE62" s="7">
        <f>SUMIFS('fuels and tailpipe emissions'!$C$10:$C$126,'fuels and tailpipe emissions'!$A$10:$A$126,'vehicles specifications'!$F62,'fuels and tailpipe emissions'!$B$10:$B$126,'vehicles specifications'!BE$2)/1000*$AQ62</f>
        <v>3.9943826974519353E-4</v>
      </c>
      <c r="BF62" s="7">
        <f>SUMIFS('fuels and tailpipe emissions'!$C$10:$C$126,'fuels and tailpipe emissions'!$A$10:$A$126,'vehicles specifications'!$F62,'fuels and tailpipe emissions'!$B$10:$B$126,'vehicles specifications'!BF$2)/1000*$AQ62</f>
        <v>2.8165519020494411E-5</v>
      </c>
      <c r="BG62" s="7">
        <f>SUMIFS('fuels and tailpipe emissions'!$C$10:$C$126,'fuels and tailpipe emissions'!$A$10:$A$126,'vehicles specifications'!$F62,'fuels and tailpipe emissions'!$B$10:$B$126,'vehicles specifications'!BG$2)/1000*$AQ62</f>
        <v>5.7390555997872623E-6</v>
      </c>
      <c r="BH62" s="7">
        <f>SUMIFS('fuels and tailpipe emissions'!$C$10:$C$126,'fuels and tailpipe emissions'!$A$10:$A$126,'vehicles specifications'!$F62,'fuels and tailpipe emissions'!$B$10:$B$126,'vehicles specifications'!BH$2)/1000*$AQ62</f>
        <v>4.6265617450592708E-5</v>
      </c>
      <c r="BI62" s="7">
        <f>SUMIFS('fuels and tailpipe emissions'!$C$10:$C$126,'fuels and tailpipe emissions'!$A$10:$A$126,'vehicles specifications'!$F62,'fuels and tailpipe emissions'!$B$10:$B$126,'vehicles specifications'!BI$2)/1000*$AQ62</f>
        <v>1.898303006083479E-5</v>
      </c>
      <c r="BJ62" s="7">
        <f>SUMIFS('fuels and tailpipe emissions'!$C$10:$C$126,'fuels and tailpipe emissions'!$A$10:$A$126,'vehicles specifications'!$F62,'fuels and tailpipe emissions'!$B$10:$B$126,'vehicles specifications'!BJ$2)/1000*$AQ62</f>
        <v>1.4215199254857682E-5</v>
      </c>
      <c r="BK62" s="7">
        <f>SUMIFS('fuels and tailpipe emissions'!$C$10:$C$126,'fuels and tailpipe emissions'!$A$10:$A$126,'vehicles specifications'!$F62,'fuels and tailpipe emissions'!$B$10:$B$126,'vehicles specifications'!BK$2)/1000*$AQ62</f>
        <v>1.0065420590396123E-5</v>
      </c>
      <c r="BL62" s="7">
        <f>SUMIFS('fuels and tailpipe emissions'!$C$10:$C$126,'fuels and tailpipe emissions'!$A$10:$A$126,'vehicles specifications'!$F62,'fuels and tailpipe emissions'!$B$10:$B$126,'vehicles specifications'!BL$2)/1000*$AQ62</f>
        <v>6.5336940674501146E-6</v>
      </c>
      <c r="BM62" s="7">
        <f>SUMIFS('fuels and tailpipe emissions'!$C$10:$C$126,'fuels and tailpipe emissions'!$A$10:$A$126,'vehicles specifications'!$F62,'fuels and tailpipe emissions'!$B$10:$B$126,'vehicles specifications'!BM$2)/1000*$AQ62</f>
        <v>6.4454009043764642E-5</v>
      </c>
      <c r="BN62" s="7">
        <f>SUMIFS('fuels and tailpipe emissions'!$C$10:$C$126,'fuels and tailpipe emissions'!$A$10:$A$126,'vehicles specifications'!$F62,'fuels and tailpipe emissions'!$B$10:$B$126,'vehicles specifications'!BN$2)/1000*$AQ62</f>
        <v>3.3727988294134373E-5</v>
      </c>
      <c r="BO62" s="7">
        <f>SUMIFS('fuels and tailpipe emissions'!$C$10:$C$126,'fuels and tailpipe emissions'!$A$10:$A$126,'vehicles specifications'!$F62,'fuels and tailpipe emissions'!$B$10:$B$126,'vehicles specifications'!BO$2)/1000*$AQ62</f>
        <v>9.7122479381015224E-7</v>
      </c>
      <c r="BP62" s="7">
        <f>SUMIFS('fuels and tailpipe emissions'!$C$10:$C$126,'fuels and tailpipe emissions'!$A$10:$A$126,'vehicles specifications'!$F62,'fuels and tailpipe emissions'!$B$10:$B$126,'vehicles specifications'!BP$2)/1000*$AQ62</f>
        <v>4.9532464484317754E-5</v>
      </c>
      <c r="BQ62" s="7">
        <f>SUMIFS('fuels and tailpipe emissions'!$C$10:$C$126,'fuels and tailpipe emissions'!$A$10:$A$126,'vehicles specifications'!$F62,'fuels and tailpipe emissions'!$B$10:$B$126,'vehicles specifications'!BQ$2)/1000*$AQ62</f>
        <v>9.6945893054867918E-5</v>
      </c>
      <c r="BR62" s="7">
        <f>SUMIFS('fuels and tailpipe emissions'!$C$10:$C$126,'fuels and tailpipe emissions'!$A$10:$A$126,'vehicles specifications'!$F62,'fuels and tailpipe emissions'!$B$10:$B$126,'vehicles specifications'!BR$2)/1000*$AQ62</f>
        <v>4.7943187548992062E-5</v>
      </c>
      <c r="BS62" s="7">
        <f>SUMIFS('fuels and tailpipe emissions'!$C$10:$C$126,'fuels and tailpipe emissions'!$A$10:$A$126,'vehicles specifications'!$F62,'fuels and tailpipe emissions'!$B$10:$B$126,'vehicles specifications'!BS$2)/1000*$AQ62</f>
        <v>1.9954254854644945E-5</v>
      </c>
      <c r="BT62" s="7">
        <f>SUMIFS('fuels and tailpipe emissions'!$C$10:$C$126,'fuels and tailpipe emissions'!$A$10:$A$126,'vehicles specifications'!$F62,'fuels and tailpipe emissions'!$B$10:$B$126,'vehicles specifications'!BT$2)/1000*$AQ62</f>
        <v>1.5009837722520535E-5</v>
      </c>
      <c r="BU62" s="7">
        <f>SUMIFS('fuels and tailpipe emissions'!$C$10:$C$126,'fuels and tailpipe emissions'!$A$10:$A$126,'vehicles specifications'!$F62,'fuels and tailpipe emissions'!$B$10:$B$126,'vehicles specifications'!BU$2)/1000*$AQ62</f>
        <v>6.6219872305237644E-6</v>
      </c>
      <c r="BV62" s="7">
        <f>SUMIFS('fuels and tailpipe emissions'!$C$10:$C$126,'fuels and tailpipe emissions'!$A$10:$A$126,'vehicles specifications'!$F62,'fuels and tailpipe emissions'!$B$10:$B$126,'vehicles specifications'!BV$2)/1000*$AQ62</f>
        <v>1.9424495876203045E-6</v>
      </c>
      <c r="BW62" s="7">
        <f>SUMIFS('fuels and tailpipe emissions'!$C$10:$C$126,'fuels and tailpipe emissions'!$A$10:$A$126,'vehicles specifications'!$F62,'fuels and tailpipe emissions'!$B$10:$B$126,'vehicles specifications'!BW$2)/1000*$AQ62</f>
        <v>5.3858829474926628E-6</v>
      </c>
      <c r="BX62" s="7">
        <f>SUMIFS('fuels and tailpipe emissions'!$C$10:$C$126,'fuels and tailpipe emissions'!$A$10:$A$126,'vehicles specifications'!$F62,'fuels and tailpipe emissions'!$B$10:$B$126,'vehicles specifications'!BX$2)/1000*$AQ62</f>
        <v>0</v>
      </c>
      <c r="BY62" s="7">
        <f>SUMIFS('fuels and tailpipe emissions'!$C$10:$C$126,'fuels and tailpipe emissions'!$A$10:$A$126,'vehicles specifications'!$F62,'fuels and tailpipe emissions'!$B$10:$B$126,'vehicles specifications'!BY$2)/1000*$AQ62</f>
        <v>1.6775700983993538E-6</v>
      </c>
      <c r="BZ62" s="7">
        <f>SUMIFS('fuels and tailpipe emissions'!$C$10:$C$126,'fuels and tailpipe emissions'!$A$10:$A$126,'vehicles specifications'!$F62,'fuels and tailpipe emissions'!$B$10:$B$126,'vehicles specifications'!BZ$2)/1000*$AQ62</f>
        <v>8.9176094704386688E-6</v>
      </c>
      <c r="CA62" s="7">
        <f>SUMIFS('fuels and tailpipe emissions'!$C$10:$C$126,'fuels and tailpipe emissions'!$A$10:$A$126,'vehicles specifications'!$F62,'fuels and tailpipe emissions'!$B$10:$B$126,'vehicles specifications'!CA$2)/1000*$AQ62</f>
        <v>6.6705421598802242E-10</v>
      </c>
      <c r="CB62" s="7">
        <f>SUMIFS('fuels and tailpipe emissions'!$C$10:$C$126,'fuels and tailpipe emissions'!$A$10:$A$126,'vehicles specifications'!$F62,'fuels and tailpipe emissions'!$B$10:$B$126,'vehicles specifications'!CB$2)/1000*$AQ62</f>
        <v>5.7504673792070894E-12</v>
      </c>
      <c r="CC62" s="7">
        <f>SUMIFS('fuels and tailpipe emissions'!$C$10:$C$126,'fuels and tailpipe emissions'!$A$10:$A$126,'vehicles specifications'!$F62,'fuels and tailpipe emissions'!$B$10:$B$126,'vehicles specifications'!CC$2)/1000*$AQ62</f>
        <v>3.8336449194713932E-12</v>
      </c>
      <c r="CD62" s="7">
        <f>SUMIFS('fuels and tailpipe emissions'!$C$10:$C$126,'fuels and tailpipe emissions'!$A$10:$A$126,'vehicles specifications'!$F62,'fuels and tailpipe emissions'!$B$10:$B$126,'vehicles specifications'!CD$2)/1000*$AQ62</f>
        <v>4.1403365130291049E-8</v>
      </c>
      <c r="CE62" s="7">
        <f>SUMIFS('fuels and tailpipe emissions'!$C$10:$C$126,'fuels and tailpipe emissions'!$A$10:$A$126,'vehicles specifications'!$F62,'fuels and tailpipe emissions'!$B$10:$B$126,'vehicles specifications'!CE$2)/1000*$AQ62</f>
        <v>8.0506543308899247E-10</v>
      </c>
      <c r="CF62" s="7">
        <f>SUMIFS('fuels and tailpipe emissions'!$C$10:$C$126,'fuels and tailpipe emissions'!$A$10:$A$126,'vehicles specifications'!$F62,'fuels and tailpipe emissions'!$B$10:$B$126,'vehicles specifications'!CF$2)/1000*$AQ62</f>
        <v>2.4918691976564053E-10</v>
      </c>
      <c r="CG62" s="7">
        <f>SUMIFS('fuels and tailpipe emissions'!$C$10:$C$126,'fuels and tailpipe emissions'!$A$10:$A$126,'vehicles specifications'!$F62,'fuels and tailpipe emissions'!$B$10:$B$126,'vehicles specifications'!CG$2)/1000*$AQ62</f>
        <v>3.0669159355771147E-10</v>
      </c>
      <c r="CH62" s="7">
        <f>SUMIFS('fuels and tailpipe emissions'!$C$10:$C$126,'fuels and tailpipe emissions'!$A$10:$A$126,'vehicles specifications'!$F62,'fuels and tailpipe emissions'!$B$10:$B$126,'vehicles specifications'!CH$2)/1000*$AQ62</f>
        <v>6.1338318711542279E-13</v>
      </c>
      <c r="CI62" s="7">
        <f>SUMIFS('fuels and tailpipe emissions'!$C$10:$C$126,'fuels and tailpipe emissions'!$A$10:$A$126,'vehicles specifications'!$F62,'fuels and tailpipe emissions'!$B$10:$B$126,'vehicles specifications'!CI$2)/1000*$AQ62</f>
        <v>1.667635539970056E-10</v>
      </c>
      <c r="CJ62" s="7">
        <f>SUMIFS('fuels and tailpipe emissions'!$C$10:$C$126,'fuels and tailpipe emissions'!$A$10:$A$126,'vehicles specifications'!$F62,'fuels and tailpipe emissions'!$B$10:$B$126,'vehicles specifications'!CJ$2)/1000*$AQ62</f>
        <v>2.0701682565145526E-10</v>
      </c>
      <c r="CK62" s="38">
        <f>VLOOKUP($B62,'abrasion emissions'!$O$7:$R$36,2,FALSE)</f>
        <v>0.5</v>
      </c>
      <c r="CL62" s="38">
        <f>VLOOKUP($B62,'abrasion emissions'!$O$7:$R$36,3,FALSE)</f>
        <v>0.5</v>
      </c>
      <c r="CM62" s="38">
        <f>VLOOKUP($B62,'abrasion emissions'!$O$7:$R$36,4,FALSE)</f>
        <v>0</v>
      </c>
      <c r="CN62" s="7">
        <f>((SUMIFS('abrasion emissions'!$M$7:$M$34,'abrasion emissions'!$I$7:$I$34,"PM 2.5",'abrasion emissions'!$J$7:$J$34,"urban",'abrasion emissions'!$K$7:$K$34,"Tyre",'abrasion emissions'!$L$7:$L$34,"b")*POWER(('vehicles specifications'!$Q62/1000),(1/SUMIFS('abrasion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specifications'!$P62/1000),(1/SUMIFS('abrasion emissions'!$M$7:$M$34,'abrasion emissions'!$I$7:$I$34,"PM 10",'abrasion emissions'!$J$7:$J$34,"urban",'abrasion emissions'!$K$7:$K$34,"Tyre",'abrasion emissions'!$L$7:$L$34,"c")))))/1000000</f>
        <v>5.2021489517015507E-6</v>
      </c>
      <c r="CO62" s="7">
        <f>((SUMIFS('abrasion emissions'!$M$7:$M$34,'abrasion emissions'!$I$7:$I$34,"PM 2.5",'abrasion emissions'!$J$7:$J$34,"rural",'abrasion emissions'!$K$7:$K$34,"Tyre",'abrasion emissions'!$L$7:$L$34,"b")*POWER(('vehicles specifications'!$Q62/1000),(1/SUMIFS('abrasion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specifications'!$P62/1000),(1/SUMIFS('abrasion emissions'!$M$7:$M$34,'abrasion emissions'!$I$7:$I$34,"PM 10",'abrasion emissions'!$J$7:$J$34,"rural",'abrasion emissions'!$K$7:$K$34,"Tyre",'abrasion emissions'!$L$7:$L$34,"c")))))/1000000</f>
        <v>4.0522203529817079E-6</v>
      </c>
      <c r="CP62" s="7">
        <f>((SUMIFS('abrasion emissions'!$M$7:$M$34,'abrasion emissions'!$I$7:$I$34,"PM 2.5",'abrasion emissions'!$J$7:$J$34,"motorway",'abrasion emissions'!$K$7:$K$34,"Tyre",'abrasion emissions'!$L$7:$L$34,"b")*POWER(('vehicles specifications'!$Q62/1000),(1/SUMIFS('abrasion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specifications'!$P62/1000),(1/SUMIFS('abrasion emissions'!$M$7:$M$34,'abrasion emissions'!$I$7:$I$34,"PM 10",'abrasion emissions'!$J$7:$J$34,"motorway",'abrasion emissions'!$K$7:$K$34,"Tyre",'abrasion emissions'!$L$7:$L$34,"c")))))/1000000</f>
        <v>3.4623591453399859E-6</v>
      </c>
      <c r="CQ62" s="7">
        <f>((SUMIFS('abrasion emissions'!$M$7:$M$34,'abrasion emissions'!$I$7:$I$34,"PM 2.5",'abrasion emissions'!$J$7:$J$34,"urban",'abrasion emissions'!$K$7:$K$34,"Brake",'abrasion emissions'!$L$7:$L$34,"b")*POWER(('vehicles specifications'!$Q62/1000),(1/SUMIFS('abrasion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specifications'!$P62/1000),(1/SUMIFS('abrasion emissions'!$M$7:$M$34,'abrasion emissions'!$I$7:$I$34,"PM 10",'abrasion emissions'!$J$7:$J$34,"urban",'abrasion emissions'!$K$7:$K$34,"Brake",'abrasion emissions'!$L$7:$L$34,"c")))))/1000000</f>
        <v>4.8593353726651997E-6</v>
      </c>
      <c r="CR62" s="7">
        <f>((SUMIFS('abrasion emissions'!$M$7:$M$34,'abrasion emissions'!$I$7:$I$34,"PM 2.5",'abrasion emissions'!$J$7:$J$34,"rural",'abrasion emissions'!$K$7:$K$34,"Brake",'abrasion emissions'!$L$7:$L$34,"b")*POWER(('vehicles specifications'!$Q62/1000),(1/SUMIFS('abrasion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specifications'!$P62/1000),(1/SUMIFS('abrasion emissions'!$M$7:$M$34,'abrasion emissions'!$I$7:$I$34,"PM 10",'abrasion emissions'!$J$7:$J$34,"rural",'abrasion emissions'!$K$7:$K$34,"Brake",'abrasion emissions'!$L$7:$L$34,"c")))))/1000000</f>
        <v>1.4870824893160028E-6</v>
      </c>
      <c r="CS62" s="7">
        <f>((SUMIFS('abrasion emissions'!$M$7:$M$34,'abrasion emissions'!$I$7:$I$34,"PM 2.5",'abrasion emissions'!$J$7:$J$34,"motorway",'abrasion emissions'!$K$7:$K$34,"Brake",'abrasion emissions'!$L$7:$L$34,"b")*POWER(('vehicles specifications'!$Q62/1000),(1/SUMIFS('abrasion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specifications'!$P62/1000),(1/SUMIFS('abrasion emissions'!$M$7:$M$34,'abrasion emissions'!$I$7:$I$34,"PM 10",'abrasion emissions'!$J$7:$J$34,"motorway",'abrasion emissions'!$K$7:$K$34,"Brake",'abrasion emissions'!$L$7:$L$34,"c")))))/1000000</f>
        <v>2.6579461437856476E-7</v>
      </c>
      <c r="CT62" s="7">
        <f>((SUMIFS('abrasion emissions'!$M$7:$M$38,'abrasion emissions'!$I$7:$I$38,"PM 2.5",'abrasion emissions'!$K$7:$K$38,"Re-susp.",'abrasion emissions'!$L$7:$L$38,"b")*POWER(('vehicles specifications'!$Q62/1000),(1/SUMIFS('abrasion emissions'!$M$7:$M$38,'abrasion emissions'!$I$7:$I$38,"PM 2.5",'abrasion emissions'!$K$7:$K$38,"Re-susp.",'abrasion emissions'!$L$7:$L$38,"c"))))+
(SUMIFS('abrasion emissions'!$M$7:$M$38,'abrasion emissions'!$I$7:$I$38,"PM 10",'abrasion emissions'!$K$7:$K$38,"Re-susp.",'abrasion emissions'!$L$7:$L$38,"b")*POWER(('vehicles specifications'!$Q62/1000),(1/SUMIFS('abrasion emissions'!$M$7:$M$38,'abrasion emissions'!$I$7:$I$38,"PM 10",'abrasion emissions'!$K$7:$K$38,"Re-susp.",'abrasion emissions'!$L$7:$L$38,"c")))))/1000000</f>
        <v>2.7226778265899195E-6</v>
      </c>
      <c r="CU62" s="7">
        <f>((SUMIFS('abrasion emissions'!$M$7:$M$38,'abrasion emissions'!$I$7:$I$38,"PM 2.5",'abrasion emissions'!$K$7:$K$38,"Road",'abrasion emissions'!$L$7:$L$38,"b")*POWER(('vehicles specifications'!$Q62/1000),(1/SUMIFS('abrasion emissions'!$M$7:$M$38,'abrasion emissions'!$I$7:$I$38,"PM 2.5",'abrasion emissions'!$K$7:$K$38,"Road",'abrasion emissions'!$L$7:$L$38,"c"))))+
(SUMIFS('abrasion emissions'!$M$7:$M$38,'abrasion emissions'!$I$7:$I$38,"PM 10",'abrasion emissions'!$K$7:$K$38,"Road",'abrasion emissions'!$L$7:$L$38,"b")*POWER(('vehicles specifications'!$Q62/1000),(1/SUMIFS('abrasion emissions'!$M$7:$M$38,'abrasion emissions'!$I$7:$I$38,"PM 10",'abrasion emissions'!$K$7:$K$38,"Road",'abrasion emissions'!$L$7:$L$38,"c")))))/1000000+CT62</f>
        <v>5.4561328759754661E-6</v>
      </c>
      <c r="CV62" s="7">
        <f t="shared" si="13"/>
        <v>4.6271846523416297E-6</v>
      </c>
      <c r="CW62" s="7">
        <f t="shared" si="14"/>
        <v>3.1732089309906012E-6</v>
      </c>
    </row>
    <row r="63" spans="1:101" x14ac:dyDescent="0.2">
      <c r="A63" t="str">
        <f t="shared" si="1"/>
        <v>Moped, gasoline, &lt;4kW, EURO-5 - 2040 - CH</v>
      </c>
      <c r="B63" t="s">
        <v>356</v>
      </c>
      <c r="D63" s="18">
        <v>2040</v>
      </c>
      <c r="E63" t="s">
        <v>37</v>
      </c>
      <c r="F63" t="s">
        <v>141</v>
      </c>
      <c r="G63" t="s">
        <v>39</v>
      </c>
      <c r="H63" t="s">
        <v>35</v>
      </c>
      <c r="J63">
        <v>25000</v>
      </c>
      <c r="K63">
        <v>1570</v>
      </c>
      <c r="L63" s="2">
        <f t="shared" si="2"/>
        <v>15.923566878980891</v>
      </c>
      <c r="M63">
        <v>1</v>
      </c>
      <c r="N63">
        <v>75</v>
      </c>
      <c r="O63">
        <v>2</v>
      </c>
      <c r="P63" s="2">
        <f t="shared" si="64"/>
        <v>60.856874999999995</v>
      </c>
      <c r="Q63" s="2">
        <f t="shared" si="3"/>
        <v>137.856875</v>
      </c>
      <c r="R63">
        <v>2.5</v>
      </c>
      <c r="S63" s="2">
        <v>42.862499999999997</v>
      </c>
      <c r="T63" s="1">
        <v>0.05</v>
      </c>
      <c r="U63" s="2">
        <f t="shared" si="4"/>
        <v>40.719374999999992</v>
      </c>
      <c r="V63">
        <v>14.1</v>
      </c>
      <c r="W63">
        <v>0</v>
      </c>
      <c r="X63" s="3">
        <v>0</v>
      </c>
      <c r="Y63" s="1">
        <v>0.8</v>
      </c>
      <c r="Z63" s="3">
        <f t="shared" si="5"/>
        <v>0</v>
      </c>
      <c r="AA63" s="3" t="str">
        <f>IF(I63&lt;&gt;"",X63/INDEX('energy battery'!$B$3:$D$6,MATCH('vehicles specifications'!$D63,'energy battery'!$A$3:$A$6,0),MATCH('vehicles specifications'!$I63,'energy battery'!$B$2:$D$2,0)),"")</f>
        <v/>
      </c>
      <c r="AB63" s="3" t="str">
        <f t="shared" si="6"/>
        <v/>
      </c>
      <c r="AC63" s="3" t="str">
        <f t="shared" si="7"/>
        <v/>
      </c>
      <c r="AD63" s="3">
        <v>0</v>
      </c>
      <c r="AE63" s="3">
        <v>7</v>
      </c>
      <c r="AF63">
        <f>AE63*'fuels and tailpipe emissions'!$B$3</f>
        <v>5.25</v>
      </c>
      <c r="AG63" s="2">
        <f>AF63*'fuels and tailpipe emissions'!$C$3</f>
        <v>62.125</v>
      </c>
      <c r="AH63" s="3">
        <f t="shared" si="66"/>
        <v>0.78749999999999998</v>
      </c>
      <c r="AI63">
        <v>0</v>
      </c>
      <c r="AJ63">
        <v>0</v>
      </c>
      <c r="AK63">
        <f t="shared" si="67"/>
        <v>1</v>
      </c>
      <c r="AL63">
        <f t="shared" si="65"/>
        <v>7.4029141875000008E-5</v>
      </c>
      <c r="AM63">
        <v>1.2899999999999999E-3</v>
      </c>
      <c r="AN63" s="2">
        <f t="shared" si="9"/>
        <v>40.719374999999992</v>
      </c>
      <c r="AO63" s="2">
        <f t="shared" si="10"/>
        <v>14.1</v>
      </c>
      <c r="AP63" s="2" t="str">
        <f t="shared" si="11"/>
        <v/>
      </c>
      <c r="AQ63" s="6">
        <v>0.80650304993379429</v>
      </c>
      <c r="AR63" s="20">
        <v>0</v>
      </c>
      <c r="AS63" s="6" t="str">
        <f>IF($H63="BEV",SUMPRODUCT(#REF!,#REF!),"")</f>
        <v/>
      </c>
      <c r="AT63" s="2">
        <f t="shared" si="12"/>
        <v>277.30831274396223</v>
      </c>
      <c r="AU63" s="5">
        <f>IF($H63="ICEV-p",$AQ63/('fuels and tailpipe emissions'!$C$3*3.6)*'fuels and tailpipe emissions'!$D$3,"")*(1-AR63)</f>
        <v>5.944646893878202E-2</v>
      </c>
      <c r="AV63" s="5">
        <f>IF($H63="ICEV-p",$AQ63/('fuels and tailpipe emissions'!$C$3*3.6)*'fuels and tailpipe emissions'!$D$3,"")*AR63</f>
        <v>0</v>
      </c>
      <c r="AW63" s="7">
        <f>IF($H63="ICEV-p",$AQ63/('fuels and tailpipe emissions'!$C$3*3.6)*'fuels and tailpipe emissions'!$E$3,"")</f>
        <v>3.029119436371058E-7</v>
      </c>
      <c r="AX63" s="7">
        <f>SUMIFS('fuels and tailpipe emissions'!$C$10:$C$126,'fuels and tailpipe emissions'!$A$10:$A$126,'vehicles specifications'!$F63,'fuels and tailpipe emissions'!$B$10:$B$126,'vehicles specifications'!AX$2)/1000*$AQ63</f>
        <v>4.9037139839474579E-5</v>
      </c>
      <c r="AY63" s="7">
        <f>SUMIFS('fuels and tailpipe emissions'!$C$10:$C$126,'fuels and tailpipe emissions'!$A$10:$A$126,'vehicles specifications'!$F63,'fuels and tailpipe emissions'!$B$10:$B$126,'vehicles specifications'!AY$2)/1000*$AQ63</f>
        <v>2.2234893596900134E-5</v>
      </c>
      <c r="AZ63" s="7">
        <f>SUMIFS('fuels and tailpipe emissions'!$C$10:$C$126,'fuels and tailpipe emissions'!$A$10:$A$126,'vehicles specifications'!$F63,'fuels and tailpipe emissions'!$B$10:$B$126,'vehicles specifications'!AZ$2)/1000*$AQ63</f>
        <v>2.3511140203956193E-3</v>
      </c>
      <c r="BA63" s="7">
        <f>SUMIFS('fuels and tailpipe emissions'!$C$10:$C$126,'fuels and tailpipe emissions'!$A$10:$A$126,'vehicles specifications'!$F63,'fuels and tailpipe emissions'!$B$10:$B$126,'vehicles specifications'!BA$2)/1000*$AQ63</f>
        <v>1.1281021611821482E-6</v>
      </c>
      <c r="BB63" s="7">
        <f>SUMIFS('fuels and tailpipe emissions'!$C$10:$C$126,'fuels and tailpipe emissions'!$A$10:$A$126,'vehicles specifications'!$F63,'fuels and tailpipe emissions'!$B$10:$B$126,'vehicles specifications'!BB$2)/1000*$AQ63</f>
        <v>1.1281021611821482E-6</v>
      </c>
      <c r="BC63" s="7">
        <f>SUMIFS('fuels and tailpipe emissions'!$C$10:$C$126,'fuels and tailpipe emissions'!$A$10:$A$126,'vehicles specifications'!$F63,'fuels and tailpipe emissions'!$B$10:$B$126,'vehicles specifications'!BC$2)/1000*$AQ63</f>
        <v>8.4597180733547286E-5</v>
      </c>
      <c r="BD63" s="7">
        <f>SUMIFS('fuels and tailpipe emissions'!$C$10:$C$126,'fuels and tailpipe emissions'!$A$10:$A$126,'vehicles specifications'!$F63,'fuels and tailpipe emissions'!$B$10:$B$126,'vehicles specifications'!BD$2)/1000*$AQ63</f>
        <v>6.4786907116690766E-6</v>
      </c>
      <c r="BE63" s="7">
        <f>SUMIFS('fuels and tailpipe emissions'!$C$10:$C$126,'fuels and tailpipe emissions'!$A$10:$A$126,'vehicles specifications'!$F63,'fuels and tailpipe emissions'!$B$10:$B$126,'vehicles specifications'!BE$2)/1000*$AQ63</f>
        <v>3.9544388704774156E-4</v>
      </c>
      <c r="BF63" s="7">
        <f>SUMIFS('fuels and tailpipe emissions'!$C$10:$C$126,'fuels and tailpipe emissions'!$A$10:$A$126,'vehicles specifications'!$F63,'fuels and tailpipe emissions'!$B$10:$B$126,'vehicles specifications'!BF$2)/1000*$AQ63</f>
        <v>2.7883863830289469E-5</v>
      </c>
      <c r="BG63" s="7">
        <f>SUMIFS('fuels and tailpipe emissions'!$C$10:$C$126,'fuels and tailpipe emissions'!$A$10:$A$126,'vehicles specifications'!$F63,'fuels and tailpipe emissions'!$B$10:$B$126,'vehicles specifications'!BG$2)/1000*$AQ63</f>
        <v>5.6816650437893903E-6</v>
      </c>
      <c r="BH63" s="7">
        <f>SUMIFS('fuels and tailpipe emissions'!$C$10:$C$126,'fuels and tailpipe emissions'!$A$10:$A$126,'vehicles specifications'!$F63,'fuels and tailpipe emissions'!$B$10:$B$126,'vehicles specifications'!BH$2)/1000*$AQ63</f>
        <v>4.5802961276086779E-5</v>
      </c>
      <c r="BI63" s="7">
        <f>SUMIFS('fuels and tailpipe emissions'!$C$10:$C$126,'fuels and tailpipe emissions'!$A$10:$A$126,'vehicles specifications'!$F63,'fuels and tailpipe emissions'!$B$10:$B$126,'vehicles specifications'!BI$2)/1000*$AQ63</f>
        <v>1.8793199760226445E-5</v>
      </c>
      <c r="BJ63" s="7">
        <f>SUMIFS('fuels and tailpipe emissions'!$C$10:$C$126,'fuels and tailpipe emissions'!$A$10:$A$126,'vehicles specifications'!$F63,'fuels and tailpipe emissions'!$B$10:$B$126,'vehicles specifications'!BJ$2)/1000*$AQ63</f>
        <v>1.4073047262309106E-5</v>
      </c>
      <c r="BK63" s="7">
        <f>SUMIFS('fuels and tailpipe emissions'!$C$10:$C$126,'fuels and tailpipe emissions'!$A$10:$A$126,'vehicles specifications'!$F63,'fuels and tailpipe emissions'!$B$10:$B$126,'vehicles specifications'!BK$2)/1000*$AQ63</f>
        <v>9.9647663844921616E-6</v>
      </c>
      <c r="BL63" s="7">
        <f>SUMIFS('fuels and tailpipe emissions'!$C$10:$C$126,'fuels and tailpipe emissions'!$A$10:$A$126,'vehicles specifications'!$F63,'fuels and tailpipe emissions'!$B$10:$B$126,'vehicles specifications'!BL$2)/1000*$AQ63</f>
        <v>6.4683571267756131E-6</v>
      </c>
      <c r="BM63" s="7">
        <f>SUMIFS('fuels and tailpipe emissions'!$C$10:$C$126,'fuels and tailpipe emissions'!$A$10:$A$126,'vehicles specifications'!$F63,'fuels and tailpipe emissions'!$B$10:$B$126,'vehicles specifications'!BM$2)/1000*$AQ63</f>
        <v>6.3809468953327002E-5</v>
      </c>
      <c r="BN63" s="7">
        <f>SUMIFS('fuels and tailpipe emissions'!$C$10:$C$126,'fuels and tailpipe emissions'!$A$10:$A$126,'vehicles specifications'!$F63,'fuels and tailpipe emissions'!$B$10:$B$126,'vehicles specifications'!BN$2)/1000*$AQ63</f>
        <v>3.3390708411193032E-5</v>
      </c>
      <c r="BO63" s="7">
        <f>SUMIFS('fuels and tailpipe emissions'!$C$10:$C$126,'fuels and tailpipe emissions'!$A$10:$A$126,'vehicles specifications'!$F63,'fuels and tailpipe emissions'!$B$10:$B$126,'vehicles specifications'!BO$2)/1000*$AQ63</f>
        <v>9.6151254587205081E-7</v>
      </c>
      <c r="BP63" s="7">
        <f>SUMIFS('fuels and tailpipe emissions'!$C$10:$C$126,'fuels and tailpipe emissions'!$A$10:$A$126,'vehicles specifications'!$F63,'fuels and tailpipe emissions'!$B$10:$B$126,'vehicles specifications'!BP$2)/1000*$AQ63</f>
        <v>4.9037139839474579E-5</v>
      </c>
      <c r="BQ63" s="7">
        <f>SUMIFS('fuels and tailpipe emissions'!$C$10:$C$126,'fuels and tailpipe emissions'!$A$10:$A$126,'vehicles specifications'!$F63,'fuels and tailpipe emissions'!$B$10:$B$126,'vehicles specifications'!BQ$2)/1000*$AQ63</f>
        <v>9.5976434124319234E-5</v>
      </c>
      <c r="BR63" s="7">
        <f>SUMIFS('fuels and tailpipe emissions'!$C$10:$C$126,'fuels and tailpipe emissions'!$A$10:$A$126,'vehicles specifications'!$F63,'fuels and tailpipe emissions'!$B$10:$B$126,'vehicles specifications'!BR$2)/1000*$AQ63</f>
        <v>4.7463755673502142E-5</v>
      </c>
      <c r="BS63" s="7">
        <f>SUMIFS('fuels and tailpipe emissions'!$C$10:$C$126,'fuels and tailpipe emissions'!$A$10:$A$126,'vehicles specifications'!$F63,'fuels and tailpipe emissions'!$B$10:$B$126,'vehicles specifications'!BS$2)/1000*$AQ63</f>
        <v>1.9754712306098495E-5</v>
      </c>
      <c r="BT63" s="7">
        <f>SUMIFS('fuels and tailpipe emissions'!$C$10:$C$126,'fuels and tailpipe emissions'!$A$10:$A$126,'vehicles specifications'!$F63,'fuels and tailpipe emissions'!$B$10:$B$126,'vehicles specifications'!BT$2)/1000*$AQ63</f>
        <v>1.485973934529533E-5</v>
      </c>
      <c r="BU63" s="7">
        <f>SUMIFS('fuels and tailpipe emissions'!$C$10:$C$126,'fuels and tailpipe emissions'!$A$10:$A$126,'vehicles specifications'!$F63,'fuels and tailpipe emissions'!$B$10:$B$126,'vehicles specifications'!BU$2)/1000*$AQ63</f>
        <v>6.5557673582185264E-6</v>
      </c>
      <c r="BV63" s="7">
        <f>SUMIFS('fuels and tailpipe emissions'!$C$10:$C$126,'fuels and tailpipe emissions'!$A$10:$A$126,'vehicles specifications'!$F63,'fuels and tailpipe emissions'!$B$10:$B$126,'vehicles specifications'!BV$2)/1000*$AQ63</f>
        <v>1.9230250917441016E-6</v>
      </c>
      <c r="BW63" s="7">
        <f>SUMIFS('fuels and tailpipe emissions'!$C$10:$C$126,'fuels and tailpipe emissions'!$A$10:$A$126,'vehicles specifications'!$F63,'fuels and tailpipe emissions'!$B$10:$B$126,'vehicles specifications'!BW$2)/1000*$AQ63</f>
        <v>5.3320241180177364E-6</v>
      </c>
      <c r="BX63" s="7">
        <f>SUMIFS('fuels and tailpipe emissions'!$C$10:$C$126,'fuels and tailpipe emissions'!$A$10:$A$126,'vehicles specifications'!$F63,'fuels and tailpipe emissions'!$B$10:$B$126,'vehicles specifications'!BX$2)/1000*$AQ63</f>
        <v>0</v>
      </c>
      <c r="BY63" s="7">
        <f>SUMIFS('fuels and tailpipe emissions'!$C$10:$C$126,'fuels and tailpipe emissions'!$A$10:$A$126,'vehicles specifications'!$F63,'fuels and tailpipe emissions'!$B$10:$B$126,'vehicles specifications'!BY$2)/1000*$AQ63</f>
        <v>1.6607943974153603E-6</v>
      </c>
      <c r="BZ63" s="7">
        <f>SUMIFS('fuels and tailpipe emissions'!$C$10:$C$126,'fuels and tailpipe emissions'!$A$10:$A$126,'vehicles specifications'!$F63,'fuels and tailpipe emissions'!$B$10:$B$126,'vehicles specifications'!BZ$2)/1000*$AQ63</f>
        <v>8.8284333757342832E-6</v>
      </c>
      <c r="CA63" s="7">
        <f>SUMIFS('fuels and tailpipe emissions'!$C$10:$C$126,'fuels and tailpipe emissions'!$A$10:$A$126,'vehicles specifications'!$F63,'fuels and tailpipe emissions'!$B$10:$B$126,'vehicles specifications'!CA$2)/1000*$AQ63</f>
        <v>6.603836738281422E-10</v>
      </c>
      <c r="CB63" s="7">
        <f>SUMIFS('fuels and tailpipe emissions'!$C$10:$C$126,'fuels and tailpipe emissions'!$A$10:$A$126,'vehicles specifications'!$F63,'fuels and tailpipe emissions'!$B$10:$B$126,'vehicles specifications'!CB$2)/1000*$AQ63</f>
        <v>5.6929627054150187E-12</v>
      </c>
      <c r="CC63" s="7">
        <f>SUMIFS('fuels and tailpipe emissions'!$C$10:$C$126,'fuels and tailpipe emissions'!$A$10:$A$126,'vehicles specifications'!$F63,'fuels and tailpipe emissions'!$B$10:$B$126,'vehicles specifications'!CC$2)/1000*$AQ63</f>
        <v>3.7953084702766794E-12</v>
      </c>
      <c r="CD63" s="7">
        <f>SUMIFS('fuels and tailpipe emissions'!$C$10:$C$126,'fuels and tailpipe emissions'!$A$10:$A$126,'vehicles specifications'!$F63,'fuels and tailpipe emissions'!$B$10:$B$126,'vehicles specifications'!CD$2)/1000*$AQ63</f>
        <v>4.0989331478988139E-8</v>
      </c>
      <c r="CE63" s="7">
        <f>SUMIFS('fuels and tailpipe emissions'!$C$10:$C$126,'fuels and tailpipe emissions'!$A$10:$A$126,'vehicles specifications'!$F63,'fuels and tailpipe emissions'!$B$10:$B$126,'vehicles specifications'!CE$2)/1000*$AQ63</f>
        <v>7.9701477875810258E-10</v>
      </c>
      <c r="CF63" s="7">
        <f>SUMIFS('fuels and tailpipe emissions'!$C$10:$C$126,'fuels and tailpipe emissions'!$A$10:$A$126,'vehicles specifications'!$F63,'fuels and tailpipe emissions'!$B$10:$B$126,'vehicles specifications'!CF$2)/1000*$AQ63</f>
        <v>2.4669505056798415E-10</v>
      </c>
      <c r="CG63" s="7">
        <f>SUMIFS('fuels and tailpipe emissions'!$C$10:$C$126,'fuels and tailpipe emissions'!$A$10:$A$126,'vehicles specifications'!$F63,'fuels and tailpipe emissions'!$B$10:$B$126,'vehicles specifications'!CG$2)/1000*$AQ63</f>
        <v>3.0362467762213434E-10</v>
      </c>
      <c r="CH63" s="7">
        <f>SUMIFS('fuels and tailpipe emissions'!$C$10:$C$126,'fuels and tailpipe emissions'!$A$10:$A$126,'vehicles specifications'!$F63,'fuels and tailpipe emissions'!$B$10:$B$126,'vehicles specifications'!CH$2)/1000*$AQ63</f>
        <v>6.0724935524426863E-13</v>
      </c>
      <c r="CI63" s="7">
        <f>SUMIFS('fuels and tailpipe emissions'!$C$10:$C$126,'fuels and tailpipe emissions'!$A$10:$A$126,'vehicles specifications'!$F63,'fuels and tailpipe emissions'!$B$10:$B$126,'vehicles specifications'!CI$2)/1000*$AQ63</f>
        <v>1.6509591845703555E-10</v>
      </c>
      <c r="CJ63" s="7">
        <f>SUMIFS('fuels and tailpipe emissions'!$C$10:$C$126,'fuels and tailpipe emissions'!$A$10:$A$126,'vehicles specifications'!$F63,'fuels and tailpipe emissions'!$B$10:$B$126,'vehicles specifications'!CJ$2)/1000*$AQ63</f>
        <v>2.0494665739494072E-10</v>
      </c>
      <c r="CK63" s="38">
        <f>VLOOKUP($B63,'abrasion emissions'!$O$7:$R$36,2,FALSE)</f>
        <v>0.5</v>
      </c>
      <c r="CL63" s="38">
        <f>VLOOKUP($B63,'abrasion emissions'!$O$7:$R$36,3,FALSE)</f>
        <v>0.5</v>
      </c>
      <c r="CM63" s="38">
        <f>VLOOKUP($B63,'abrasion emissions'!$O$7:$R$36,4,FALSE)</f>
        <v>0</v>
      </c>
      <c r="CN63" s="7">
        <f>((SUMIFS('abrasion emissions'!$M$7:$M$34,'abrasion emissions'!$I$7:$I$34,"PM 2.5",'abrasion emissions'!$J$7:$J$34,"urban",'abrasion emissions'!$K$7:$K$34,"Tyre",'abrasion emissions'!$L$7:$L$34,"b")*POWER(('vehicles specifications'!$Q63/1000),(1/SUMIFS('abrasion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specifications'!$P63/1000),(1/SUMIFS('abrasion emissions'!$M$7:$M$34,'abrasion emissions'!$I$7:$I$34,"PM 10",'abrasion emissions'!$J$7:$J$34,"urban",'abrasion emissions'!$K$7:$K$34,"Tyre",'abrasion emissions'!$L$7:$L$34,"c")))))/1000000</f>
        <v>5.1819758628212954E-6</v>
      </c>
      <c r="CO63" s="7">
        <f>((SUMIFS('abrasion emissions'!$M$7:$M$34,'abrasion emissions'!$I$7:$I$34,"PM 2.5",'abrasion emissions'!$J$7:$J$34,"rural",'abrasion emissions'!$K$7:$K$34,"Tyre",'abrasion emissions'!$L$7:$L$34,"b")*POWER(('vehicles specifications'!$Q63/1000),(1/SUMIFS('abrasion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specifications'!$P63/1000),(1/SUMIFS('abrasion emissions'!$M$7:$M$34,'abrasion emissions'!$I$7:$I$34,"PM 10",'abrasion emissions'!$J$7:$J$34,"rural",'abrasion emissions'!$K$7:$K$34,"Tyre",'abrasion emissions'!$L$7:$L$34,"c")))))/1000000</f>
        <v>4.0365248093398033E-6</v>
      </c>
      <c r="CP63" s="7">
        <f>((SUMIFS('abrasion emissions'!$M$7:$M$34,'abrasion emissions'!$I$7:$I$34,"PM 2.5",'abrasion emissions'!$J$7:$J$34,"motorway",'abrasion emissions'!$K$7:$K$34,"Tyre",'abrasion emissions'!$L$7:$L$34,"b")*POWER(('vehicles specifications'!$Q63/1000),(1/SUMIFS('abrasion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specifications'!$P63/1000),(1/SUMIFS('abrasion emissions'!$M$7:$M$34,'abrasion emissions'!$I$7:$I$34,"PM 10",'abrasion emissions'!$J$7:$J$34,"motorway",'abrasion emissions'!$K$7:$K$34,"Tyre",'abrasion emissions'!$L$7:$L$34,"c")))))/1000000</f>
        <v>3.4489942631740767E-6</v>
      </c>
      <c r="CQ63" s="7">
        <f>((SUMIFS('abrasion emissions'!$M$7:$M$34,'abrasion emissions'!$I$7:$I$34,"PM 2.5",'abrasion emissions'!$J$7:$J$34,"urban",'abrasion emissions'!$K$7:$K$34,"Brake",'abrasion emissions'!$L$7:$L$34,"b")*POWER(('vehicles specifications'!$Q63/1000),(1/SUMIFS('abrasion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specifications'!$P63/1000),(1/SUMIFS('abrasion emissions'!$M$7:$M$34,'abrasion emissions'!$I$7:$I$34,"PM 10",'abrasion emissions'!$J$7:$J$34,"urban",'abrasion emissions'!$K$7:$K$34,"Brake",'abrasion emissions'!$L$7:$L$34,"c")))))/1000000</f>
        <v>4.8392084509214339E-6</v>
      </c>
      <c r="CR63" s="7">
        <f>((SUMIFS('abrasion emissions'!$M$7:$M$34,'abrasion emissions'!$I$7:$I$34,"PM 2.5",'abrasion emissions'!$J$7:$J$34,"rural",'abrasion emissions'!$K$7:$K$34,"Brake",'abrasion emissions'!$L$7:$L$34,"b")*POWER(('vehicles specifications'!$Q63/1000),(1/SUMIFS('abrasion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specifications'!$P63/1000),(1/SUMIFS('abrasion emissions'!$M$7:$M$34,'abrasion emissions'!$I$7:$I$34,"PM 10",'abrasion emissions'!$J$7:$J$34,"rural",'abrasion emissions'!$K$7:$K$34,"Brake",'abrasion emissions'!$L$7:$L$34,"c")))))/1000000</f>
        <v>1.4793676206509226E-6</v>
      </c>
      <c r="CS63" s="7">
        <f>((SUMIFS('abrasion emissions'!$M$7:$M$34,'abrasion emissions'!$I$7:$I$34,"PM 2.5",'abrasion emissions'!$J$7:$J$34,"motorway",'abrasion emissions'!$K$7:$K$34,"Brake",'abrasion emissions'!$L$7:$L$34,"b")*POWER(('vehicles specifications'!$Q63/1000),(1/SUMIFS('abrasion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specifications'!$P63/1000),(1/SUMIFS('abrasion emissions'!$M$7:$M$34,'abrasion emissions'!$I$7:$I$34,"PM 10",'abrasion emissions'!$J$7:$J$34,"motorway",'abrasion emissions'!$K$7:$K$34,"Brake",'abrasion emissions'!$L$7:$L$34,"c")))))/1000000</f>
        <v>2.6422422696406521E-7</v>
      </c>
      <c r="CT63" s="7">
        <f>((SUMIFS('abrasion emissions'!$M$7:$M$38,'abrasion emissions'!$I$7:$I$38,"PM 2.5",'abrasion emissions'!$K$7:$K$38,"Re-susp.",'abrasion emissions'!$L$7:$L$38,"b")*POWER(('vehicles specifications'!$Q63/1000),(1/SUMIFS('abrasion emissions'!$M$7:$M$38,'abrasion emissions'!$I$7:$I$38,"PM 2.5",'abrasion emissions'!$K$7:$K$38,"Re-susp.",'abrasion emissions'!$L$7:$L$38,"c"))))+
(SUMIFS('abrasion emissions'!$M$7:$M$38,'abrasion emissions'!$I$7:$I$38,"PM 10",'abrasion emissions'!$K$7:$K$38,"Re-susp.",'abrasion emissions'!$L$7:$L$38,"b")*POWER(('vehicles specifications'!$Q63/1000),(1/SUMIFS('abrasion emissions'!$M$7:$M$38,'abrasion emissions'!$I$7:$I$38,"PM 10",'abrasion emissions'!$K$7:$K$38,"Re-susp.",'abrasion emissions'!$L$7:$L$38,"c")))))/1000000</f>
        <v>2.7071109570661907E-6</v>
      </c>
      <c r="CU63" s="7">
        <f>((SUMIFS('abrasion emissions'!$M$7:$M$38,'abrasion emissions'!$I$7:$I$38,"PM 2.5",'abrasion emissions'!$K$7:$K$38,"Road",'abrasion emissions'!$L$7:$L$38,"b")*POWER(('vehicles specifications'!$Q63/1000),(1/SUMIFS('abrasion emissions'!$M$7:$M$38,'abrasion emissions'!$I$7:$I$38,"PM 2.5",'abrasion emissions'!$K$7:$K$38,"Road",'abrasion emissions'!$L$7:$L$38,"c"))))+
(SUMIFS('abrasion emissions'!$M$7:$M$38,'abrasion emissions'!$I$7:$I$38,"PM 10",'abrasion emissions'!$K$7:$K$38,"Road",'abrasion emissions'!$L$7:$L$38,"b")*POWER(('vehicles specifications'!$Q63/1000),(1/SUMIFS('abrasion emissions'!$M$7:$M$38,'abrasion emissions'!$I$7:$I$38,"PM 10",'abrasion emissions'!$K$7:$K$38,"Road",'abrasion emissions'!$L$7:$L$38,"c")))))/1000000+CT63</f>
        <v>5.4290963569976135E-6</v>
      </c>
      <c r="CV63" s="7">
        <f t="shared" si="13"/>
        <v>4.6092503360805489E-6</v>
      </c>
      <c r="CW63" s="7">
        <f t="shared" si="14"/>
        <v>3.1592880357861782E-6</v>
      </c>
    </row>
    <row r="64" spans="1:101" x14ac:dyDescent="0.2">
      <c r="A64" t="str">
        <f t="shared" si="1"/>
        <v>Moped, gasoline, &lt;4kW, EURO-5 - 2050 - CH</v>
      </c>
      <c r="B64" t="s">
        <v>356</v>
      </c>
      <c r="D64" s="18">
        <v>2050</v>
      </c>
      <c r="E64" t="s">
        <v>37</v>
      </c>
      <c r="F64" t="s">
        <v>141</v>
      </c>
      <c r="G64" t="s">
        <v>39</v>
      </c>
      <c r="H64" t="s">
        <v>35</v>
      </c>
      <c r="J64">
        <v>25000</v>
      </c>
      <c r="K64">
        <v>1570</v>
      </c>
      <c r="L64" s="2">
        <f t="shared" si="2"/>
        <v>15.923566878980891</v>
      </c>
      <c r="M64">
        <v>1</v>
      </c>
      <c r="N64">
        <v>75</v>
      </c>
      <c r="O64">
        <v>2</v>
      </c>
      <c r="P64" s="2">
        <f t="shared" si="64"/>
        <v>59.971624999999996</v>
      </c>
      <c r="Q64" s="2">
        <f t="shared" si="3"/>
        <v>136.97162499999999</v>
      </c>
      <c r="R64">
        <v>2.5</v>
      </c>
      <c r="S64" s="2">
        <v>43.262500000000003</v>
      </c>
      <c r="T64" s="1">
        <v>7.0000000000000007E-2</v>
      </c>
      <c r="U64" s="2">
        <f t="shared" si="4"/>
        <v>40.234124999999999</v>
      </c>
      <c r="V64">
        <v>13.7</v>
      </c>
      <c r="W64">
        <v>0</v>
      </c>
      <c r="X64" s="3">
        <v>0</v>
      </c>
      <c r="Y64" s="1">
        <v>0.8</v>
      </c>
      <c r="Z64" s="3">
        <f t="shared" si="5"/>
        <v>0</v>
      </c>
      <c r="AA64" s="3" t="str">
        <f>IF(I64&lt;&gt;"",X64/INDEX('energy battery'!$B$3:$D$6,MATCH('vehicles specifications'!$D64,'energy battery'!$A$3:$A$6,0),MATCH('vehicles specifications'!$I64,'energy battery'!$B$2:$D$2,0)),"")</f>
        <v/>
      </c>
      <c r="AB64" s="3" t="str">
        <f t="shared" si="6"/>
        <v/>
      </c>
      <c r="AC64" s="3" t="str">
        <f t="shared" si="7"/>
        <v/>
      </c>
      <c r="AD64" s="3">
        <v>0</v>
      </c>
      <c r="AE64" s="3">
        <v>7</v>
      </c>
      <c r="AF64">
        <f>AE64*'fuels and tailpipe emissions'!$B$3</f>
        <v>5.25</v>
      </c>
      <c r="AG64" s="2">
        <f>AF64*'fuels and tailpipe emissions'!$C$3</f>
        <v>62.125</v>
      </c>
      <c r="AH64" s="3">
        <f t="shared" si="66"/>
        <v>0.78749999999999998</v>
      </c>
      <c r="AI64">
        <v>0</v>
      </c>
      <c r="AJ64">
        <v>0</v>
      </c>
      <c r="AK64">
        <f t="shared" si="67"/>
        <v>1</v>
      </c>
      <c r="AL64">
        <f t="shared" si="65"/>
        <v>7.3553762624999994E-5</v>
      </c>
      <c r="AM64">
        <v>1.2899999999999999E-3</v>
      </c>
      <c r="AN64" s="2">
        <f t="shared" si="9"/>
        <v>40.234124999999999</v>
      </c>
      <c r="AO64" s="2">
        <f t="shared" si="10"/>
        <v>13.7</v>
      </c>
      <c r="AP64" s="2" t="str">
        <f t="shared" si="11"/>
        <v/>
      </c>
      <c r="AQ64" s="6">
        <v>0.79843801943445636</v>
      </c>
      <c r="AR64" s="20">
        <v>0</v>
      </c>
      <c r="AS64" s="6" t="str">
        <f>IF($H64="BEV",SUMPRODUCT(#REF!,#REF!),"")</f>
        <v/>
      </c>
      <c r="AT64" s="2">
        <f t="shared" si="12"/>
        <v>280.10940681208302</v>
      </c>
      <c r="AU64" s="5">
        <f>IF($H64="ICEV-p",$AQ64/('fuels and tailpipe emissions'!$C$3*3.6)*'fuels and tailpipe emissions'!$D$3,"")*(1-AR64)</f>
        <v>5.8852004249394199E-2</v>
      </c>
      <c r="AV64" s="5">
        <f>IF($H64="ICEV-p",$AQ64/('fuels and tailpipe emissions'!$C$3*3.6)*'fuels and tailpipe emissions'!$D$3,"")*AR64</f>
        <v>0</v>
      </c>
      <c r="AW64" s="7">
        <f>IF($H64="ICEV-p",$AQ64/('fuels and tailpipe emissions'!$C$3*3.6)*'fuels and tailpipe emissions'!$E$3,"")</f>
        <v>2.9988282420073472E-7</v>
      </c>
      <c r="AX64" s="7">
        <f>SUMIFS('fuels and tailpipe emissions'!$C$10:$C$126,'fuels and tailpipe emissions'!$A$10:$A$126,'vehicles specifications'!$F64,'fuels and tailpipe emissions'!$B$10:$B$126,'vehicles specifications'!AX$2)/1000*$AQ64</f>
        <v>4.854676844107983E-5</v>
      </c>
      <c r="AY64" s="7">
        <f>SUMIFS('fuels and tailpipe emissions'!$C$10:$C$126,'fuels and tailpipe emissions'!$A$10:$A$126,'vehicles specifications'!$F64,'fuels and tailpipe emissions'!$B$10:$B$126,'vehicles specifications'!AY$2)/1000*$AQ64</f>
        <v>2.2012544660931132E-5</v>
      </c>
      <c r="AZ64" s="7">
        <f>SUMIFS('fuels and tailpipe emissions'!$C$10:$C$126,'fuels and tailpipe emissions'!$A$10:$A$126,'vehicles specifications'!$F64,'fuels and tailpipe emissions'!$B$10:$B$126,'vehicles specifications'!AZ$2)/1000*$AQ64</f>
        <v>2.3276028801916633E-3</v>
      </c>
      <c r="BA64" s="7">
        <f>SUMIFS('fuels and tailpipe emissions'!$C$10:$C$126,'fuels and tailpipe emissions'!$A$10:$A$126,'vehicles specifications'!$F64,'fuels and tailpipe emissions'!$B$10:$B$126,'vehicles specifications'!BA$2)/1000*$AQ64</f>
        <v>1.1168211395703267E-6</v>
      </c>
      <c r="BB64" s="7">
        <f>SUMIFS('fuels and tailpipe emissions'!$C$10:$C$126,'fuels and tailpipe emissions'!$A$10:$A$126,'vehicles specifications'!$F64,'fuels and tailpipe emissions'!$B$10:$B$126,'vehicles specifications'!BB$2)/1000*$AQ64</f>
        <v>1.1168211395703267E-6</v>
      </c>
      <c r="BC64" s="7">
        <f>SUMIFS('fuels and tailpipe emissions'!$C$10:$C$126,'fuels and tailpipe emissions'!$A$10:$A$126,'vehicles specifications'!$F64,'fuels and tailpipe emissions'!$B$10:$B$126,'vehicles specifications'!BC$2)/1000*$AQ64</f>
        <v>8.3751208926211812E-5</v>
      </c>
      <c r="BD64" s="7">
        <f>SUMIFS('fuels and tailpipe emissions'!$C$10:$C$126,'fuels and tailpipe emissions'!$A$10:$A$126,'vehicles specifications'!$F64,'fuels and tailpipe emissions'!$B$10:$B$126,'vehicles specifications'!BD$2)/1000*$AQ64</f>
        <v>6.4139038045523853E-6</v>
      </c>
      <c r="BE64" s="7">
        <f>SUMIFS('fuels and tailpipe emissions'!$C$10:$C$126,'fuels and tailpipe emissions'!$A$10:$A$126,'vehicles specifications'!$F64,'fuels and tailpipe emissions'!$B$10:$B$126,'vehicles specifications'!BE$2)/1000*$AQ64</f>
        <v>3.9148944817726415E-4</v>
      </c>
      <c r="BF64" s="7">
        <f>SUMIFS('fuels and tailpipe emissions'!$C$10:$C$126,'fuels and tailpipe emissions'!$A$10:$A$126,'vehicles specifications'!$F64,'fuels and tailpipe emissions'!$B$10:$B$126,'vehicles specifications'!BF$2)/1000*$AQ64</f>
        <v>2.7605025191986573E-5</v>
      </c>
      <c r="BG64" s="7">
        <f>SUMIFS('fuels and tailpipe emissions'!$C$10:$C$126,'fuels and tailpipe emissions'!$A$10:$A$126,'vehicles specifications'!$F64,'fuels and tailpipe emissions'!$B$10:$B$126,'vehicles specifications'!BG$2)/1000*$AQ64</f>
        <v>5.6248483933514962E-6</v>
      </c>
      <c r="BH64" s="7">
        <f>SUMIFS('fuels and tailpipe emissions'!$C$10:$C$126,'fuels and tailpipe emissions'!$A$10:$A$126,'vehicles specifications'!$F64,'fuels and tailpipe emissions'!$B$10:$B$126,'vehicles specifications'!BH$2)/1000*$AQ64</f>
        <v>4.5344931663325912E-5</v>
      </c>
      <c r="BI64" s="7">
        <f>SUMIFS('fuels and tailpipe emissions'!$C$10:$C$126,'fuels and tailpipe emissions'!$A$10:$A$126,'vehicles specifications'!$F64,'fuels and tailpipe emissions'!$B$10:$B$126,'vehicles specifications'!BI$2)/1000*$AQ64</f>
        <v>1.8605267762624179E-5</v>
      </c>
      <c r="BJ64" s="7">
        <f>SUMIFS('fuels and tailpipe emissions'!$C$10:$C$126,'fuels and tailpipe emissions'!$A$10:$A$126,'vehicles specifications'!$F64,'fuels and tailpipe emissions'!$B$10:$B$126,'vehicles specifications'!BJ$2)/1000*$AQ64</f>
        <v>1.3932316789686016E-5</v>
      </c>
      <c r="BK64" s="7">
        <f>SUMIFS('fuels and tailpipe emissions'!$C$10:$C$126,'fuels and tailpipe emissions'!$A$10:$A$126,'vehicles specifications'!$F64,'fuels and tailpipe emissions'!$B$10:$B$126,'vehicles specifications'!BK$2)/1000*$AQ64</f>
        <v>9.8651187206472398E-6</v>
      </c>
      <c r="BL64" s="7">
        <f>SUMIFS('fuels and tailpipe emissions'!$C$10:$C$126,'fuels and tailpipe emissions'!$A$10:$A$126,'vehicles specifications'!$F64,'fuels and tailpipe emissions'!$B$10:$B$126,'vehicles specifications'!BL$2)/1000*$AQ64</f>
        <v>6.4036735555078573E-6</v>
      </c>
      <c r="BM64" s="7">
        <f>SUMIFS('fuels and tailpipe emissions'!$C$10:$C$126,'fuels and tailpipe emissions'!$A$10:$A$126,'vehicles specifications'!$F64,'fuels and tailpipe emissions'!$B$10:$B$126,'vehicles specifications'!BM$2)/1000*$AQ64</f>
        <v>6.3171374263793726E-5</v>
      </c>
      <c r="BN64" s="7">
        <f>SUMIFS('fuels and tailpipe emissions'!$C$10:$C$126,'fuels and tailpipe emissions'!$A$10:$A$126,'vehicles specifications'!$F64,'fuels and tailpipe emissions'!$B$10:$B$126,'vehicles specifications'!BN$2)/1000*$AQ64</f>
        <v>3.3056801327081096E-5</v>
      </c>
      <c r="BO64" s="7">
        <f>SUMIFS('fuels and tailpipe emissions'!$C$10:$C$126,'fuels and tailpipe emissions'!$A$10:$A$126,'vehicles specifications'!$F64,'fuels and tailpipe emissions'!$B$10:$B$126,'vehicles specifications'!BO$2)/1000*$AQ64</f>
        <v>9.5189742041333027E-7</v>
      </c>
      <c r="BP64" s="7">
        <f>SUMIFS('fuels and tailpipe emissions'!$C$10:$C$126,'fuels and tailpipe emissions'!$A$10:$A$126,'vehicles specifications'!$F64,'fuels and tailpipe emissions'!$B$10:$B$126,'vehicles specifications'!BP$2)/1000*$AQ64</f>
        <v>4.854676844107983E-5</v>
      </c>
      <c r="BQ64" s="7">
        <f>SUMIFS('fuels and tailpipe emissions'!$C$10:$C$126,'fuels and tailpipe emissions'!$A$10:$A$126,'vehicles specifications'!$F64,'fuels and tailpipe emissions'!$B$10:$B$126,'vehicles specifications'!BQ$2)/1000*$AQ64</f>
        <v>9.5016669783076047E-5</v>
      </c>
      <c r="BR64" s="7">
        <f>SUMIFS('fuels and tailpipe emissions'!$C$10:$C$126,'fuels and tailpipe emissions'!$A$10:$A$126,'vehicles specifications'!$F64,'fuels and tailpipe emissions'!$B$10:$B$126,'vehicles specifications'!BR$2)/1000*$AQ64</f>
        <v>4.698911811676712E-5</v>
      </c>
      <c r="BS64" s="7">
        <f>SUMIFS('fuels and tailpipe emissions'!$C$10:$C$126,'fuels and tailpipe emissions'!$A$10:$A$126,'vehicles specifications'!$F64,'fuels and tailpipe emissions'!$B$10:$B$126,'vehicles specifications'!BS$2)/1000*$AQ64</f>
        <v>1.9557165183037508E-5</v>
      </c>
      <c r="BT64" s="7">
        <f>SUMIFS('fuels and tailpipe emissions'!$C$10:$C$126,'fuels and tailpipe emissions'!$A$10:$A$126,'vehicles specifications'!$F64,'fuels and tailpipe emissions'!$B$10:$B$126,'vehicles specifications'!BT$2)/1000*$AQ64</f>
        <v>1.4711141951842378E-5</v>
      </c>
      <c r="BU64" s="7">
        <f>SUMIFS('fuels and tailpipe emissions'!$C$10:$C$126,'fuels and tailpipe emissions'!$A$10:$A$126,'vehicles specifications'!$F64,'fuels and tailpipe emissions'!$B$10:$B$126,'vehicles specifications'!BU$2)/1000*$AQ64</f>
        <v>6.4902096846363412E-6</v>
      </c>
      <c r="BV64" s="7">
        <f>SUMIFS('fuels and tailpipe emissions'!$C$10:$C$126,'fuels and tailpipe emissions'!$A$10:$A$126,'vehicles specifications'!$F64,'fuels and tailpipe emissions'!$B$10:$B$126,'vehicles specifications'!BV$2)/1000*$AQ64</f>
        <v>1.9037948408266605E-6</v>
      </c>
      <c r="BW64" s="7">
        <f>SUMIFS('fuels and tailpipe emissions'!$C$10:$C$126,'fuels and tailpipe emissions'!$A$10:$A$126,'vehicles specifications'!$F64,'fuels and tailpipe emissions'!$B$10:$B$126,'vehicles specifications'!BW$2)/1000*$AQ64</f>
        <v>5.2787038768375589E-6</v>
      </c>
      <c r="BX64" s="7">
        <f>SUMIFS('fuels and tailpipe emissions'!$C$10:$C$126,'fuels and tailpipe emissions'!$A$10:$A$126,'vehicles specifications'!$F64,'fuels and tailpipe emissions'!$B$10:$B$126,'vehicles specifications'!BX$2)/1000*$AQ64</f>
        <v>0</v>
      </c>
      <c r="BY64" s="7">
        <f>SUMIFS('fuels and tailpipe emissions'!$C$10:$C$126,'fuels and tailpipe emissions'!$A$10:$A$126,'vehicles specifications'!$F64,'fuels and tailpipe emissions'!$B$10:$B$126,'vehicles specifications'!BY$2)/1000*$AQ64</f>
        <v>1.6441864534412067E-6</v>
      </c>
      <c r="BZ64" s="7">
        <f>SUMIFS('fuels and tailpipe emissions'!$C$10:$C$126,'fuels and tailpipe emissions'!$A$10:$A$126,'vehicles specifications'!$F64,'fuels and tailpipe emissions'!$B$10:$B$126,'vehicles specifications'!BZ$2)/1000*$AQ64</f>
        <v>8.7401490419769389E-6</v>
      </c>
      <c r="CA64" s="7">
        <f>SUMIFS('fuels and tailpipe emissions'!$C$10:$C$126,'fuels and tailpipe emissions'!$A$10:$A$126,'vehicles specifications'!$F64,'fuels and tailpipe emissions'!$B$10:$B$126,'vehicles specifications'!CA$2)/1000*$AQ64</f>
        <v>6.5377983708986073E-10</v>
      </c>
      <c r="CB64" s="7">
        <f>SUMIFS('fuels and tailpipe emissions'!$C$10:$C$126,'fuels and tailpipe emissions'!$A$10:$A$126,'vehicles specifications'!$F64,'fuels and tailpipe emissions'!$B$10:$B$126,'vehicles specifications'!CB$2)/1000*$AQ64</f>
        <v>5.6360330783608683E-12</v>
      </c>
      <c r="CC64" s="7">
        <f>SUMIFS('fuels and tailpipe emissions'!$C$10:$C$126,'fuels and tailpipe emissions'!$A$10:$A$126,'vehicles specifications'!$F64,'fuels and tailpipe emissions'!$B$10:$B$126,'vehicles specifications'!CC$2)/1000*$AQ64</f>
        <v>3.7573553855739122E-12</v>
      </c>
      <c r="CD64" s="7">
        <f>SUMIFS('fuels and tailpipe emissions'!$C$10:$C$126,'fuels and tailpipe emissions'!$A$10:$A$126,'vehicles specifications'!$F64,'fuels and tailpipe emissions'!$B$10:$B$126,'vehicles specifications'!CD$2)/1000*$AQ64</f>
        <v>4.0579438164198253E-8</v>
      </c>
      <c r="CE64" s="7">
        <f>SUMIFS('fuels and tailpipe emissions'!$C$10:$C$126,'fuels and tailpipe emissions'!$A$10:$A$126,'vehicles specifications'!$F64,'fuels and tailpipe emissions'!$B$10:$B$126,'vehicles specifications'!CE$2)/1000*$AQ64</f>
        <v>7.8904463097052155E-10</v>
      </c>
      <c r="CF64" s="7">
        <f>SUMIFS('fuels and tailpipe emissions'!$C$10:$C$126,'fuels and tailpipe emissions'!$A$10:$A$126,'vehicles specifications'!$F64,'fuels and tailpipe emissions'!$B$10:$B$126,'vehicles specifications'!CF$2)/1000*$AQ64</f>
        <v>2.4422810006230434E-10</v>
      </c>
      <c r="CG64" s="7">
        <f>SUMIFS('fuels and tailpipe emissions'!$C$10:$C$126,'fuels and tailpipe emissions'!$A$10:$A$126,'vehicles specifications'!$F64,'fuels and tailpipe emissions'!$B$10:$B$126,'vehicles specifications'!CG$2)/1000*$AQ64</f>
        <v>3.0058843084591303E-10</v>
      </c>
      <c r="CH64" s="7">
        <f>SUMIFS('fuels and tailpipe emissions'!$C$10:$C$126,'fuels and tailpipe emissions'!$A$10:$A$126,'vehicles specifications'!$F64,'fuels and tailpipe emissions'!$B$10:$B$126,'vehicles specifications'!CH$2)/1000*$AQ64</f>
        <v>6.0117686169182594E-13</v>
      </c>
      <c r="CI64" s="7">
        <f>SUMIFS('fuels and tailpipe emissions'!$C$10:$C$126,'fuels and tailpipe emissions'!$A$10:$A$126,'vehicles specifications'!$F64,'fuels and tailpipe emissions'!$B$10:$B$126,'vehicles specifications'!CI$2)/1000*$AQ64</f>
        <v>1.6344495927246518E-10</v>
      </c>
      <c r="CJ64" s="7">
        <f>SUMIFS('fuels and tailpipe emissions'!$C$10:$C$126,'fuels and tailpipe emissions'!$A$10:$A$126,'vehicles specifications'!$F64,'fuels and tailpipe emissions'!$B$10:$B$126,'vehicles specifications'!CJ$2)/1000*$AQ64</f>
        <v>2.0289719082099132E-10</v>
      </c>
      <c r="CK64" s="38">
        <f>VLOOKUP($B64,'abrasion emissions'!$O$7:$R$36,2,FALSE)</f>
        <v>0.5</v>
      </c>
      <c r="CL64" s="38">
        <f>VLOOKUP($B64,'abrasion emissions'!$O$7:$R$36,3,FALSE)</f>
        <v>0.5</v>
      </c>
      <c r="CM64" s="38">
        <f>VLOOKUP($B64,'abrasion emissions'!$O$7:$R$36,4,FALSE)</f>
        <v>0</v>
      </c>
      <c r="CN64" s="7">
        <f>((SUMIFS('abrasion emissions'!$M$7:$M$34,'abrasion emissions'!$I$7:$I$34,"PM 2.5",'abrasion emissions'!$J$7:$J$34,"urban",'abrasion emissions'!$K$7:$K$34,"Tyre",'abrasion emissions'!$L$7:$L$34,"b")*POWER(('vehicles specifications'!$Q64/1000),(1/SUMIFS('abrasion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specifications'!$P64/1000),(1/SUMIFS('abrasion emissions'!$M$7:$M$34,'abrasion emissions'!$I$7:$I$34,"PM 10",'abrasion emissions'!$J$7:$J$34,"urban",'abrasion emissions'!$K$7:$K$34,"Tyre",'abrasion emissions'!$L$7:$L$34,"c")))))/1000000</f>
        <v>5.1613785978318029E-6</v>
      </c>
      <c r="CO64" s="7">
        <f>((SUMIFS('abrasion emissions'!$M$7:$M$34,'abrasion emissions'!$I$7:$I$34,"PM 2.5",'abrasion emissions'!$J$7:$J$34,"rural",'abrasion emissions'!$K$7:$K$34,"Tyre",'abrasion emissions'!$L$7:$L$34,"b")*POWER(('vehicles specifications'!$Q64/1000),(1/SUMIFS('abrasion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specifications'!$P64/1000),(1/SUMIFS('abrasion emissions'!$M$7:$M$34,'abrasion emissions'!$I$7:$I$34,"PM 10",'abrasion emissions'!$J$7:$J$34,"rural",'abrasion emissions'!$K$7:$K$34,"Tyre",'abrasion emissions'!$L$7:$L$34,"c")))))/1000000</f>
        <v>4.0204993464109472E-6</v>
      </c>
      <c r="CP64" s="7">
        <f>((SUMIFS('abrasion emissions'!$M$7:$M$34,'abrasion emissions'!$I$7:$I$34,"PM 2.5",'abrasion emissions'!$J$7:$J$34,"motorway",'abrasion emissions'!$K$7:$K$34,"Tyre",'abrasion emissions'!$L$7:$L$34,"b")*POWER(('vehicles specifications'!$Q64/1000),(1/SUMIFS('abrasion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specifications'!$P64/1000),(1/SUMIFS('abrasion emissions'!$M$7:$M$34,'abrasion emissions'!$I$7:$I$34,"PM 10",'abrasion emissions'!$J$7:$J$34,"motorway",'abrasion emissions'!$K$7:$K$34,"Tyre",'abrasion emissions'!$L$7:$L$34,"c")))))/1000000</f>
        <v>3.4353487239837502E-6</v>
      </c>
      <c r="CQ64" s="7">
        <f>((SUMIFS('abrasion emissions'!$M$7:$M$34,'abrasion emissions'!$I$7:$I$34,"PM 2.5",'abrasion emissions'!$J$7:$J$34,"urban",'abrasion emissions'!$K$7:$K$34,"Brake",'abrasion emissions'!$L$7:$L$34,"b")*POWER(('vehicles specifications'!$Q64/1000),(1/SUMIFS('abrasion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specifications'!$P64/1000),(1/SUMIFS('abrasion emissions'!$M$7:$M$34,'abrasion emissions'!$I$7:$I$34,"PM 10",'abrasion emissions'!$J$7:$J$34,"urban",'abrasion emissions'!$K$7:$K$34,"Brake",'abrasion emissions'!$L$7:$L$34,"c")))))/1000000</f>
        <v>4.8186915824379079E-6</v>
      </c>
      <c r="CR64" s="7">
        <f>((SUMIFS('abrasion emissions'!$M$7:$M$34,'abrasion emissions'!$I$7:$I$34,"PM 2.5",'abrasion emissions'!$J$7:$J$34,"rural",'abrasion emissions'!$K$7:$K$34,"Brake",'abrasion emissions'!$L$7:$L$34,"b")*POWER(('vehicles specifications'!$Q64/1000),(1/SUMIFS('abrasion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specifications'!$P64/1000),(1/SUMIFS('abrasion emissions'!$M$7:$M$34,'abrasion emissions'!$I$7:$I$34,"PM 10",'abrasion emissions'!$J$7:$J$34,"rural",'abrasion emissions'!$K$7:$K$34,"Brake",'abrasion emissions'!$L$7:$L$34,"c")))))/1000000</f>
        <v>1.4715138446880966E-6</v>
      </c>
      <c r="CS64" s="7">
        <f>((SUMIFS('abrasion emissions'!$M$7:$M$34,'abrasion emissions'!$I$7:$I$34,"PM 2.5",'abrasion emissions'!$J$7:$J$34,"motorway",'abrasion emissions'!$K$7:$K$34,"Brake",'abrasion emissions'!$L$7:$L$34,"b")*POWER(('vehicles specifications'!$Q64/1000),(1/SUMIFS('abrasion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specifications'!$P64/1000),(1/SUMIFS('abrasion emissions'!$M$7:$M$34,'abrasion emissions'!$I$7:$I$34,"PM 10",'abrasion emissions'!$J$7:$J$34,"motorway",'abrasion emissions'!$K$7:$K$34,"Brake",'abrasion emissions'!$L$7:$L$34,"c")))))/1000000</f>
        <v>2.6262712010743967E-7</v>
      </c>
      <c r="CT64" s="7">
        <f>((SUMIFS('abrasion emissions'!$M$7:$M$38,'abrasion emissions'!$I$7:$I$38,"PM 2.5",'abrasion emissions'!$K$7:$K$38,"Re-susp.",'abrasion emissions'!$L$7:$L$38,"b")*POWER(('vehicles specifications'!$Q64/1000),(1/SUMIFS('abrasion emissions'!$M$7:$M$38,'abrasion emissions'!$I$7:$I$38,"PM 2.5",'abrasion emissions'!$K$7:$K$38,"Re-susp.",'abrasion emissions'!$L$7:$L$38,"c"))))+
(SUMIFS('abrasion emissions'!$M$7:$M$38,'abrasion emissions'!$I$7:$I$38,"PM 10",'abrasion emissions'!$K$7:$K$38,"Re-susp.",'abrasion emissions'!$L$7:$L$38,"b")*POWER(('vehicles specifications'!$Q64/1000),(1/SUMIFS('abrasion emissions'!$M$7:$M$38,'abrasion emissions'!$I$7:$I$38,"PM 10",'abrasion emissions'!$K$7:$K$38,"Re-susp.",'abrasion emissions'!$L$7:$L$38,"c")))))/1000000</f>
        <v>2.6913029209009364E-6</v>
      </c>
      <c r="CU64" s="7">
        <f>((SUMIFS('abrasion emissions'!$M$7:$M$38,'abrasion emissions'!$I$7:$I$38,"PM 2.5",'abrasion emissions'!$K$7:$K$38,"Road",'abrasion emissions'!$L$7:$L$38,"b")*POWER(('vehicles specifications'!$Q64/1000),(1/SUMIFS('abrasion emissions'!$M$7:$M$38,'abrasion emissions'!$I$7:$I$38,"PM 2.5",'abrasion emissions'!$K$7:$K$38,"Road",'abrasion emissions'!$L$7:$L$38,"c"))))+
(SUMIFS('abrasion emissions'!$M$7:$M$38,'abrasion emissions'!$I$7:$I$38,"PM 10",'abrasion emissions'!$K$7:$K$38,"Road",'abrasion emissions'!$L$7:$L$38,"b")*POWER(('vehicles specifications'!$Q64/1000),(1/SUMIFS('abrasion emissions'!$M$7:$M$38,'abrasion emissions'!$I$7:$I$38,"PM 10",'abrasion emissions'!$K$7:$K$38,"Road",'abrasion emissions'!$L$7:$L$38,"c")))))/1000000+CT64</f>
        <v>5.4016229667763182E-6</v>
      </c>
      <c r="CV64" s="7">
        <f t="shared" si="13"/>
        <v>4.5909389721213746E-6</v>
      </c>
      <c r="CW64" s="7">
        <f t="shared" si="14"/>
        <v>3.1451027135630022E-6</v>
      </c>
    </row>
    <row r="65" spans="1:101" x14ac:dyDescent="0.2">
      <c r="A65" t="str">
        <f t="shared" si="1"/>
        <v>Scooter, gasoline, &lt;4kW, EURO-3 - 2006 - CH</v>
      </c>
      <c r="B65" t="s">
        <v>384</v>
      </c>
      <c r="D65" s="18">
        <v>2006</v>
      </c>
      <c r="E65" t="s">
        <v>37</v>
      </c>
      <c r="F65" t="s">
        <v>141</v>
      </c>
      <c r="G65" t="s">
        <v>39</v>
      </c>
      <c r="H65" t="s">
        <v>35</v>
      </c>
      <c r="J65">
        <v>25000</v>
      </c>
      <c r="K65">
        <v>1570</v>
      </c>
      <c r="L65" s="2">
        <f t="shared" ref="L65:L70" si="68">J65/K65</f>
        <v>15.923566878980891</v>
      </c>
      <c r="M65">
        <v>1</v>
      </c>
      <c r="N65">
        <v>75</v>
      </c>
      <c r="O65">
        <v>4</v>
      </c>
      <c r="P65" s="2">
        <f t="shared" ref="P65:P70" si="69">SUM(U65,V65,W65,AC65,AF65,AH65)</f>
        <v>93.6875</v>
      </c>
      <c r="Q65" s="2">
        <f t="shared" ref="Q65:Q70" si="70">P65+(M65*N65)+O65</f>
        <v>172.6875</v>
      </c>
      <c r="R65">
        <v>2.8</v>
      </c>
      <c r="S65" s="2">
        <v>53</v>
      </c>
      <c r="T65" s="1">
        <v>-0.05</v>
      </c>
      <c r="U65" s="2">
        <f t="shared" ref="U65:U70" si="71">S65*(1-T65)</f>
        <v>55.650000000000006</v>
      </c>
      <c r="V65">
        <v>32</v>
      </c>
      <c r="W65">
        <v>0</v>
      </c>
      <c r="X65" s="3">
        <v>0</v>
      </c>
      <c r="Y65" s="1">
        <v>0.8</v>
      </c>
      <c r="Z65" s="3">
        <f t="shared" ref="Z65:Z70" si="72">Y65*X65</f>
        <v>0</v>
      </c>
      <c r="AA65" s="3" t="str">
        <f>IF(I65&lt;&gt;"",X65/INDEX('energy battery'!$B$3:$D$6,MATCH('vehicles specifications'!$D65,'energy battery'!$A$3:$A$6,0),MATCH('vehicles specifications'!$I65,'energy battery'!$B$2:$D$2,0)),"")</f>
        <v/>
      </c>
      <c r="AB65" s="3" t="str">
        <f t="shared" si="6"/>
        <v/>
      </c>
      <c r="AC65" s="3" t="str">
        <f t="shared" si="7"/>
        <v/>
      </c>
      <c r="AD65" s="3">
        <v>0</v>
      </c>
      <c r="AE65" s="3">
        <v>7</v>
      </c>
      <c r="AF65">
        <f>AE65*'fuels and tailpipe emissions'!$B$3</f>
        <v>5.25</v>
      </c>
      <c r="AG65" s="2">
        <f>AF65*'fuels and tailpipe emissions'!$C$3</f>
        <v>62.125</v>
      </c>
      <c r="AH65" s="3">
        <f t="shared" ref="AH65:AH70" si="73">0.15*AF65</f>
        <v>0.78749999999999998</v>
      </c>
      <c r="AI65">
        <v>0</v>
      </c>
      <c r="AJ65">
        <v>0</v>
      </c>
      <c r="AK65">
        <f t="shared" si="67"/>
        <v>1</v>
      </c>
      <c r="AL65">
        <f t="shared" ref="AL65:AL70" si="74">0.000537/1000*Q65</f>
        <v>9.2733187500000004E-5</v>
      </c>
      <c r="AM65">
        <v>1.2899999999999999E-3</v>
      </c>
      <c r="AN65" s="2">
        <f t="shared" ref="AN65:AN70" si="75">U65</f>
        <v>55.650000000000006</v>
      </c>
      <c r="AO65" s="2">
        <f t="shared" ref="AO65:AO70" si="76">SUM(V65:W65)</f>
        <v>32</v>
      </c>
      <c r="AP65" s="2" t="str">
        <f t="shared" ref="AP65:AP70" si="77">AC65</f>
        <v/>
      </c>
      <c r="AQ65" s="6">
        <v>1.3796363595586507</v>
      </c>
      <c r="AR65" s="20">
        <v>0</v>
      </c>
      <c r="AS65" s="6" t="str">
        <f>IF($H65="BEV",SUMPRODUCT(#REF!,#REF!),"")</f>
        <v/>
      </c>
      <c r="AT65" s="2">
        <f t="shared" si="12"/>
        <v>162.107934058469</v>
      </c>
      <c r="AU65" s="5">
        <f>IF($H65="ICEV-p",$AQ65/('fuels and tailpipe emissions'!$C$3*3.6)*'fuels and tailpipe emissions'!$D$3,"")*(1-AR65)</f>
        <v>0.10169150631488645</v>
      </c>
      <c r="AV65" s="5">
        <f>IF($H65="ICEV-p",$AQ65/('fuels and tailpipe emissions'!$C$3*3.6)*'fuels and tailpipe emissions'!$D$3,"")*AR65</f>
        <v>0</v>
      </c>
      <c r="AW65" s="7">
        <f>IF($H65="ICEV-p",$AQ65/('fuels and tailpipe emissions'!$C$3*3.6)*'fuels and tailpipe emissions'!$E$3,"")</f>
        <v>5.1817328058540864E-7</v>
      </c>
      <c r="AX65" s="7">
        <f>SUMIFS('fuels and tailpipe emissions'!$C$10:$C$126,'fuels and tailpipe emissions'!$A$10:$A$126,'vehicles specifications'!$F65,'fuels and tailpipe emissions'!$B$10:$B$126,'vehicles specifications'!AX$2)/1000*$AQ65</f>
        <v>8.3884891813930333E-5</v>
      </c>
      <c r="AY65" s="7">
        <f>SUMIFS('fuels and tailpipe emissions'!$C$10:$C$126,'fuels and tailpipe emissions'!$A$10:$A$126,'vehicles specifications'!$F65,'fuels and tailpipe emissions'!$B$10:$B$126,'vehicles specifications'!AY$2)/1000*$AQ65</f>
        <v>3.8035897892412742E-5</v>
      </c>
      <c r="AZ65" s="7">
        <f>SUMIFS('fuels and tailpipe emissions'!$C$10:$C$126,'fuels and tailpipe emissions'!$A$10:$A$126,'vehicles specifications'!$F65,'fuels and tailpipe emissions'!$B$10:$B$126,'vehicles specifications'!AZ$2)/1000*$AQ65</f>
        <v>4.0219096360171094E-3</v>
      </c>
      <c r="BA65" s="7">
        <f>SUMIFS('fuels and tailpipe emissions'!$C$10:$C$126,'fuels and tailpipe emissions'!$A$10:$A$126,'vehicles specifications'!$F65,'fuels and tailpipe emissions'!$B$10:$B$126,'vehicles specifications'!BA$2)/1000*$AQ65</f>
        <v>1.9297766561345895E-6</v>
      </c>
      <c r="BB65" s="7">
        <f>SUMIFS('fuels and tailpipe emissions'!$C$10:$C$126,'fuels and tailpipe emissions'!$A$10:$A$126,'vehicles specifications'!$F65,'fuels and tailpipe emissions'!$B$10:$B$126,'vehicles specifications'!BB$2)/1000*$AQ65</f>
        <v>1.9297766561345895E-6</v>
      </c>
      <c r="BC65" s="7">
        <f>SUMIFS('fuels and tailpipe emissions'!$C$10:$C$126,'fuels and tailpipe emissions'!$A$10:$A$126,'vehicles specifications'!$F65,'fuels and tailpipe emissions'!$B$10:$B$126,'vehicles specifications'!BC$2)/1000*$AQ65</f>
        <v>1.4471531938501332E-4</v>
      </c>
      <c r="BD65" s="7">
        <f>SUMIFS('fuels and tailpipe emissions'!$C$10:$C$126,'fuels and tailpipe emissions'!$A$10:$A$126,'vehicles specifications'!$F65,'fuels and tailpipe emissions'!$B$10:$B$126,'vehicles specifications'!BD$2)/1000*$AQ65</f>
        <v>1.1082707336180945E-5</v>
      </c>
      <c r="BE65" s="7">
        <f>SUMIFS('fuels and tailpipe emissions'!$C$10:$C$126,'fuels and tailpipe emissions'!$A$10:$A$126,'vehicles specifications'!$F65,'fuels and tailpipe emissions'!$B$10:$B$126,'vehicles specifications'!BE$2)/1000*$AQ65</f>
        <v>6.764621222214276E-4</v>
      </c>
      <c r="BF65" s="7">
        <f>SUMIFS('fuels and tailpipe emissions'!$C$10:$C$126,'fuels and tailpipe emissions'!$A$10:$A$126,'vehicles specifications'!$F65,'fuels and tailpipe emissions'!$B$10:$B$126,'vehicles specifications'!BF$2)/1000*$AQ65</f>
        <v>4.7699252207921172E-5</v>
      </c>
      <c r="BG65" s="7">
        <f>SUMIFS('fuels and tailpipe emissions'!$C$10:$C$126,'fuels and tailpipe emissions'!$A$10:$A$126,'vehicles specifications'!$F65,'fuels and tailpipe emissions'!$B$10:$B$126,'vehicles specifications'!BG$2)/1000*$AQ65</f>
        <v>9.7192833652503956E-6</v>
      </c>
      <c r="BH65" s="7">
        <f>SUMIFS('fuels and tailpipe emissions'!$C$10:$C$126,'fuels and tailpipe emissions'!$A$10:$A$126,'vehicles specifications'!$F65,'fuels and tailpipe emissions'!$B$10:$B$126,'vehicles specifications'!BH$2)/1000*$AQ65</f>
        <v>7.8352376667557047E-5</v>
      </c>
      <c r="BI65" s="7">
        <f>SUMIFS('fuels and tailpipe emissions'!$C$10:$C$126,'fuels and tailpipe emissions'!$A$10:$A$126,'vehicles specifications'!$F65,'fuels and tailpipe emissions'!$B$10:$B$126,'vehicles specifications'!BI$2)/1000*$AQ65</f>
        <v>3.2148398823520539E-5</v>
      </c>
      <c r="BJ65" s="7">
        <f>SUMIFS('fuels and tailpipe emissions'!$C$10:$C$126,'fuels and tailpipe emissions'!$A$10:$A$126,'vehicles specifications'!$F65,'fuels and tailpipe emissions'!$B$10:$B$126,'vehicles specifications'!BJ$2)/1000*$AQ65</f>
        <v>2.4073917258543288E-5</v>
      </c>
      <c r="BK65" s="7">
        <f>SUMIFS('fuels and tailpipe emissions'!$C$10:$C$126,'fuels and tailpipe emissions'!$A$10:$A$126,'vehicles specifications'!$F65,'fuels and tailpipe emissions'!$B$10:$B$126,'vehicles specifications'!BK$2)/1000*$AQ65</f>
        <v>1.7046127748285311E-5</v>
      </c>
      <c r="BL65" s="7">
        <f>SUMIFS('fuels and tailpipe emissions'!$C$10:$C$126,'fuels and tailpipe emissions'!$A$10:$A$126,'vehicles specifications'!$F65,'fuels and tailpipe emissions'!$B$10:$B$126,'vehicles specifications'!BL$2)/1000*$AQ65</f>
        <v>1.1065030292746605E-5</v>
      </c>
      <c r="BM65" s="7">
        <f>SUMIFS('fuels and tailpipe emissions'!$C$10:$C$126,'fuels and tailpipe emissions'!$A$10:$A$126,'vehicles specifications'!$F65,'fuels and tailpipe emissions'!$B$10:$B$126,'vehicles specifications'!BM$2)/1000*$AQ65</f>
        <v>1.0915502856358137E-4</v>
      </c>
      <c r="BN65" s="7">
        <f>SUMIFS('fuels and tailpipe emissions'!$C$10:$C$126,'fuels and tailpipe emissions'!$A$10:$A$126,'vehicles specifications'!$F65,'fuels and tailpipe emissions'!$B$10:$B$126,'vehicles specifications'!BN$2)/1000*$AQ65</f>
        <v>5.711948070039463E-5</v>
      </c>
      <c r="BO65" s="7">
        <f>SUMIFS('fuels and tailpipe emissions'!$C$10:$C$126,'fuels and tailpipe emissions'!$A$10:$A$126,'vehicles specifications'!$F65,'fuels and tailpipe emissions'!$B$10:$B$126,'vehicles specifications'!BO$2)/1000*$AQ65</f>
        <v>1.6448018002731441E-6</v>
      </c>
      <c r="BP65" s="7">
        <f>SUMIFS('fuels and tailpipe emissions'!$C$10:$C$126,'fuels and tailpipe emissions'!$A$10:$A$126,'vehicles specifications'!$F65,'fuels and tailpipe emissions'!$B$10:$B$126,'vehicles specifications'!BP$2)/1000*$AQ65</f>
        <v>8.3884891813930333E-5</v>
      </c>
      <c r="BQ65" s="7">
        <f>SUMIFS('fuels and tailpipe emissions'!$C$10:$C$126,'fuels and tailpipe emissions'!$A$10:$A$126,'vehicles specifications'!$F65,'fuels and tailpipe emissions'!$B$10:$B$126,'vehicles specifications'!BQ$2)/1000*$AQ65</f>
        <v>1.6418112515453746E-4</v>
      </c>
      <c r="BR65" s="7">
        <f>SUMIFS('fuels and tailpipe emissions'!$C$10:$C$126,'fuels and tailpipe emissions'!$A$10:$A$126,'vehicles specifications'!$F65,'fuels and tailpipe emissions'!$B$10:$B$126,'vehicles specifications'!BR$2)/1000*$AQ65</f>
        <v>8.1193397958937932E-5</v>
      </c>
      <c r="BS65" s="7">
        <f>SUMIFS('fuels and tailpipe emissions'!$C$10:$C$126,'fuels and tailpipe emissions'!$A$10:$A$126,'vehicles specifications'!$F65,'fuels and tailpipe emissions'!$B$10:$B$126,'vehicles specifications'!BS$2)/1000*$AQ65</f>
        <v>3.3793200623793681E-5</v>
      </c>
      <c r="BT65" s="7">
        <f>SUMIFS('fuels and tailpipe emissions'!$C$10:$C$126,'fuels and tailpipe emissions'!$A$10:$A$126,'vehicles specifications'!$F65,'fuels and tailpipe emissions'!$B$10:$B$126,'vehicles specifications'!BT$2)/1000*$AQ65</f>
        <v>2.5419664186039499E-5</v>
      </c>
      <c r="BU65" s="7">
        <f>SUMIFS('fuels and tailpipe emissions'!$C$10:$C$126,'fuels and tailpipe emissions'!$A$10:$A$126,'vehicles specifications'!$F65,'fuels and tailpipe emissions'!$B$10:$B$126,'vehicles specifications'!BU$2)/1000*$AQ65</f>
        <v>1.1214557729135072E-5</v>
      </c>
      <c r="BV65" s="7">
        <f>SUMIFS('fuels and tailpipe emissions'!$C$10:$C$126,'fuels and tailpipe emissions'!$A$10:$A$126,'vehicles specifications'!$F65,'fuels and tailpipe emissions'!$B$10:$B$126,'vehicles specifications'!BV$2)/1000*$AQ65</f>
        <v>3.2896036005462881E-6</v>
      </c>
      <c r="BW65" s="7">
        <f>SUMIFS('fuels and tailpipe emissions'!$C$10:$C$126,'fuels and tailpipe emissions'!$A$10:$A$126,'vehicles specifications'!$F65,'fuels and tailpipe emissions'!$B$10:$B$126,'vehicles specifications'!BW$2)/1000*$AQ65</f>
        <v>9.1211736196965272E-6</v>
      </c>
      <c r="BX65" s="7">
        <f>SUMIFS('fuels and tailpipe emissions'!$C$10:$C$126,'fuels and tailpipe emissions'!$A$10:$A$126,'vehicles specifications'!$F65,'fuels and tailpipe emissions'!$B$10:$B$126,'vehicles specifications'!BX$2)/1000*$AQ65</f>
        <v>0</v>
      </c>
      <c r="BY65" s="7">
        <f>SUMIFS('fuels and tailpipe emissions'!$C$10:$C$126,'fuels and tailpipe emissions'!$A$10:$A$126,'vehicles specifications'!$F65,'fuels and tailpipe emissions'!$B$10:$B$126,'vehicles specifications'!BY$2)/1000*$AQ65</f>
        <v>2.8410212913808851E-6</v>
      </c>
      <c r="BZ65" s="7">
        <f>SUMIFS('fuels and tailpipe emissions'!$C$10:$C$126,'fuels and tailpipe emissions'!$A$10:$A$126,'vehicles specifications'!$F65,'fuels and tailpipe emissions'!$B$10:$B$126,'vehicles specifications'!BZ$2)/1000*$AQ65</f>
        <v>1.5102271075235228E-5</v>
      </c>
      <c r="CA65" s="7">
        <f>SUMIFS('fuels and tailpipe emissions'!$C$10:$C$126,'fuels and tailpipe emissions'!$A$10:$A$126,'vehicles specifications'!$F65,'fuels and tailpipe emissions'!$B$10:$B$126,'vehicles specifications'!CA$2)/1000*$AQ65</f>
        <v>1.1296787132386129E-9</v>
      </c>
      <c r="CB65" s="7">
        <f>SUMIFS('fuels and tailpipe emissions'!$C$10:$C$126,'fuels and tailpipe emissions'!$A$10:$A$126,'vehicles specifications'!$F65,'fuels and tailpipe emissions'!$B$10:$B$126,'vehicles specifications'!CB$2)/1000*$AQ65</f>
        <v>9.7386095968845943E-12</v>
      </c>
      <c r="CC65" s="7">
        <f>SUMIFS('fuels and tailpipe emissions'!$C$10:$C$126,'fuels and tailpipe emissions'!$A$10:$A$126,'vehicles specifications'!$F65,'fuels and tailpipe emissions'!$B$10:$B$126,'vehicles specifications'!CC$2)/1000*$AQ65</f>
        <v>6.4924063979230623E-12</v>
      </c>
      <c r="CD65" s="7">
        <f>SUMIFS('fuels and tailpipe emissions'!$C$10:$C$126,'fuels and tailpipe emissions'!$A$10:$A$126,'vehicles specifications'!$F65,'fuels and tailpipe emissions'!$B$10:$B$126,'vehicles specifications'!CD$2)/1000*$AQ65</f>
        <v>7.0117989097569083E-8</v>
      </c>
      <c r="CE65" s="7">
        <f>SUMIFS('fuels and tailpipe emissions'!$C$10:$C$126,'fuels and tailpipe emissions'!$A$10:$A$126,'vehicles specifications'!$F65,'fuels and tailpipe emissions'!$B$10:$B$126,'vehicles specifications'!CE$2)/1000*$AQ65</f>
        <v>1.363405343563843E-9</v>
      </c>
      <c r="CF65" s="7">
        <f>SUMIFS('fuels and tailpipe emissions'!$C$10:$C$126,'fuels and tailpipe emissions'!$A$10:$A$126,'vehicles specifications'!$F65,'fuels and tailpipe emissions'!$B$10:$B$126,'vehicles specifications'!CF$2)/1000*$AQ65</f>
        <v>4.2200641586499908E-10</v>
      </c>
      <c r="CG65" s="7">
        <f>SUMIFS('fuels and tailpipe emissions'!$C$10:$C$126,'fuels and tailpipe emissions'!$A$10:$A$126,'vehicles specifications'!$F65,'fuels and tailpipe emissions'!$B$10:$B$126,'vehicles specifications'!CG$2)/1000*$AQ65</f>
        <v>5.1939251183384506E-10</v>
      </c>
      <c r="CH65" s="7">
        <f>SUMIFS('fuels and tailpipe emissions'!$C$10:$C$126,'fuels and tailpipe emissions'!$A$10:$A$126,'vehicles specifications'!$F65,'fuels and tailpipe emissions'!$B$10:$B$126,'vehicles specifications'!CH$2)/1000*$AQ65</f>
        <v>1.0387850236676899E-12</v>
      </c>
      <c r="CI65" s="7">
        <f>SUMIFS('fuels and tailpipe emissions'!$C$10:$C$126,'fuels and tailpipe emissions'!$A$10:$A$126,'vehicles specifications'!$F65,'fuels and tailpipe emissions'!$B$10:$B$126,'vehicles specifications'!CI$2)/1000*$AQ65</f>
        <v>2.8241967830965323E-10</v>
      </c>
      <c r="CJ65" s="7">
        <f>SUMIFS('fuels and tailpipe emissions'!$C$10:$C$126,'fuels and tailpipe emissions'!$A$10:$A$126,'vehicles specifications'!$F65,'fuels and tailpipe emissions'!$B$10:$B$126,'vehicles specifications'!CJ$2)/1000*$AQ65</f>
        <v>3.5058994548784547E-10</v>
      </c>
      <c r="CK65" s="38">
        <f>VLOOKUP($B65,'abrasion emissions'!$O$7:$R$36,2,FALSE)</f>
        <v>0.5</v>
      </c>
      <c r="CL65" s="38">
        <f>VLOOKUP($B65,'abrasion emissions'!$O$7:$R$36,3,FALSE)</f>
        <v>0.5</v>
      </c>
      <c r="CM65" s="38">
        <f>VLOOKUP($B65,'abrasion emissions'!$O$7:$R$36,4,FALSE)</f>
        <v>0</v>
      </c>
      <c r="CN65" s="7">
        <f>((SUMIFS('abrasion emissions'!$M$7:$M$34,'abrasion emissions'!$I$7:$I$34,"PM 2.5",'abrasion emissions'!$J$7:$J$34,"urban",'abrasion emissions'!$K$7:$K$34,"Tyre",'abrasion emissions'!$L$7:$L$34,"b")*POWER(('vehicles specifications'!$Q65/1000),(1/SUMIFS('abrasion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specifications'!$P65/1000),(1/SUMIFS('abrasion emissions'!$M$7:$M$34,'abrasion emissions'!$I$7:$I$34,"PM 10",'abrasion emissions'!$J$7:$J$34,"urban",'abrasion emissions'!$K$7:$K$34,"Tyre",'abrasion emissions'!$L$7:$L$34,"c")))))/1000000</f>
        <v>5.8928273788161304E-6</v>
      </c>
      <c r="CO65" s="7">
        <f>((SUMIFS('abrasion emissions'!$M$7:$M$34,'abrasion emissions'!$I$7:$I$34,"PM 2.5",'abrasion emissions'!$J$7:$J$34,"rural",'abrasion emissions'!$K$7:$K$34,"Tyre",'abrasion emissions'!$L$7:$L$34,"b")*POWER(('vehicles specifications'!$Q65/1000),(1/SUMIFS('abrasion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specifications'!$P65/1000),(1/SUMIFS('abrasion emissions'!$M$7:$M$34,'abrasion emissions'!$I$7:$I$34,"PM 10",'abrasion emissions'!$J$7:$J$34,"rural",'abrasion emissions'!$K$7:$K$34,"Tyre",'abrasion emissions'!$L$7:$L$34,"c")))))/1000000</f>
        <v>4.5896966316758387E-6</v>
      </c>
      <c r="CP65" s="7">
        <f>((SUMIFS('abrasion emissions'!$M$7:$M$34,'abrasion emissions'!$I$7:$I$34,"PM 2.5",'abrasion emissions'!$J$7:$J$34,"motorway",'abrasion emissions'!$K$7:$K$34,"Tyre",'abrasion emissions'!$L$7:$L$34,"b")*POWER(('vehicles specifications'!$Q65/1000),(1/SUMIFS('abrasion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specifications'!$P65/1000),(1/SUMIFS('abrasion emissions'!$M$7:$M$34,'abrasion emissions'!$I$7:$I$34,"PM 10",'abrasion emissions'!$J$7:$J$34,"motorway",'abrasion emissions'!$K$7:$K$34,"Tyre",'abrasion emissions'!$L$7:$L$34,"c")))))/1000000</f>
        <v>3.9202715206781104E-6</v>
      </c>
      <c r="CQ65" s="7">
        <f>((SUMIFS('abrasion emissions'!$M$7:$M$34,'abrasion emissions'!$I$7:$I$34,"PM 2.5",'abrasion emissions'!$J$7:$J$34,"urban",'abrasion emissions'!$K$7:$K$34,"Brake",'abrasion emissions'!$L$7:$L$34,"b")*POWER(('vehicles specifications'!$Q65/1000),(1/SUMIFS('abrasion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specifications'!$P65/1000),(1/SUMIFS('abrasion emissions'!$M$7:$M$34,'abrasion emissions'!$I$7:$I$34,"PM 10",'abrasion emissions'!$J$7:$J$34,"urban",'abrasion emissions'!$K$7:$K$34,"Brake",'abrasion emissions'!$L$7:$L$34,"c")))))/1000000</f>
        <v>5.5725611794866506E-6</v>
      </c>
      <c r="CR65" s="7">
        <f>((SUMIFS('abrasion emissions'!$M$7:$M$34,'abrasion emissions'!$I$7:$I$34,"PM 2.5",'abrasion emissions'!$J$7:$J$34,"rural",'abrasion emissions'!$K$7:$K$34,"Brake",'abrasion emissions'!$L$7:$L$34,"b")*POWER(('vehicles specifications'!$Q65/1000),(1/SUMIFS('abrasion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specifications'!$P65/1000),(1/SUMIFS('abrasion emissions'!$M$7:$M$34,'abrasion emissions'!$I$7:$I$34,"PM 10",'abrasion emissions'!$J$7:$J$34,"rural",'abrasion emissions'!$K$7:$K$34,"Brake",'abrasion emissions'!$L$7:$L$34,"c")))))/1000000</f>
        <v>1.7667693794056521E-6</v>
      </c>
      <c r="CS65" s="7">
        <f>((SUMIFS('abrasion emissions'!$M$7:$M$34,'abrasion emissions'!$I$7:$I$34,"PM 2.5",'abrasion emissions'!$J$7:$J$34,"motorway",'abrasion emissions'!$K$7:$K$34,"Brake",'abrasion emissions'!$L$7:$L$34,"b")*POWER(('vehicles specifications'!$Q65/1000),(1/SUMIFS('abrasion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specifications'!$P65/1000),(1/SUMIFS('abrasion emissions'!$M$7:$M$34,'abrasion emissions'!$I$7:$I$34,"PM 10",'abrasion emissions'!$J$7:$J$34,"motorway",'abrasion emissions'!$K$7:$K$34,"Brake",'abrasion emissions'!$L$7:$L$34,"c")))))/1000000</f>
        <v>3.2370789050239711E-7</v>
      </c>
      <c r="CT65" s="7">
        <f>((SUMIFS('abrasion emissions'!$M$7:$M$38,'abrasion emissions'!$I$7:$I$38,"PM 2.5",'abrasion emissions'!$K$7:$K$38,"Re-susp.",'abrasion emissions'!$L$7:$L$38,"b")*POWER(('vehicles specifications'!$Q65/1000),(1/SUMIFS('abrasion emissions'!$M$7:$M$38,'abrasion emissions'!$I$7:$I$38,"PM 2.5",'abrasion emissions'!$K$7:$K$38,"Re-susp.",'abrasion emissions'!$L$7:$L$38,"c"))))+
(SUMIFS('abrasion emissions'!$M$7:$M$38,'abrasion emissions'!$I$7:$I$38,"PM 10",'abrasion emissions'!$K$7:$K$38,"Re-susp.",'abrasion emissions'!$L$7:$L$38,"b")*POWER(('vehicles specifications'!$Q65/1000),(1/SUMIFS('abrasion emissions'!$M$7:$M$38,'abrasion emissions'!$I$7:$I$38,"PM 10",'abrasion emissions'!$K$7:$K$38,"Re-susp.",'abrasion emissions'!$L$7:$L$38,"c")))))/1000000</f>
        <v>3.3223445385729834E-6</v>
      </c>
      <c r="CU65" s="7">
        <f>((SUMIFS('abrasion emissions'!$M$7:$M$38,'abrasion emissions'!$I$7:$I$38,"PM 2.5",'abrasion emissions'!$K$7:$K$38,"Road",'abrasion emissions'!$L$7:$L$38,"b")*POWER(('vehicles specifications'!$Q65/1000),(1/SUMIFS('abrasion emissions'!$M$7:$M$38,'abrasion emissions'!$I$7:$I$38,"PM 2.5",'abrasion emissions'!$K$7:$K$38,"Road",'abrasion emissions'!$L$7:$L$38,"c"))))+
(SUMIFS('abrasion emissions'!$M$7:$M$38,'abrasion emissions'!$I$7:$I$38,"PM 10",'abrasion emissions'!$K$7:$K$38,"Road",'abrasion emissions'!$L$7:$L$38,"b")*POWER(('vehicles specifications'!$Q65/1000),(1/SUMIFS('abrasion emissions'!$M$7:$M$38,'abrasion emissions'!$I$7:$I$38,"PM 10",'abrasion emissions'!$K$7:$K$38,"Road",'abrasion emissions'!$L$7:$L$38,"c")))))/1000000+CT65</f>
        <v>6.4854046101046892E-6</v>
      </c>
      <c r="CV65" s="7">
        <f t="shared" si="13"/>
        <v>5.2412620052459845E-6</v>
      </c>
      <c r="CW65" s="7">
        <f t="shared" si="14"/>
        <v>3.6696652794461515E-6</v>
      </c>
    </row>
    <row r="66" spans="1:101" x14ac:dyDescent="0.2">
      <c r="A66" t="str">
        <f t="shared" si="1"/>
        <v>Scooter, gasoline, &lt;4kW, EURO-4 - 2016 - CH</v>
      </c>
      <c r="B66" t="s">
        <v>385</v>
      </c>
      <c r="D66" s="18">
        <v>2016</v>
      </c>
      <c r="E66" t="s">
        <v>37</v>
      </c>
      <c r="F66" t="s">
        <v>140</v>
      </c>
      <c r="G66" t="s">
        <v>39</v>
      </c>
      <c r="H66" t="s">
        <v>35</v>
      </c>
      <c r="J66">
        <v>25000</v>
      </c>
      <c r="K66">
        <v>1570</v>
      </c>
      <c r="L66" s="2">
        <f t="shared" si="68"/>
        <v>15.923566878980891</v>
      </c>
      <c r="M66">
        <v>1</v>
      </c>
      <c r="N66">
        <v>75</v>
      </c>
      <c r="O66">
        <v>4</v>
      </c>
      <c r="P66" s="2">
        <f t="shared" si="69"/>
        <v>92.097499999999997</v>
      </c>
      <c r="Q66" s="2">
        <f t="shared" si="70"/>
        <v>171.0975</v>
      </c>
      <c r="R66">
        <v>2.8</v>
      </c>
      <c r="S66" s="2">
        <v>53</v>
      </c>
      <c r="T66" s="1">
        <v>-0.02</v>
      </c>
      <c r="U66" s="2">
        <f t="shared" si="71"/>
        <v>54.06</v>
      </c>
      <c r="V66">
        <v>32</v>
      </c>
      <c r="W66">
        <v>0</v>
      </c>
      <c r="X66" s="3">
        <v>0</v>
      </c>
      <c r="Y66" s="1">
        <v>0.8</v>
      </c>
      <c r="Z66" s="3">
        <f t="shared" si="72"/>
        <v>0</v>
      </c>
      <c r="AA66" s="3" t="str">
        <f>IF(I66&lt;&gt;"",X66/INDEX('energy battery'!$B$3:$D$6,MATCH('vehicles specifications'!$D66,'energy battery'!$A$3:$A$6,0),MATCH('vehicles specifications'!$I66,'energy battery'!$B$2:$D$2,0)),"")</f>
        <v/>
      </c>
      <c r="AB66" s="3" t="str">
        <f t="shared" si="6"/>
        <v/>
      </c>
      <c r="AC66" s="3" t="str">
        <f t="shared" si="7"/>
        <v/>
      </c>
      <c r="AD66" s="3">
        <v>0</v>
      </c>
      <c r="AE66" s="3">
        <v>7</v>
      </c>
      <c r="AF66">
        <f>AE66*'fuels and tailpipe emissions'!$B$3</f>
        <v>5.25</v>
      </c>
      <c r="AG66" s="2">
        <f>AF66*'fuels and tailpipe emissions'!$C$3</f>
        <v>62.125</v>
      </c>
      <c r="AH66" s="3">
        <f t="shared" si="73"/>
        <v>0.78749999999999998</v>
      </c>
      <c r="AI66">
        <v>0</v>
      </c>
      <c r="AJ66">
        <v>0</v>
      </c>
      <c r="AK66">
        <f t="shared" si="67"/>
        <v>1</v>
      </c>
      <c r="AL66">
        <f t="shared" si="74"/>
        <v>9.18793575E-5</v>
      </c>
      <c r="AM66">
        <v>1.2899999999999999E-3</v>
      </c>
      <c r="AN66" s="2">
        <f t="shared" si="75"/>
        <v>54.06</v>
      </c>
      <c r="AO66" s="2">
        <f t="shared" si="76"/>
        <v>32</v>
      </c>
      <c r="AP66" s="2" t="str">
        <f t="shared" si="77"/>
        <v/>
      </c>
      <c r="AQ66" s="6">
        <v>1.3015437354326893</v>
      </c>
      <c r="AR66" s="20">
        <v>0</v>
      </c>
      <c r="AS66" s="6" t="str">
        <f>IF($H66="BEV",SUMPRODUCT(#REF!,#REF!),"")</f>
        <v/>
      </c>
      <c r="AT66" s="2">
        <f t="shared" si="12"/>
        <v>171.83441010197717</v>
      </c>
      <c r="AU66" s="5">
        <f>IF($H66="ICEV-p",$AQ66/('fuels and tailpipe emissions'!$C$3*3.6)*'fuels and tailpipe emissions'!$D$3,"")*(1-AR66)</f>
        <v>9.5935383315930614E-2</v>
      </c>
      <c r="AV66" s="5">
        <f>IF($H66="ICEV-p",$AQ66/('fuels and tailpipe emissions'!$C$3*3.6)*'fuels and tailpipe emissions'!$D$3,"")*AR66</f>
        <v>0</v>
      </c>
      <c r="AW66" s="7">
        <f>IF($H66="ICEV-p",$AQ66/('fuels and tailpipe emissions'!$C$3*3.6)*'fuels and tailpipe emissions'!$E$3,"")</f>
        <v>4.8884271753340442E-7</v>
      </c>
      <c r="AX66" s="7">
        <f>SUMIFS('fuels and tailpipe emissions'!$C$10:$C$126,'fuels and tailpipe emissions'!$A$10:$A$126,'vehicles specifications'!$F66,'fuels and tailpipe emissions'!$B$10:$B$126,'vehicles specifications'!AX$2)/1000*$AQ66</f>
        <v>7.9136690390500312E-5</v>
      </c>
      <c r="AY66" s="7">
        <f>SUMIFS('fuels and tailpipe emissions'!$C$10:$C$126,'fuels and tailpipe emissions'!$A$10:$A$126,'vehicles specifications'!$F66,'fuels and tailpipe emissions'!$B$10:$B$126,'vehicles specifications'!AY$2)/1000*$AQ66</f>
        <v>3.588292254001202E-5</v>
      </c>
      <c r="AZ66" s="7">
        <f>SUMIFS('fuels and tailpipe emissions'!$C$10:$C$126,'fuels and tailpipe emissions'!$A$10:$A$126,'vehicles specifications'!$F66,'fuels and tailpipe emissions'!$B$10:$B$126,'vehicles specifications'!AZ$2)/1000*$AQ66</f>
        <v>3.7942543736010467E-3</v>
      </c>
      <c r="BA66" s="7">
        <f>SUMIFS('fuels and tailpipe emissions'!$C$10:$C$126,'fuels and tailpipe emissions'!$A$10:$A$126,'vehicles specifications'!$F66,'fuels and tailpipe emissions'!$B$10:$B$126,'vehicles specifications'!BA$2)/1000*$AQ66</f>
        <v>1.8205440152213105E-6</v>
      </c>
      <c r="BB66" s="7">
        <f>SUMIFS('fuels and tailpipe emissions'!$C$10:$C$126,'fuels and tailpipe emissions'!$A$10:$A$126,'vehicles specifications'!$F66,'fuels and tailpipe emissions'!$B$10:$B$126,'vehicles specifications'!BB$2)/1000*$AQ66</f>
        <v>1.8205440152213105E-6</v>
      </c>
      <c r="BC66" s="7">
        <f>SUMIFS('fuels and tailpipe emissions'!$C$10:$C$126,'fuels and tailpipe emissions'!$A$10:$A$126,'vehicles specifications'!$F66,'fuels and tailpipe emissions'!$B$10:$B$126,'vehicles specifications'!BC$2)/1000*$AQ66</f>
        <v>1.3652388621227673E-4</v>
      </c>
      <c r="BD66" s="7">
        <f>SUMIFS('fuels and tailpipe emissions'!$C$10:$C$126,'fuels and tailpipe emissions'!$A$10:$A$126,'vehicles specifications'!$F66,'fuels and tailpipe emissions'!$B$10:$B$126,'vehicles specifications'!BD$2)/1000*$AQ66</f>
        <v>1.0455384279415984E-5</v>
      </c>
      <c r="BE66" s="7">
        <f>SUMIFS('fuels and tailpipe emissions'!$C$10:$C$126,'fuels and tailpipe emissions'!$A$10:$A$126,'vehicles specifications'!$F66,'fuels and tailpipe emissions'!$B$10:$B$126,'vehicles specifications'!BE$2)/1000*$AQ66</f>
        <v>6.3817181341644107E-4</v>
      </c>
      <c r="BF66" s="7">
        <f>SUMIFS('fuels and tailpipe emissions'!$C$10:$C$126,'fuels and tailpipe emissions'!$A$10:$A$126,'vehicles specifications'!$F66,'fuels and tailpipe emissions'!$B$10:$B$126,'vehicles specifications'!BF$2)/1000*$AQ66</f>
        <v>4.499929453577469E-5</v>
      </c>
      <c r="BG66" s="7">
        <f>SUMIFS('fuels and tailpipe emissions'!$C$10:$C$126,'fuels and tailpipe emissions'!$A$10:$A$126,'vehicles specifications'!$F66,'fuels and tailpipe emissions'!$B$10:$B$126,'vehicles specifications'!BG$2)/1000*$AQ66</f>
        <v>9.169135250236222E-6</v>
      </c>
      <c r="BH66" s="7">
        <f>SUMIFS('fuels and tailpipe emissions'!$C$10:$C$126,'fuels and tailpipe emissions'!$A$10:$A$126,'vehicles specifications'!$F66,'fuels and tailpipe emissions'!$B$10:$B$126,'vehicles specifications'!BH$2)/1000*$AQ66</f>
        <v>7.3917336478827389E-5</v>
      </c>
      <c r="BI66" s="7">
        <f>SUMIFS('fuels and tailpipe emissions'!$C$10:$C$126,'fuels and tailpipe emissions'!$A$10:$A$126,'vehicles specifications'!$F66,'fuels and tailpipe emissions'!$B$10:$B$126,'vehicles specifications'!BI$2)/1000*$AQ66</f>
        <v>3.0328678135396732E-5</v>
      </c>
      <c r="BJ66" s="7">
        <f>SUMIFS('fuels and tailpipe emissions'!$C$10:$C$126,'fuels and tailpipe emissions'!$A$10:$A$126,'vehicles specifications'!$F66,'fuels and tailpipe emissions'!$B$10:$B$126,'vehicles specifications'!BJ$2)/1000*$AQ66</f>
        <v>2.2711242696738953E-5</v>
      </c>
      <c r="BK66" s="7">
        <f>SUMIFS('fuels and tailpipe emissions'!$C$10:$C$126,'fuels and tailpipe emissions'!$A$10:$A$126,'vehicles specifications'!$F66,'fuels and tailpipe emissions'!$B$10:$B$126,'vehicles specifications'!BK$2)/1000*$AQ66</f>
        <v>1.6081252592721991E-5</v>
      </c>
      <c r="BL66" s="7">
        <f>SUMIFS('fuels and tailpipe emissions'!$C$10:$C$126,'fuels and tailpipe emissions'!$A$10:$A$126,'vehicles specifications'!$F66,'fuels and tailpipe emissions'!$B$10:$B$126,'vehicles specifications'!BL$2)/1000*$AQ66</f>
        <v>1.0438707823345854E-5</v>
      </c>
      <c r="BM66" s="7">
        <f>SUMIFS('fuels and tailpipe emissions'!$C$10:$C$126,'fuels and tailpipe emissions'!$A$10:$A$126,'vehicles specifications'!$F66,'fuels and tailpipe emissions'!$B$10:$B$126,'vehicles specifications'!BM$2)/1000*$AQ66</f>
        <v>1.029764420411145E-4</v>
      </c>
      <c r="BN66" s="7">
        <f>SUMIFS('fuels and tailpipe emissions'!$C$10:$C$126,'fuels and tailpipe emissions'!$A$10:$A$126,'vehicles specifications'!$F66,'fuels and tailpipe emissions'!$B$10:$B$126,'vehicles specifications'!BN$2)/1000*$AQ66</f>
        <v>5.3886302547542099E-5</v>
      </c>
      <c r="BO66" s="7">
        <f>SUMIFS('fuels and tailpipe emissions'!$C$10:$C$126,'fuels and tailpipe emissions'!$A$10:$A$126,'vehicles specifications'!$F66,'fuels and tailpipe emissions'!$B$10:$B$126,'vehicles specifications'!BO$2)/1000*$AQ66</f>
        <v>1.5516998115784377E-6</v>
      </c>
      <c r="BP66" s="7">
        <f>SUMIFS('fuels and tailpipe emissions'!$C$10:$C$126,'fuels and tailpipe emissions'!$A$10:$A$126,'vehicles specifications'!$F66,'fuels and tailpipe emissions'!$B$10:$B$126,'vehicles specifications'!BP$2)/1000*$AQ66</f>
        <v>7.9136690390500312E-5</v>
      </c>
      <c r="BQ66" s="7">
        <f>SUMIFS('fuels and tailpipe emissions'!$C$10:$C$126,'fuels and tailpipe emissions'!$A$10:$A$126,'vehicles specifications'!$F66,'fuels and tailpipe emissions'!$B$10:$B$126,'vehicles specifications'!BQ$2)/1000*$AQ66</f>
        <v>1.5488785391937494E-4</v>
      </c>
      <c r="BR66" s="7">
        <f>SUMIFS('fuels and tailpipe emissions'!$C$10:$C$126,'fuels and tailpipe emissions'!$A$10:$A$126,'vehicles specifications'!$F66,'fuels and tailpipe emissions'!$B$10:$B$126,'vehicles specifications'!BR$2)/1000*$AQ66</f>
        <v>7.6597545244281066E-5</v>
      </c>
      <c r="BS66" s="7">
        <f>SUMIFS('fuels and tailpipe emissions'!$C$10:$C$126,'fuels and tailpipe emissions'!$A$10:$A$126,'vehicles specifications'!$F66,'fuels and tailpipe emissions'!$B$10:$B$126,'vehicles specifications'!BS$2)/1000*$AQ66</f>
        <v>3.1880377946975169E-5</v>
      </c>
      <c r="BT66" s="7">
        <f>SUMIFS('fuels and tailpipe emissions'!$C$10:$C$126,'fuels and tailpipe emissions'!$A$10:$A$126,'vehicles specifications'!$F66,'fuels and tailpipe emissions'!$B$10:$B$126,'vehicles specifications'!BT$2)/1000*$AQ66</f>
        <v>2.3980815269848583E-5</v>
      </c>
      <c r="BU66" s="7">
        <f>SUMIFS('fuels and tailpipe emissions'!$C$10:$C$126,'fuels and tailpipe emissions'!$A$10:$A$126,'vehicles specifications'!$F66,'fuels and tailpipe emissions'!$B$10:$B$126,'vehicles specifications'!BU$2)/1000*$AQ66</f>
        <v>1.0579771442580255E-5</v>
      </c>
      <c r="BV66" s="7">
        <f>SUMIFS('fuels and tailpipe emissions'!$C$10:$C$126,'fuels and tailpipe emissions'!$A$10:$A$126,'vehicles specifications'!$F66,'fuels and tailpipe emissions'!$B$10:$B$126,'vehicles specifications'!BV$2)/1000*$AQ66</f>
        <v>3.1033996231568754E-6</v>
      </c>
      <c r="BW66" s="7">
        <f>SUMIFS('fuels and tailpipe emissions'!$C$10:$C$126,'fuels and tailpipe emissions'!$A$10:$A$126,'vehicles specifications'!$F66,'fuels and tailpipe emissions'!$B$10:$B$126,'vehicles specifications'!BW$2)/1000*$AQ66</f>
        <v>8.6048807732986105E-6</v>
      </c>
      <c r="BX66" s="7">
        <f>SUMIFS('fuels and tailpipe emissions'!$C$10:$C$126,'fuels and tailpipe emissions'!$A$10:$A$126,'vehicles specifications'!$F66,'fuels and tailpipe emissions'!$B$10:$B$126,'vehicles specifications'!BX$2)/1000*$AQ66</f>
        <v>0</v>
      </c>
      <c r="BY66" s="7">
        <f>SUMIFS('fuels and tailpipe emissions'!$C$10:$C$126,'fuels and tailpipe emissions'!$A$10:$A$126,'vehicles specifications'!$F66,'fuels and tailpipe emissions'!$B$10:$B$126,'vehicles specifications'!BY$2)/1000*$AQ66</f>
        <v>2.680208765453665E-6</v>
      </c>
      <c r="BZ66" s="7">
        <f>SUMIFS('fuels and tailpipe emissions'!$C$10:$C$126,'fuels and tailpipe emissions'!$A$10:$A$126,'vehicles specifications'!$F66,'fuels and tailpipe emissions'!$B$10:$B$126,'vehicles specifications'!BZ$2)/1000*$AQ66</f>
        <v>1.4247425542674743E-5</v>
      </c>
      <c r="CA66" s="7">
        <f>SUMIFS('fuels and tailpipe emissions'!$C$10:$C$126,'fuels and tailpipe emissions'!$A$10:$A$126,'vehicles specifications'!$F66,'fuels and tailpipe emissions'!$B$10:$B$126,'vehicles specifications'!CA$2)/1000*$AQ66</f>
        <v>1.0657346351307668E-9</v>
      </c>
      <c r="CB66" s="7">
        <f>SUMIFS('fuels and tailpipe emissions'!$C$10:$C$126,'fuels and tailpipe emissions'!$A$10:$A$126,'vehicles specifications'!$F66,'fuels and tailpipe emissions'!$B$10:$B$126,'vehicles specifications'!CB$2)/1000*$AQ66</f>
        <v>9.1873675442307481E-12</v>
      </c>
      <c r="CC66" s="7">
        <f>SUMIFS('fuels and tailpipe emissions'!$C$10:$C$126,'fuels and tailpipe emissions'!$A$10:$A$126,'vehicles specifications'!$F66,'fuels and tailpipe emissions'!$B$10:$B$126,'vehicles specifications'!CC$2)/1000*$AQ66</f>
        <v>6.1249116961538321E-12</v>
      </c>
      <c r="CD66" s="7">
        <f>SUMIFS('fuels and tailpipe emissions'!$C$10:$C$126,'fuels and tailpipe emissions'!$A$10:$A$126,'vehicles specifications'!$F66,'fuels and tailpipe emissions'!$B$10:$B$126,'vehicles specifications'!CD$2)/1000*$AQ66</f>
        <v>6.6149046318461386E-8</v>
      </c>
      <c r="CE66" s="7">
        <f>SUMIFS('fuels and tailpipe emissions'!$C$10:$C$126,'fuels and tailpipe emissions'!$A$10:$A$126,'vehicles specifications'!$F66,'fuels and tailpipe emissions'!$B$10:$B$126,'vehicles specifications'!CE$2)/1000*$AQ66</f>
        <v>1.2862314561923045E-9</v>
      </c>
      <c r="CF66" s="7">
        <f>SUMIFS('fuels and tailpipe emissions'!$C$10:$C$126,'fuels and tailpipe emissions'!$A$10:$A$126,'vehicles specifications'!$F66,'fuels and tailpipe emissions'!$B$10:$B$126,'vehicles specifications'!CF$2)/1000*$AQ66</f>
        <v>3.9811926024999908E-10</v>
      </c>
      <c r="CG66" s="7">
        <f>SUMIFS('fuels and tailpipe emissions'!$C$10:$C$126,'fuels and tailpipe emissions'!$A$10:$A$126,'vehicles specifications'!$F66,'fuels and tailpipe emissions'!$B$10:$B$126,'vehicles specifications'!CG$2)/1000*$AQ66</f>
        <v>4.8999293569230657E-10</v>
      </c>
      <c r="CH66" s="7">
        <f>SUMIFS('fuels and tailpipe emissions'!$C$10:$C$126,'fuels and tailpipe emissions'!$A$10:$A$126,'vehicles specifications'!$F66,'fuels and tailpipe emissions'!$B$10:$B$126,'vehicles specifications'!CH$2)/1000*$AQ66</f>
        <v>9.7998587138461305E-13</v>
      </c>
      <c r="CI66" s="7">
        <f>SUMIFS('fuels and tailpipe emissions'!$C$10:$C$126,'fuels and tailpipe emissions'!$A$10:$A$126,'vehicles specifications'!$F66,'fuels and tailpipe emissions'!$B$10:$B$126,'vehicles specifications'!CI$2)/1000*$AQ66</f>
        <v>2.6643365878269169E-10</v>
      </c>
      <c r="CJ66" s="7">
        <f>SUMIFS('fuels and tailpipe emissions'!$C$10:$C$126,'fuels and tailpipe emissions'!$A$10:$A$126,'vehicles specifications'!$F66,'fuels and tailpipe emissions'!$B$10:$B$126,'vehicles specifications'!CJ$2)/1000*$AQ66</f>
        <v>3.3074523159230703E-10</v>
      </c>
      <c r="CK66" s="38">
        <f>VLOOKUP($B66,'abrasion emissions'!$O$7:$R$36,2,FALSE)</f>
        <v>0.5</v>
      </c>
      <c r="CL66" s="38">
        <f>VLOOKUP($B66,'abrasion emissions'!$O$7:$R$36,3,FALSE)</f>
        <v>0.5</v>
      </c>
      <c r="CM66" s="38">
        <f>VLOOKUP($B66,'abrasion emissions'!$O$7:$R$36,4,FALSE)</f>
        <v>0</v>
      </c>
      <c r="CN66" s="7">
        <f>((SUMIFS('abrasion emissions'!$M$7:$M$34,'abrasion emissions'!$I$7:$I$34,"PM 2.5",'abrasion emissions'!$J$7:$J$34,"urban",'abrasion emissions'!$K$7:$K$34,"Tyre",'abrasion emissions'!$L$7:$L$34,"b")*POWER(('vehicles specifications'!$Q66/1000),(1/SUMIFS('abrasion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specifications'!$P66/1000),(1/SUMIFS('abrasion emissions'!$M$7:$M$34,'abrasion emissions'!$I$7:$I$34,"PM 10",'abrasion emissions'!$J$7:$J$34,"urban",'abrasion emissions'!$K$7:$K$34,"Tyre",'abrasion emissions'!$L$7:$L$34,"c")))))/1000000</f>
        <v>5.8621298046796062E-6</v>
      </c>
      <c r="CO66" s="7">
        <f>((SUMIFS('abrasion emissions'!$M$7:$M$34,'abrasion emissions'!$I$7:$I$34,"PM 2.5",'abrasion emissions'!$J$7:$J$34,"rural",'abrasion emissions'!$K$7:$K$34,"Tyre",'abrasion emissions'!$L$7:$L$34,"b")*POWER(('vehicles specifications'!$Q66/1000),(1/SUMIFS('abrasion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specifications'!$P66/1000),(1/SUMIFS('abrasion emissions'!$M$7:$M$34,'abrasion emissions'!$I$7:$I$34,"PM 10",'abrasion emissions'!$J$7:$J$34,"rural",'abrasion emissions'!$K$7:$K$34,"Tyre",'abrasion emissions'!$L$7:$L$34,"c")))))/1000000</f>
        <v>4.565808604986988E-6</v>
      </c>
      <c r="CP66" s="7">
        <f>((SUMIFS('abrasion emissions'!$M$7:$M$34,'abrasion emissions'!$I$7:$I$34,"PM 2.5",'abrasion emissions'!$J$7:$J$34,"motorway",'abrasion emissions'!$K$7:$K$34,"Tyre",'abrasion emissions'!$L$7:$L$34,"b")*POWER(('vehicles specifications'!$Q66/1000),(1/SUMIFS('abrasion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specifications'!$P66/1000),(1/SUMIFS('abrasion emissions'!$M$7:$M$34,'abrasion emissions'!$I$7:$I$34,"PM 10",'abrasion emissions'!$J$7:$J$34,"motorway",'abrasion emissions'!$K$7:$K$34,"Tyre",'abrasion emissions'!$L$7:$L$34,"c")))))/1000000</f>
        <v>3.8999206894460913E-6</v>
      </c>
      <c r="CQ66" s="7">
        <f>((SUMIFS('abrasion emissions'!$M$7:$M$34,'abrasion emissions'!$I$7:$I$34,"PM 2.5",'abrasion emissions'!$J$7:$J$34,"urban",'abrasion emissions'!$K$7:$K$34,"Brake",'abrasion emissions'!$L$7:$L$34,"b")*POWER(('vehicles specifications'!$Q66/1000),(1/SUMIFS('abrasion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specifications'!$P66/1000),(1/SUMIFS('abrasion emissions'!$M$7:$M$34,'abrasion emissions'!$I$7:$I$34,"PM 10",'abrasion emissions'!$J$7:$J$34,"urban",'abrasion emissions'!$K$7:$K$34,"Brake",'abrasion emissions'!$L$7:$L$34,"c")))))/1000000</f>
        <v>5.5405307344374523E-6</v>
      </c>
      <c r="CR66" s="7">
        <f>((SUMIFS('abrasion emissions'!$M$7:$M$34,'abrasion emissions'!$I$7:$I$34,"PM 2.5",'abrasion emissions'!$J$7:$J$34,"rural",'abrasion emissions'!$K$7:$K$34,"Brake",'abrasion emissions'!$L$7:$L$34,"b")*POWER(('vehicles specifications'!$Q66/1000),(1/SUMIFS('abrasion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specifications'!$P66/1000),(1/SUMIFS('abrasion emissions'!$M$7:$M$34,'abrasion emissions'!$I$7:$I$34,"PM 10",'abrasion emissions'!$J$7:$J$34,"rural",'abrasion emissions'!$K$7:$K$34,"Brake",'abrasion emissions'!$L$7:$L$34,"c")))))/1000000</f>
        <v>1.7539774850199521E-6</v>
      </c>
      <c r="CS66" s="7">
        <f>((SUMIFS('abrasion emissions'!$M$7:$M$34,'abrasion emissions'!$I$7:$I$34,"PM 2.5",'abrasion emissions'!$J$7:$J$34,"motorway",'abrasion emissions'!$K$7:$K$34,"Brake",'abrasion emissions'!$L$7:$L$34,"b")*POWER(('vehicles specifications'!$Q66/1000),(1/SUMIFS('abrasion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specifications'!$P66/1000),(1/SUMIFS('abrasion emissions'!$M$7:$M$34,'abrasion emissions'!$I$7:$I$34,"PM 10",'abrasion emissions'!$J$7:$J$34,"motorway",'abrasion emissions'!$K$7:$K$34,"Brake",'abrasion emissions'!$L$7:$L$34,"c")))))/1000000</f>
        <v>3.2102504297993747E-7</v>
      </c>
      <c r="CT66" s="7">
        <f>((SUMIFS('abrasion emissions'!$M$7:$M$38,'abrasion emissions'!$I$7:$I$38,"PM 2.5",'abrasion emissions'!$K$7:$K$38,"Re-susp.",'abrasion emissions'!$L$7:$L$38,"b")*POWER(('vehicles specifications'!$Q66/1000),(1/SUMIFS('abrasion emissions'!$M$7:$M$38,'abrasion emissions'!$I$7:$I$38,"PM 2.5",'abrasion emissions'!$K$7:$K$38,"Re-susp.",'abrasion emissions'!$L$7:$L$38,"c"))))+
(SUMIFS('abrasion emissions'!$M$7:$M$38,'abrasion emissions'!$I$7:$I$38,"PM 10",'abrasion emissions'!$K$7:$K$38,"Re-susp.",'abrasion emissions'!$L$7:$L$38,"b")*POWER(('vehicles specifications'!$Q66/1000),(1/SUMIFS('abrasion emissions'!$M$7:$M$38,'abrasion emissions'!$I$7:$I$38,"PM 10",'abrasion emissions'!$K$7:$K$38,"Re-susp.",'abrasion emissions'!$L$7:$L$38,"c")))))/1000000</f>
        <v>3.2945236793790883E-6</v>
      </c>
      <c r="CU66" s="7">
        <f>((SUMIFS('abrasion emissions'!$M$7:$M$38,'abrasion emissions'!$I$7:$I$38,"PM 2.5",'abrasion emissions'!$K$7:$K$38,"Road",'abrasion emissions'!$L$7:$L$38,"b")*POWER(('vehicles specifications'!$Q66/1000),(1/SUMIFS('abrasion emissions'!$M$7:$M$38,'abrasion emissions'!$I$7:$I$38,"PM 2.5",'abrasion emissions'!$K$7:$K$38,"Road",'abrasion emissions'!$L$7:$L$38,"c"))))+
(SUMIFS('abrasion emissions'!$M$7:$M$38,'abrasion emissions'!$I$7:$I$38,"PM 10",'abrasion emissions'!$K$7:$K$38,"Road",'abrasion emissions'!$L$7:$L$38,"b")*POWER(('vehicles specifications'!$Q66/1000),(1/SUMIFS('abrasion emissions'!$M$7:$M$38,'abrasion emissions'!$I$7:$I$38,"PM 10",'abrasion emissions'!$K$7:$K$38,"Road",'abrasion emissions'!$L$7:$L$38,"c")))))/1000000+CT66</f>
        <v>6.43813816279788E-6</v>
      </c>
      <c r="CV66" s="7">
        <f t="shared" si="13"/>
        <v>5.2139692048332967E-6</v>
      </c>
      <c r="CW66" s="7">
        <f t="shared" si="14"/>
        <v>3.6472541097287021E-6</v>
      </c>
    </row>
    <row r="67" spans="1:101" x14ac:dyDescent="0.2">
      <c r="A67" t="str">
        <f t="shared" si="1"/>
        <v>Scooter, gasoline, &lt;4kW, EURO-5 - 2020 - CH</v>
      </c>
      <c r="B67" t="s">
        <v>386</v>
      </c>
      <c r="D67" s="18">
        <v>2020</v>
      </c>
      <c r="E67" t="s">
        <v>37</v>
      </c>
      <c r="F67" t="s">
        <v>141</v>
      </c>
      <c r="G67" t="s">
        <v>39</v>
      </c>
      <c r="H67" t="s">
        <v>35</v>
      </c>
      <c r="J67">
        <v>25000</v>
      </c>
      <c r="K67">
        <v>1570</v>
      </c>
      <c r="L67" s="2">
        <f t="shared" si="68"/>
        <v>15.923566878980891</v>
      </c>
      <c r="M67">
        <v>1</v>
      </c>
      <c r="N67">
        <v>75</v>
      </c>
      <c r="O67">
        <v>4</v>
      </c>
      <c r="P67" s="2">
        <f t="shared" si="69"/>
        <v>91.037499999999994</v>
      </c>
      <c r="Q67" s="2">
        <f t="shared" si="70"/>
        <v>170.03749999999999</v>
      </c>
      <c r="R67">
        <v>2.8</v>
      </c>
      <c r="S67" s="2">
        <v>53</v>
      </c>
      <c r="T67" s="1">
        <v>0</v>
      </c>
      <c r="U67" s="2">
        <f t="shared" si="71"/>
        <v>53</v>
      </c>
      <c r="V67">
        <v>32</v>
      </c>
      <c r="W67">
        <v>0</v>
      </c>
      <c r="X67" s="3">
        <v>0</v>
      </c>
      <c r="Y67" s="1">
        <v>0.8</v>
      </c>
      <c r="Z67" s="3">
        <f t="shared" si="72"/>
        <v>0</v>
      </c>
      <c r="AA67" s="3" t="str">
        <f>IF(I67&lt;&gt;"",X67/INDEX('energy battery'!$B$3:$D$6,MATCH('vehicles specifications'!$D67,'energy battery'!$A$3:$A$6,0),MATCH('vehicles specifications'!$I67,'energy battery'!$B$2:$D$2,0)),"")</f>
        <v/>
      </c>
      <c r="AB67" s="3" t="str">
        <f t="shared" si="6"/>
        <v/>
      </c>
      <c r="AC67" s="3" t="str">
        <f t="shared" si="7"/>
        <v/>
      </c>
      <c r="AD67" s="3">
        <v>0</v>
      </c>
      <c r="AE67" s="3">
        <v>7</v>
      </c>
      <c r="AF67">
        <f>AE67*'fuels and tailpipe emissions'!$B$3</f>
        <v>5.25</v>
      </c>
      <c r="AG67" s="2">
        <f>AF67*'fuels and tailpipe emissions'!$C$3</f>
        <v>62.125</v>
      </c>
      <c r="AH67" s="3">
        <f t="shared" si="73"/>
        <v>0.78749999999999998</v>
      </c>
      <c r="AI67">
        <v>0</v>
      </c>
      <c r="AJ67">
        <v>0</v>
      </c>
      <c r="AK67">
        <f t="shared" si="67"/>
        <v>1</v>
      </c>
      <c r="AL67">
        <f t="shared" si="74"/>
        <v>9.1310137499999998E-5</v>
      </c>
      <c r="AM67">
        <v>1.2899999999999999E-3</v>
      </c>
      <c r="AN67" s="2">
        <f t="shared" si="75"/>
        <v>53</v>
      </c>
      <c r="AO67" s="2">
        <f t="shared" si="76"/>
        <v>32</v>
      </c>
      <c r="AP67" s="2" t="str">
        <f t="shared" si="77"/>
        <v/>
      </c>
      <c r="AQ67" s="6">
        <v>1.2885282980783623</v>
      </c>
      <c r="AR67" s="20">
        <v>0</v>
      </c>
      <c r="AS67" s="6" t="str">
        <f>IF($H67="BEV",SUMPRODUCT(#REF!,#REF!),"")</f>
        <v/>
      </c>
      <c r="AT67" s="2">
        <f t="shared" si="12"/>
        <v>173.57011121411836</v>
      </c>
      <c r="AU67" s="5">
        <f>IF($H67="ICEV-p",$AQ67/('fuels and tailpipe emissions'!$C$3*3.6)*'fuels and tailpipe emissions'!$D$3,"")*(1-AR67)</f>
        <v>9.4976029482771313E-2</v>
      </c>
      <c r="AV67" s="5">
        <f>IF($H67="ICEV-p",$AQ67/('fuels and tailpipe emissions'!$C$3*3.6)*'fuels and tailpipe emissions'!$D$3,"")*AR67</f>
        <v>0</v>
      </c>
      <c r="AW67" s="7">
        <f>IF($H67="ICEV-p",$AQ67/('fuels and tailpipe emissions'!$C$3*3.6)*'fuels and tailpipe emissions'!$E$3,"")</f>
        <v>4.839542903580703E-7</v>
      </c>
      <c r="AX67" s="7">
        <f>SUMIFS('fuels and tailpipe emissions'!$C$10:$C$126,'fuels and tailpipe emissions'!$A$10:$A$126,'vehicles specifications'!$F67,'fuels and tailpipe emissions'!$B$10:$B$126,'vehicles specifications'!AX$2)/1000*$AQ67</f>
        <v>7.8345323486595295E-5</v>
      </c>
      <c r="AY67" s="7">
        <f>SUMIFS('fuels and tailpipe emissions'!$C$10:$C$126,'fuels and tailpipe emissions'!$A$10:$A$126,'vehicles specifications'!$F67,'fuels and tailpipe emissions'!$B$10:$B$126,'vehicles specifications'!AY$2)/1000*$AQ67</f>
        <v>3.5524093314611898E-5</v>
      </c>
      <c r="AZ67" s="7">
        <f>SUMIFS('fuels and tailpipe emissions'!$C$10:$C$126,'fuels and tailpipe emissions'!$A$10:$A$126,'vehicles specifications'!$F67,'fuels and tailpipe emissions'!$B$10:$B$126,'vehicles specifications'!AZ$2)/1000*$AQ67</f>
        <v>3.7563118298650361E-3</v>
      </c>
      <c r="BA67" s="7">
        <f>SUMIFS('fuels and tailpipe emissions'!$C$10:$C$126,'fuels and tailpipe emissions'!$A$10:$A$126,'vehicles specifications'!$F67,'fuels and tailpipe emissions'!$B$10:$B$126,'vehicles specifications'!BA$2)/1000*$AQ67</f>
        <v>1.8023385750690973E-6</v>
      </c>
      <c r="BB67" s="7">
        <f>SUMIFS('fuels and tailpipe emissions'!$C$10:$C$126,'fuels and tailpipe emissions'!$A$10:$A$126,'vehicles specifications'!$F67,'fuels and tailpipe emissions'!$B$10:$B$126,'vehicles specifications'!BB$2)/1000*$AQ67</f>
        <v>1.8023385750690973E-6</v>
      </c>
      <c r="BC67" s="7">
        <f>SUMIFS('fuels and tailpipe emissions'!$C$10:$C$126,'fuels and tailpipe emissions'!$A$10:$A$126,'vehicles specifications'!$F67,'fuels and tailpipe emissions'!$B$10:$B$126,'vehicles specifications'!BC$2)/1000*$AQ67</f>
        <v>1.3515864735015395E-4</v>
      </c>
      <c r="BD67" s="7">
        <f>SUMIFS('fuels and tailpipe emissions'!$C$10:$C$126,'fuels and tailpipe emissions'!$A$10:$A$126,'vehicles specifications'!$F67,'fuels and tailpipe emissions'!$B$10:$B$126,'vehicles specifications'!BD$2)/1000*$AQ67</f>
        <v>1.0350830436621825E-5</v>
      </c>
      <c r="BE67" s="7">
        <f>SUMIFS('fuels and tailpipe emissions'!$C$10:$C$126,'fuels and tailpipe emissions'!$A$10:$A$126,'vehicles specifications'!$F67,'fuels and tailpipe emissions'!$B$10:$B$126,'vehicles specifications'!BE$2)/1000*$AQ67</f>
        <v>6.3179009528227666E-4</v>
      </c>
      <c r="BF67" s="7">
        <f>SUMIFS('fuels and tailpipe emissions'!$C$10:$C$126,'fuels and tailpipe emissions'!$A$10:$A$126,'vehicles specifications'!$F67,'fuels and tailpipe emissions'!$B$10:$B$126,'vehicles specifications'!BF$2)/1000*$AQ67</f>
        <v>4.4549301590416936E-5</v>
      </c>
      <c r="BG67" s="7">
        <f>SUMIFS('fuels and tailpipe emissions'!$C$10:$C$126,'fuels and tailpipe emissions'!$A$10:$A$126,'vehicles specifications'!$F67,'fuels and tailpipe emissions'!$B$10:$B$126,'vehicles specifications'!BG$2)/1000*$AQ67</f>
        <v>9.0774438977338592E-6</v>
      </c>
      <c r="BH67" s="7">
        <f>SUMIFS('fuels and tailpipe emissions'!$C$10:$C$126,'fuels and tailpipe emissions'!$A$10:$A$126,'vehicles specifications'!$F67,'fuels and tailpipe emissions'!$B$10:$B$126,'vehicles specifications'!BH$2)/1000*$AQ67</f>
        <v>7.3178163114039118E-5</v>
      </c>
      <c r="BI67" s="7">
        <f>SUMIFS('fuels and tailpipe emissions'!$C$10:$C$126,'fuels and tailpipe emissions'!$A$10:$A$126,'vehicles specifications'!$F67,'fuels and tailpipe emissions'!$B$10:$B$126,'vehicles specifications'!BI$2)/1000*$AQ67</f>
        <v>3.0025391354042764E-5</v>
      </c>
      <c r="BJ67" s="7">
        <f>SUMIFS('fuels and tailpipe emissions'!$C$10:$C$126,'fuels and tailpipe emissions'!$A$10:$A$126,'vehicles specifications'!$F67,'fuels and tailpipe emissions'!$B$10:$B$126,'vehicles specifications'!BJ$2)/1000*$AQ67</f>
        <v>2.248413026977156E-5</v>
      </c>
      <c r="BK67" s="7">
        <f>SUMIFS('fuels and tailpipe emissions'!$C$10:$C$126,'fuels and tailpipe emissions'!$A$10:$A$126,'vehicles specifications'!$F67,'fuels and tailpipe emissions'!$B$10:$B$126,'vehicles specifications'!BK$2)/1000*$AQ67</f>
        <v>1.5920440066794769E-5</v>
      </c>
      <c r="BL67" s="7">
        <f>SUMIFS('fuels and tailpipe emissions'!$C$10:$C$126,'fuels and tailpipe emissions'!$A$10:$A$126,'vehicles specifications'!$F67,'fuels and tailpipe emissions'!$B$10:$B$126,'vehicles specifications'!BL$2)/1000*$AQ67</f>
        <v>1.0334320745112393E-5</v>
      </c>
      <c r="BM67" s="7">
        <f>SUMIFS('fuels and tailpipe emissions'!$C$10:$C$126,'fuels and tailpipe emissions'!$A$10:$A$126,'vehicles specifications'!$F67,'fuels and tailpipe emissions'!$B$10:$B$126,'vehicles specifications'!BM$2)/1000*$AQ67</f>
        <v>1.0194667762070334E-4</v>
      </c>
      <c r="BN67" s="7">
        <f>SUMIFS('fuels and tailpipe emissions'!$C$10:$C$126,'fuels and tailpipe emissions'!$A$10:$A$126,'vehicles specifications'!$F67,'fuels and tailpipe emissions'!$B$10:$B$126,'vehicles specifications'!BN$2)/1000*$AQ67</f>
        <v>5.3347439522066674E-5</v>
      </c>
      <c r="BO67" s="7">
        <f>SUMIFS('fuels and tailpipe emissions'!$C$10:$C$126,'fuels and tailpipe emissions'!$A$10:$A$126,'vehicles specifications'!$F67,'fuels and tailpipe emissions'!$B$10:$B$126,'vehicles specifications'!BO$2)/1000*$AQ67</f>
        <v>1.5361828134626532E-6</v>
      </c>
      <c r="BP67" s="7">
        <f>SUMIFS('fuels and tailpipe emissions'!$C$10:$C$126,'fuels and tailpipe emissions'!$A$10:$A$126,'vehicles specifications'!$F67,'fuels and tailpipe emissions'!$B$10:$B$126,'vehicles specifications'!BP$2)/1000*$AQ67</f>
        <v>7.8345323486595295E-5</v>
      </c>
      <c r="BQ67" s="7">
        <f>SUMIFS('fuels and tailpipe emissions'!$C$10:$C$126,'fuels and tailpipe emissions'!$A$10:$A$126,'vehicles specifications'!$F67,'fuels and tailpipe emissions'!$B$10:$B$126,'vehicles specifications'!BQ$2)/1000*$AQ67</f>
        <v>1.5333897538018121E-4</v>
      </c>
      <c r="BR67" s="7">
        <f>SUMIFS('fuels and tailpipe emissions'!$C$10:$C$126,'fuels and tailpipe emissions'!$A$10:$A$126,'vehicles specifications'!$F67,'fuels and tailpipe emissions'!$B$10:$B$126,'vehicles specifications'!BR$2)/1000*$AQ67</f>
        <v>7.583156979183825E-5</v>
      </c>
      <c r="BS67" s="7">
        <f>SUMIFS('fuels and tailpipe emissions'!$C$10:$C$126,'fuels and tailpipe emissions'!$A$10:$A$126,'vehicles specifications'!$F67,'fuels and tailpipe emissions'!$B$10:$B$126,'vehicles specifications'!BS$2)/1000*$AQ67</f>
        <v>3.1561574167505416E-5</v>
      </c>
      <c r="BT67" s="7">
        <f>SUMIFS('fuels and tailpipe emissions'!$C$10:$C$126,'fuels and tailpipe emissions'!$A$10:$A$126,'vehicles specifications'!$F67,'fuels and tailpipe emissions'!$B$10:$B$126,'vehicles specifications'!BT$2)/1000*$AQ67</f>
        <v>2.3741007117150096E-5</v>
      </c>
      <c r="BU67" s="7">
        <f>SUMIFS('fuels and tailpipe emissions'!$C$10:$C$126,'fuels and tailpipe emissions'!$A$10:$A$126,'vehicles specifications'!$F67,'fuels and tailpipe emissions'!$B$10:$B$126,'vehicles specifications'!BU$2)/1000*$AQ67</f>
        <v>1.0473973728154453E-5</v>
      </c>
      <c r="BV67" s="7">
        <f>SUMIFS('fuels and tailpipe emissions'!$C$10:$C$126,'fuels and tailpipe emissions'!$A$10:$A$126,'vehicles specifications'!$F67,'fuels and tailpipe emissions'!$B$10:$B$126,'vehicles specifications'!BV$2)/1000*$AQ67</f>
        <v>3.0723656269253065E-6</v>
      </c>
      <c r="BW67" s="7">
        <f>SUMIFS('fuels and tailpipe emissions'!$C$10:$C$126,'fuels and tailpipe emissions'!$A$10:$A$126,'vehicles specifications'!$F67,'fuels and tailpipe emissions'!$B$10:$B$126,'vehicles specifications'!BW$2)/1000*$AQ67</f>
        <v>8.5188319655656235E-6</v>
      </c>
      <c r="BX67" s="7">
        <f>SUMIFS('fuels and tailpipe emissions'!$C$10:$C$126,'fuels and tailpipe emissions'!$A$10:$A$126,'vehicles specifications'!$F67,'fuels and tailpipe emissions'!$B$10:$B$126,'vehicles specifications'!BX$2)/1000*$AQ67</f>
        <v>0</v>
      </c>
      <c r="BY67" s="7">
        <f>SUMIFS('fuels and tailpipe emissions'!$C$10:$C$126,'fuels and tailpipe emissions'!$A$10:$A$126,'vehicles specifications'!$F67,'fuels and tailpipe emissions'!$B$10:$B$126,'vehicles specifications'!BY$2)/1000*$AQ67</f>
        <v>2.653406677799128E-6</v>
      </c>
      <c r="BZ67" s="7">
        <f>SUMIFS('fuels and tailpipe emissions'!$C$10:$C$126,'fuels and tailpipe emissions'!$A$10:$A$126,'vehicles specifications'!$F67,'fuels and tailpipe emissions'!$B$10:$B$126,'vehicles specifications'!BZ$2)/1000*$AQ67</f>
        <v>1.4104951287247996E-5</v>
      </c>
      <c r="CA67" s="7">
        <f>SUMIFS('fuels and tailpipe emissions'!$C$10:$C$126,'fuels and tailpipe emissions'!$A$10:$A$126,'vehicles specifications'!$F67,'fuels and tailpipe emissions'!$B$10:$B$126,'vehicles specifications'!CA$2)/1000*$AQ67</f>
        <v>1.0550772887794592E-9</v>
      </c>
      <c r="CB67" s="7">
        <f>SUMIFS('fuels and tailpipe emissions'!$C$10:$C$126,'fuels and tailpipe emissions'!$A$10:$A$126,'vehicles specifications'!$F67,'fuels and tailpipe emissions'!$B$10:$B$126,'vehicles specifications'!CB$2)/1000*$AQ67</f>
        <v>9.0954938687884409E-12</v>
      </c>
      <c r="CC67" s="7">
        <f>SUMIFS('fuels and tailpipe emissions'!$C$10:$C$126,'fuels and tailpipe emissions'!$A$10:$A$126,'vehicles specifications'!$F67,'fuels and tailpipe emissions'!$B$10:$B$126,'vehicles specifications'!CC$2)/1000*$AQ67</f>
        <v>6.0636625791922934E-12</v>
      </c>
      <c r="CD67" s="7">
        <f>SUMIFS('fuels and tailpipe emissions'!$C$10:$C$126,'fuels and tailpipe emissions'!$A$10:$A$126,'vehicles specifications'!$F67,'fuels and tailpipe emissions'!$B$10:$B$126,'vehicles specifications'!CD$2)/1000*$AQ67</f>
        <v>6.5487555855276772E-8</v>
      </c>
      <c r="CE67" s="7">
        <f>SUMIFS('fuels and tailpipe emissions'!$C$10:$C$126,'fuels and tailpipe emissions'!$A$10:$A$126,'vehicles specifications'!$F67,'fuels and tailpipe emissions'!$B$10:$B$126,'vehicles specifications'!CE$2)/1000*$AQ67</f>
        <v>1.2733691416303815E-9</v>
      </c>
      <c r="CF67" s="7">
        <f>SUMIFS('fuels and tailpipe emissions'!$C$10:$C$126,'fuels and tailpipe emissions'!$A$10:$A$126,'vehicles specifications'!$F67,'fuels and tailpipe emissions'!$B$10:$B$126,'vehicles specifications'!CF$2)/1000*$AQ67</f>
        <v>3.9413806764749909E-10</v>
      </c>
      <c r="CG67" s="7">
        <f>SUMIFS('fuels and tailpipe emissions'!$C$10:$C$126,'fuels and tailpipe emissions'!$A$10:$A$126,'vehicles specifications'!$F67,'fuels and tailpipe emissions'!$B$10:$B$126,'vehicles specifications'!CG$2)/1000*$AQ67</f>
        <v>4.850930063353835E-10</v>
      </c>
      <c r="CH67" s="7">
        <f>SUMIFS('fuels and tailpipe emissions'!$C$10:$C$126,'fuels and tailpipe emissions'!$A$10:$A$126,'vehicles specifications'!$F67,'fuels and tailpipe emissions'!$B$10:$B$126,'vehicles specifications'!CH$2)/1000*$AQ67</f>
        <v>9.701860126707668E-13</v>
      </c>
      <c r="CI67" s="7">
        <f>SUMIFS('fuels and tailpipe emissions'!$C$10:$C$126,'fuels and tailpipe emissions'!$A$10:$A$126,'vehicles specifications'!$F67,'fuels and tailpipe emissions'!$B$10:$B$126,'vehicles specifications'!CI$2)/1000*$AQ67</f>
        <v>2.637693221948648E-10</v>
      </c>
      <c r="CJ67" s="7">
        <f>SUMIFS('fuels and tailpipe emissions'!$C$10:$C$126,'fuels and tailpipe emissions'!$A$10:$A$126,'vehicles specifications'!$F67,'fuels and tailpipe emissions'!$B$10:$B$126,'vehicles specifications'!CJ$2)/1000*$AQ67</f>
        <v>3.2743777927638394E-10</v>
      </c>
      <c r="CK67" s="38">
        <f>VLOOKUP($B67,'abrasion emissions'!$O$7:$R$36,2,FALSE)</f>
        <v>0.5</v>
      </c>
      <c r="CL67" s="38">
        <f>VLOOKUP($B67,'abrasion emissions'!$O$7:$R$36,3,FALSE)</f>
        <v>0.5</v>
      </c>
      <c r="CM67" s="38">
        <f>VLOOKUP($B67,'abrasion emissions'!$O$7:$R$36,4,FALSE)</f>
        <v>0</v>
      </c>
      <c r="CN67" s="7">
        <f>((SUMIFS('abrasion emissions'!$M$7:$M$34,'abrasion emissions'!$I$7:$I$34,"PM 2.5",'abrasion emissions'!$J$7:$J$34,"urban",'abrasion emissions'!$K$7:$K$34,"Tyre",'abrasion emissions'!$L$7:$L$34,"b")*POWER(('vehicles specifications'!$Q67/1000),(1/SUMIFS('abrasion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specifications'!$P67/1000),(1/SUMIFS('abrasion emissions'!$M$7:$M$34,'abrasion emissions'!$I$7:$I$34,"PM 10",'abrasion emissions'!$J$7:$J$34,"urban",'abrasion emissions'!$K$7:$K$34,"Tyre",'abrasion emissions'!$L$7:$L$34,"c")))))/1000000</f>
        <v>5.8415365221322295E-6</v>
      </c>
      <c r="CO67" s="7">
        <f>((SUMIFS('abrasion emissions'!$M$7:$M$34,'abrasion emissions'!$I$7:$I$34,"PM 2.5",'abrasion emissions'!$J$7:$J$34,"rural",'abrasion emissions'!$K$7:$K$34,"Tyre",'abrasion emissions'!$L$7:$L$34,"b")*POWER(('vehicles specifications'!$Q67/1000),(1/SUMIFS('abrasion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specifications'!$P67/1000),(1/SUMIFS('abrasion emissions'!$M$7:$M$34,'abrasion emissions'!$I$7:$I$34,"PM 10",'abrasion emissions'!$J$7:$J$34,"rural",'abrasion emissions'!$K$7:$K$34,"Tyre",'abrasion emissions'!$L$7:$L$34,"c")))))/1000000</f>
        <v>4.5497835554153687E-6</v>
      </c>
      <c r="CP67" s="7">
        <f>((SUMIFS('abrasion emissions'!$M$7:$M$34,'abrasion emissions'!$I$7:$I$34,"PM 2.5",'abrasion emissions'!$J$7:$J$34,"motorway",'abrasion emissions'!$K$7:$K$34,"Tyre",'abrasion emissions'!$L$7:$L$34,"b")*POWER(('vehicles specifications'!$Q67/1000),(1/SUMIFS('abrasion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specifications'!$P67/1000),(1/SUMIFS('abrasion emissions'!$M$7:$M$34,'abrasion emissions'!$I$7:$I$34,"PM 10",'abrasion emissions'!$J$7:$J$34,"motorway",'abrasion emissions'!$K$7:$K$34,"Tyre",'abrasion emissions'!$L$7:$L$34,"c")))))/1000000</f>
        <v>3.8862687567750624E-6</v>
      </c>
      <c r="CQ67" s="7">
        <f>((SUMIFS('abrasion emissions'!$M$7:$M$34,'abrasion emissions'!$I$7:$I$34,"PM 2.5",'abrasion emissions'!$J$7:$J$34,"urban",'abrasion emissions'!$K$7:$K$34,"Brake",'abrasion emissions'!$L$7:$L$34,"b")*POWER(('vehicles specifications'!$Q67/1000),(1/SUMIFS('abrasion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specifications'!$P67/1000),(1/SUMIFS('abrasion emissions'!$M$7:$M$34,'abrasion emissions'!$I$7:$I$34,"PM 10",'abrasion emissions'!$J$7:$J$34,"urban",'abrasion emissions'!$K$7:$K$34,"Brake",'abrasion emissions'!$L$7:$L$34,"c")))))/1000000</f>
        <v>5.5190759489680619E-6</v>
      </c>
      <c r="CR67" s="7">
        <f>((SUMIFS('abrasion emissions'!$M$7:$M$34,'abrasion emissions'!$I$7:$I$34,"PM 2.5",'abrasion emissions'!$J$7:$J$34,"rural",'abrasion emissions'!$K$7:$K$34,"Brake",'abrasion emissions'!$L$7:$L$34,"b")*POWER(('vehicles specifications'!$Q67/1000),(1/SUMIFS('abrasion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specifications'!$P67/1000),(1/SUMIFS('abrasion emissions'!$M$7:$M$34,'abrasion emissions'!$I$7:$I$34,"PM 10",'abrasion emissions'!$J$7:$J$34,"rural",'abrasion emissions'!$K$7:$K$34,"Brake",'abrasion emissions'!$L$7:$L$34,"c")))))/1000000</f>
        <v>1.7454213150360459E-6</v>
      </c>
      <c r="CS67" s="7">
        <f>((SUMIFS('abrasion emissions'!$M$7:$M$34,'abrasion emissions'!$I$7:$I$34,"PM 2.5",'abrasion emissions'!$J$7:$J$34,"motorway",'abrasion emissions'!$K$7:$K$34,"Brake",'abrasion emissions'!$L$7:$L$34,"b")*POWER(('vehicles specifications'!$Q67/1000),(1/SUMIFS('abrasion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specifications'!$P67/1000),(1/SUMIFS('abrasion emissions'!$M$7:$M$34,'abrasion emissions'!$I$7:$I$34,"PM 10",'abrasion emissions'!$J$7:$J$34,"motorway",'abrasion emissions'!$K$7:$K$34,"Brake",'abrasion emissions'!$L$7:$L$34,"c")))))/1000000</f>
        <v>3.1923241745093865E-7</v>
      </c>
      <c r="CT67" s="7">
        <f>((SUMIFS('abrasion emissions'!$M$7:$M$38,'abrasion emissions'!$I$7:$I$38,"PM 2.5",'abrasion emissions'!$K$7:$K$38,"Re-susp.",'abrasion emissions'!$L$7:$L$38,"b")*POWER(('vehicles specifications'!$Q67/1000),(1/SUMIFS('abrasion emissions'!$M$7:$M$38,'abrasion emissions'!$I$7:$I$38,"PM 2.5",'abrasion emissions'!$K$7:$K$38,"Re-susp.",'abrasion emissions'!$L$7:$L$38,"c"))))+
(SUMIFS('abrasion emissions'!$M$7:$M$38,'abrasion emissions'!$I$7:$I$38,"PM 10",'abrasion emissions'!$K$7:$K$38,"Re-susp.",'abrasion emissions'!$L$7:$L$38,"b")*POWER(('vehicles specifications'!$Q67/1000),(1/SUMIFS('abrasion emissions'!$M$7:$M$38,'abrasion emissions'!$I$7:$I$38,"PM 10",'abrasion emissions'!$K$7:$K$38,"Re-susp.",'abrasion emissions'!$L$7:$L$38,"c")))))/1000000</f>
        <v>3.2759633915021905E-6</v>
      </c>
      <c r="CU67" s="7">
        <f>((SUMIFS('abrasion emissions'!$M$7:$M$38,'abrasion emissions'!$I$7:$I$38,"PM 2.5",'abrasion emissions'!$K$7:$K$38,"Road",'abrasion emissions'!$L$7:$L$38,"b")*POWER(('vehicles specifications'!$Q67/1000),(1/SUMIFS('abrasion emissions'!$M$7:$M$38,'abrasion emissions'!$I$7:$I$38,"PM 2.5",'abrasion emissions'!$K$7:$K$38,"Road",'abrasion emissions'!$L$7:$L$38,"c"))))+
(SUMIFS('abrasion emissions'!$M$7:$M$38,'abrasion emissions'!$I$7:$I$38,"PM 10",'abrasion emissions'!$K$7:$K$38,"Road",'abrasion emissions'!$L$7:$L$38,"b")*POWER(('vehicles specifications'!$Q67/1000),(1/SUMIFS('abrasion emissions'!$M$7:$M$38,'abrasion emissions'!$I$7:$I$38,"PM 10",'abrasion emissions'!$K$7:$K$38,"Road",'abrasion emissions'!$L$7:$L$38,"c")))))/1000000+CT67</f>
        <v>6.4065806791504937E-6</v>
      </c>
      <c r="CV67" s="7">
        <f t="shared" si="13"/>
        <v>5.1956600387737995E-6</v>
      </c>
      <c r="CW67" s="7">
        <f t="shared" si="14"/>
        <v>3.632248632002054E-6</v>
      </c>
    </row>
    <row r="68" spans="1:101" x14ac:dyDescent="0.2">
      <c r="A68" t="str">
        <f t="shared" si="1"/>
        <v>Scooter, gasoline, &lt;4kW, EURO-5 - 2030 - CH</v>
      </c>
      <c r="B68" t="s">
        <v>386</v>
      </c>
      <c r="D68" s="18">
        <v>2030</v>
      </c>
      <c r="E68" t="s">
        <v>37</v>
      </c>
      <c r="F68" t="s">
        <v>141</v>
      </c>
      <c r="G68" t="s">
        <v>39</v>
      </c>
      <c r="H68" t="s">
        <v>35</v>
      </c>
      <c r="J68">
        <v>25000</v>
      </c>
      <c r="K68">
        <v>1570</v>
      </c>
      <c r="L68" s="2">
        <f t="shared" si="68"/>
        <v>15.923566878980891</v>
      </c>
      <c r="M68">
        <v>1</v>
      </c>
      <c r="N68">
        <v>75</v>
      </c>
      <c r="O68">
        <v>4</v>
      </c>
      <c r="P68" s="2">
        <f t="shared" si="69"/>
        <v>88.447499999999991</v>
      </c>
      <c r="Q68" s="2">
        <f t="shared" si="70"/>
        <v>167.44749999999999</v>
      </c>
      <c r="R68">
        <v>2.8</v>
      </c>
      <c r="S68" s="2">
        <v>53</v>
      </c>
      <c r="T68" s="1">
        <v>0.03</v>
      </c>
      <c r="U68" s="2">
        <f t="shared" si="71"/>
        <v>51.41</v>
      </c>
      <c r="V68">
        <v>31</v>
      </c>
      <c r="W68">
        <v>0</v>
      </c>
      <c r="X68" s="3">
        <v>0</v>
      </c>
      <c r="Y68" s="1">
        <v>0.8</v>
      </c>
      <c r="Z68" s="3">
        <f t="shared" si="72"/>
        <v>0</v>
      </c>
      <c r="AA68" s="3" t="str">
        <f>IF(I68&lt;&gt;"",X68/INDEX('energy battery'!$B$3:$D$6,MATCH('vehicles specifications'!$D68,'energy battery'!$A$3:$A$6,0),MATCH('vehicles specifications'!$I68,'energy battery'!$B$2:$D$2,0)),"")</f>
        <v/>
      </c>
      <c r="AB68" s="3" t="str">
        <f t="shared" si="6"/>
        <v/>
      </c>
      <c r="AC68" s="3" t="str">
        <f t="shared" si="7"/>
        <v/>
      </c>
      <c r="AD68" s="3">
        <v>0</v>
      </c>
      <c r="AE68" s="3">
        <v>7</v>
      </c>
      <c r="AF68">
        <f>AE68*'fuels and tailpipe emissions'!$B$3</f>
        <v>5.25</v>
      </c>
      <c r="AG68" s="2">
        <f>AF68*'fuels and tailpipe emissions'!$C$3</f>
        <v>62.125</v>
      </c>
      <c r="AH68" s="3">
        <f t="shared" si="73"/>
        <v>0.78749999999999998</v>
      </c>
      <c r="AI68">
        <v>0</v>
      </c>
      <c r="AJ68">
        <v>0</v>
      </c>
      <c r="AK68">
        <f t="shared" si="67"/>
        <v>1</v>
      </c>
      <c r="AL68">
        <f t="shared" si="74"/>
        <v>8.9919307499999995E-5</v>
      </c>
      <c r="AM68">
        <v>1.2899999999999999E-3</v>
      </c>
      <c r="AN68" s="2">
        <f t="shared" si="75"/>
        <v>51.41</v>
      </c>
      <c r="AO68" s="2">
        <f t="shared" si="76"/>
        <v>31</v>
      </c>
      <c r="AP68" s="2" t="str">
        <f t="shared" si="77"/>
        <v/>
      </c>
      <c r="AQ68" s="6">
        <v>1.2756430150975786</v>
      </c>
      <c r="AR68" s="20">
        <v>0</v>
      </c>
      <c r="AS68" s="6" t="str">
        <f>IF($H68="BEV",SUMPRODUCT(#REF!,#REF!),"")</f>
        <v/>
      </c>
      <c r="AT68" s="2">
        <f t="shared" ref="AT68:AT131" si="78">SUM(Z68,AG68)/(SUM(AQ68,AS68)/3.6)</f>
        <v>175.32334466072561</v>
      </c>
      <c r="AU68" s="5">
        <f>IF($H68="ICEV-p",$AQ68/('fuels and tailpipe emissions'!$C$3*3.6)*'fuels and tailpipe emissions'!$D$3,"")*(1-AR68)</f>
        <v>9.4026269187943587E-2</v>
      </c>
      <c r="AV68" s="5">
        <f>IF($H68="ICEV-p",$AQ68/('fuels and tailpipe emissions'!$C$3*3.6)*'fuels and tailpipe emissions'!$D$3,"")*AR68</f>
        <v>0</v>
      </c>
      <c r="AW68" s="7">
        <f>IF($H68="ICEV-p",$AQ68/('fuels and tailpipe emissions'!$C$3*3.6)*'fuels and tailpipe emissions'!$E$3,"")</f>
        <v>4.7911474745448963E-7</v>
      </c>
      <c r="AX68" s="7">
        <f>SUMIFS('fuels and tailpipe emissions'!$C$10:$C$126,'fuels and tailpipe emissions'!$A$10:$A$126,'vehicles specifications'!$F68,'fuels and tailpipe emissions'!$B$10:$B$126,'vehicles specifications'!AX$2)/1000*$AQ68</f>
        <v>7.7561870251729333E-5</v>
      </c>
      <c r="AY68" s="7">
        <f>SUMIFS('fuels and tailpipe emissions'!$C$10:$C$126,'fuels and tailpipe emissions'!$A$10:$A$126,'vehicles specifications'!$F68,'fuels and tailpipe emissions'!$B$10:$B$126,'vehicles specifications'!AY$2)/1000*$AQ68</f>
        <v>3.516885238146577E-5</v>
      </c>
      <c r="AZ68" s="7">
        <f>SUMIFS('fuels and tailpipe emissions'!$C$10:$C$126,'fuels and tailpipe emissions'!$A$10:$A$126,'vehicles specifications'!$F68,'fuels and tailpipe emissions'!$B$10:$B$126,'vehicles specifications'!AZ$2)/1000*$AQ68</f>
        <v>3.7187487115663853E-3</v>
      </c>
      <c r="BA68" s="7">
        <f>SUMIFS('fuels and tailpipe emissions'!$C$10:$C$126,'fuels and tailpipe emissions'!$A$10:$A$126,'vehicles specifications'!$F68,'fuels and tailpipe emissions'!$B$10:$B$126,'vehicles specifications'!BA$2)/1000*$AQ68</f>
        <v>1.7843151893184062E-6</v>
      </c>
      <c r="BB68" s="7">
        <f>SUMIFS('fuels and tailpipe emissions'!$C$10:$C$126,'fuels and tailpipe emissions'!$A$10:$A$126,'vehicles specifications'!$F68,'fuels and tailpipe emissions'!$B$10:$B$126,'vehicles specifications'!BB$2)/1000*$AQ68</f>
        <v>1.7843151893184062E-6</v>
      </c>
      <c r="BC68" s="7">
        <f>SUMIFS('fuels and tailpipe emissions'!$C$10:$C$126,'fuels and tailpipe emissions'!$A$10:$A$126,'vehicles specifications'!$F68,'fuels and tailpipe emissions'!$B$10:$B$126,'vehicles specifications'!BC$2)/1000*$AQ68</f>
        <v>1.3380706087665241E-4</v>
      </c>
      <c r="BD68" s="7">
        <f>SUMIFS('fuels and tailpipe emissions'!$C$10:$C$126,'fuels and tailpipe emissions'!$A$10:$A$126,'vehicles specifications'!$F68,'fuels and tailpipe emissions'!$B$10:$B$126,'vehicles specifications'!BD$2)/1000*$AQ68</f>
        <v>1.0247322132255605E-5</v>
      </c>
      <c r="BE68" s="7">
        <f>SUMIFS('fuels and tailpipe emissions'!$C$10:$C$126,'fuels and tailpipe emissions'!$A$10:$A$126,'vehicles specifications'!$F68,'fuels and tailpipe emissions'!$B$10:$B$126,'vehicles specifications'!BE$2)/1000*$AQ68</f>
        <v>6.2547219432945386E-4</v>
      </c>
      <c r="BF68" s="7">
        <f>SUMIFS('fuels and tailpipe emissions'!$C$10:$C$126,'fuels and tailpipe emissions'!$A$10:$A$126,'vehicles specifications'!$F68,'fuels and tailpipe emissions'!$B$10:$B$126,'vehicles specifications'!BF$2)/1000*$AQ68</f>
        <v>4.4103808574512766E-5</v>
      </c>
      <c r="BG68" s="7">
        <f>SUMIFS('fuels and tailpipe emissions'!$C$10:$C$126,'fuels and tailpipe emissions'!$A$10:$A$126,'vehicles specifications'!$F68,'fuels and tailpipe emissions'!$B$10:$B$126,'vehicles specifications'!BG$2)/1000*$AQ68</f>
        <v>8.9866694587565205E-6</v>
      </c>
      <c r="BH68" s="7">
        <f>SUMIFS('fuels and tailpipe emissions'!$C$10:$C$126,'fuels and tailpipe emissions'!$A$10:$A$126,'vehicles specifications'!$F68,'fuels and tailpipe emissions'!$B$10:$B$126,'vehicles specifications'!BH$2)/1000*$AQ68</f>
        <v>7.2446381482898714E-5</v>
      </c>
      <c r="BI68" s="7">
        <f>SUMIFS('fuels and tailpipe emissions'!$C$10:$C$126,'fuels and tailpipe emissions'!$A$10:$A$126,'vehicles specifications'!$F68,'fuels and tailpipe emissions'!$B$10:$B$126,'vehicles specifications'!BI$2)/1000*$AQ68</f>
        <v>2.9725137440502336E-5</v>
      </c>
      <c r="BJ68" s="7">
        <f>SUMIFS('fuels and tailpipe emissions'!$C$10:$C$126,'fuels and tailpipe emissions'!$A$10:$A$126,'vehicles specifications'!$F68,'fuels and tailpipe emissions'!$B$10:$B$126,'vehicles specifications'!BJ$2)/1000*$AQ68</f>
        <v>2.2259288967073843E-5</v>
      </c>
      <c r="BK68" s="7">
        <f>SUMIFS('fuels and tailpipe emissions'!$C$10:$C$126,'fuels and tailpipe emissions'!$A$10:$A$126,'vehicles specifications'!$F68,'fuels and tailpipe emissions'!$B$10:$B$126,'vehicles specifications'!BK$2)/1000*$AQ68</f>
        <v>1.5761235666126822E-5</v>
      </c>
      <c r="BL68" s="7">
        <f>SUMIFS('fuels and tailpipe emissions'!$C$10:$C$126,'fuels and tailpipe emissions'!$A$10:$A$126,'vehicles specifications'!$F68,'fuels and tailpipe emissions'!$B$10:$B$126,'vehicles specifications'!BL$2)/1000*$AQ68</f>
        <v>1.0230977537661269E-5</v>
      </c>
      <c r="BM68" s="7">
        <f>SUMIFS('fuels and tailpipe emissions'!$C$10:$C$126,'fuels and tailpipe emissions'!$A$10:$A$126,'vehicles specifications'!$F68,'fuels and tailpipe emissions'!$B$10:$B$126,'vehicles specifications'!BM$2)/1000*$AQ68</f>
        <v>1.009272108444963E-4</v>
      </c>
      <c r="BN68" s="7">
        <f>SUMIFS('fuels and tailpipe emissions'!$C$10:$C$126,'fuels and tailpipe emissions'!$A$10:$A$126,'vehicles specifications'!$F68,'fuels and tailpipe emissions'!$B$10:$B$126,'vehicles specifications'!BN$2)/1000*$AQ68</f>
        <v>5.2813965126846007E-5</v>
      </c>
      <c r="BO68" s="7">
        <f>SUMIFS('fuels and tailpipe emissions'!$C$10:$C$126,'fuels and tailpipe emissions'!$A$10:$A$126,'vehicles specifications'!$F68,'fuels and tailpipe emissions'!$B$10:$B$126,'vehicles specifications'!BO$2)/1000*$AQ68</f>
        <v>1.5208209853280265E-6</v>
      </c>
      <c r="BP68" s="7">
        <f>SUMIFS('fuels and tailpipe emissions'!$C$10:$C$126,'fuels and tailpipe emissions'!$A$10:$A$126,'vehicles specifications'!$F68,'fuels and tailpipe emissions'!$B$10:$B$126,'vehicles specifications'!BP$2)/1000*$AQ68</f>
        <v>7.7561870251729333E-5</v>
      </c>
      <c r="BQ68" s="7">
        <f>SUMIFS('fuels and tailpipe emissions'!$C$10:$C$126,'fuels and tailpipe emissions'!$A$10:$A$126,'vehicles specifications'!$F68,'fuels and tailpipe emissions'!$B$10:$B$126,'vehicles specifications'!BQ$2)/1000*$AQ68</f>
        <v>1.5180558562637937E-4</v>
      </c>
      <c r="BR68" s="7">
        <f>SUMIFS('fuels and tailpipe emissions'!$C$10:$C$126,'fuels and tailpipe emissions'!$A$10:$A$126,'vehicles specifications'!$F68,'fuels and tailpipe emissions'!$B$10:$B$126,'vehicles specifications'!BR$2)/1000*$AQ68</f>
        <v>7.5073254093919859E-5</v>
      </c>
      <c r="BS68" s="7">
        <f>SUMIFS('fuels and tailpipe emissions'!$C$10:$C$126,'fuels and tailpipe emissions'!$A$10:$A$126,'vehicles specifications'!$F68,'fuels and tailpipe emissions'!$B$10:$B$126,'vehicles specifications'!BS$2)/1000*$AQ68</f>
        <v>3.1245958425830361E-5</v>
      </c>
      <c r="BT68" s="7">
        <f>SUMIFS('fuels and tailpipe emissions'!$C$10:$C$126,'fuels and tailpipe emissions'!$A$10:$A$126,'vehicles specifications'!$F68,'fuels and tailpipe emissions'!$B$10:$B$126,'vehicles specifications'!BT$2)/1000*$AQ68</f>
        <v>2.3503597045978593E-5</v>
      </c>
      <c r="BU68" s="7">
        <f>SUMIFS('fuels and tailpipe emissions'!$C$10:$C$126,'fuels and tailpipe emissions'!$A$10:$A$126,'vehicles specifications'!$F68,'fuels and tailpipe emissions'!$B$10:$B$126,'vehicles specifications'!BU$2)/1000*$AQ68</f>
        <v>1.0369233990872907E-5</v>
      </c>
      <c r="BV68" s="7">
        <f>SUMIFS('fuels and tailpipe emissions'!$C$10:$C$126,'fuels and tailpipe emissions'!$A$10:$A$126,'vehicles specifications'!$F68,'fuels and tailpipe emissions'!$B$10:$B$126,'vehicles specifications'!BV$2)/1000*$AQ68</f>
        <v>3.0416419706560531E-6</v>
      </c>
      <c r="BW68" s="7">
        <f>SUMIFS('fuels and tailpipe emissions'!$C$10:$C$126,'fuels and tailpipe emissions'!$A$10:$A$126,'vehicles specifications'!$F68,'fuels and tailpipe emissions'!$B$10:$B$126,'vehicles specifications'!BW$2)/1000*$AQ68</f>
        <v>8.4336436459099656E-6</v>
      </c>
      <c r="BX68" s="7">
        <f>SUMIFS('fuels and tailpipe emissions'!$C$10:$C$126,'fuels and tailpipe emissions'!$A$10:$A$126,'vehicles specifications'!$F68,'fuels and tailpipe emissions'!$B$10:$B$126,'vehicles specifications'!BX$2)/1000*$AQ68</f>
        <v>0</v>
      </c>
      <c r="BY68" s="7">
        <f>SUMIFS('fuels and tailpipe emissions'!$C$10:$C$126,'fuels and tailpipe emissions'!$A$10:$A$126,'vehicles specifications'!$F68,'fuels and tailpipe emissions'!$B$10:$B$126,'vehicles specifications'!BY$2)/1000*$AQ68</f>
        <v>2.6268726110211365E-6</v>
      </c>
      <c r="BZ68" s="7">
        <f>SUMIFS('fuels and tailpipe emissions'!$C$10:$C$126,'fuels and tailpipe emissions'!$A$10:$A$126,'vehicles specifications'!$F68,'fuels and tailpipe emissions'!$B$10:$B$126,'vehicles specifications'!BZ$2)/1000*$AQ68</f>
        <v>1.3963901774375514E-5</v>
      </c>
      <c r="CA68" s="7">
        <f>SUMIFS('fuels and tailpipe emissions'!$C$10:$C$126,'fuels and tailpipe emissions'!$A$10:$A$126,'vehicles specifications'!$F68,'fuels and tailpipe emissions'!$B$10:$B$126,'vehicles specifications'!CA$2)/1000*$AQ68</f>
        <v>1.0445265158916645E-9</v>
      </c>
      <c r="CB68" s="7">
        <f>SUMIFS('fuels and tailpipe emissions'!$C$10:$C$126,'fuels and tailpipe emissions'!$A$10:$A$126,'vehicles specifications'!$F68,'fuels and tailpipe emissions'!$B$10:$B$126,'vehicles specifications'!CB$2)/1000*$AQ68</f>
        <v>9.0045389301005557E-12</v>
      </c>
      <c r="CC68" s="7">
        <f>SUMIFS('fuels and tailpipe emissions'!$C$10:$C$126,'fuels and tailpipe emissions'!$A$10:$A$126,'vehicles specifications'!$F68,'fuels and tailpipe emissions'!$B$10:$B$126,'vehicles specifications'!CC$2)/1000*$AQ68</f>
        <v>6.0030259534003705E-12</v>
      </c>
      <c r="CD68" s="7">
        <f>SUMIFS('fuels and tailpipe emissions'!$C$10:$C$126,'fuels and tailpipe emissions'!$A$10:$A$126,'vehicles specifications'!$F68,'fuels and tailpipe emissions'!$B$10:$B$126,'vehicles specifications'!CD$2)/1000*$AQ68</f>
        <v>6.4832680296724005E-8</v>
      </c>
      <c r="CE68" s="7">
        <f>SUMIFS('fuels and tailpipe emissions'!$C$10:$C$126,'fuels and tailpipe emissions'!$A$10:$A$126,'vehicles specifications'!$F68,'fuels and tailpipe emissions'!$B$10:$B$126,'vehicles specifications'!CE$2)/1000*$AQ68</f>
        <v>1.2606354502140775E-9</v>
      </c>
      <c r="CF68" s="7">
        <f>SUMIFS('fuels and tailpipe emissions'!$C$10:$C$126,'fuels and tailpipe emissions'!$A$10:$A$126,'vehicles specifications'!$F68,'fuels and tailpipe emissions'!$B$10:$B$126,'vehicles specifications'!CF$2)/1000*$AQ68</f>
        <v>3.9019668697102408E-10</v>
      </c>
      <c r="CG68" s="7">
        <f>SUMIFS('fuels and tailpipe emissions'!$C$10:$C$126,'fuels and tailpipe emissions'!$A$10:$A$126,'vehicles specifications'!$F68,'fuels and tailpipe emissions'!$B$10:$B$126,'vehicles specifications'!CG$2)/1000*$AQ68</f>
        <v>4.8024207627202969E-10</v>
      </c>
      <c r="CH68" s="7">
        <f>SUMIFS('fuels and tailpipe emissions'!$C$10:$C$126,'fuels and tailpipe emissions'!$A$10:$A$126,'vehicles specifications'!$F68,'fuels and tailpipe emissions'!$B$10:$B$126,'vehicles specifications'!CH$2)/1000*$AQ68</f>
        <v>9.6048415254405914E-13</v>
      </c>
      <c r="CI68" s="7">
        <f>SUMIFS('fuels and tailpipe emissions'!$C$10:$C$126,'fuels and tailpipe emissions'!$A$10:$A$126,'vehicles specifications'!$F68,'fuels and tailpipe emissions'!$B$10:$B$126,'vehicles specifications'!CI$2)/1000*$AQ68</f>
        <v>2.6113162897291613E-10</v>
      </c>
      <c r="CJ68" s="7">
        <f>SUMIFS('fuels and tailpipe emissions'!$C$10:$C$126,'fuels and tailpipe emissions'!$A$10:$A$126,'vehicles specifications'!$F68,'fuels and tailpipe emissions'!$B$10:$B$126,'vehicles specifications'!CJ$2)/1000*$AQ68</f>
        <v>3.2416340148362008E-10</v>
      </c>
      <c r="CK68" s="38">
        <f>VLOOKUP($B68,'abrasion emissions'!$O$7:$R$36,2,FALSE)</f>
        <v>0.5</v>
      </c>
      <c r="CL68" s="38">
        <f>VLOOKUP($B68,'abrasion emissions'!$O$7:$R$36,3,FALSE)</f>
        <v>0.5</v>
      </c>
      <c r="CM68" s="38">
        <f>VLOOKUP($B68,'abrasion emissions'!$O$7:$R$36,4,FALSE)</f>
        <v>0</v>
      </c>
      <c r="CN68" s="7">
        <f>((SUMIFS('abrasion emissions'!$M$7:$M$34,'abrasion emissions'!$I$7:$I$34,"PM 2.5",'abrasion emissions'!$J$7:$J$34,"urban",'abrasion emissions'!$K$7:$K$34,"Tyre",'abrasion emissions'!$L$7:$L$34,"b")*POWER(('vehicles specifications'!$Q68/1000),(1/SUMIFS('abrasion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specifications'!$P68/1000),(1/SUMIFS('abrasion emissions'!$M$7:$M$34,'abrasion emissions'!$I$7:$I$34,"PM 10",'abrasion emissions'!$J$7:$J$34,"urban",'abrasion emissions'!$K$7:$K$34,"Tyre",'abrasion emissions'!$L$7:$L$34,"c")))))/1000000</f>
        <v>5.7907764241256545E-6</v>
      </c>
      <c r="CO68" s="7">
        <f>((SUMIFS('abrasion emissions'!$M$7:$M$34,'abrasion emissions'!$I$7:$I$34,"PM 2.5",'abrasion emissions'!$J$7:$J$34,"rural",'abrasion emissions'!$K$7:$K$34,"Tyre",'abrasion emissions'!$L$7:$L$34,"b")*POWER(('vehicles specifications'!$Q68/1000),(1/SUMIFS('abrasion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specifications'!$P68/1000),(1/SUMIFS('abrasion emissions'!$M$7:$M$34,'abrasion emissions'!$I$7:$I$34,"PM 10",'abrasion emissions'!$J$7:$J$34,"rural",'abrasion emissions'!$K$7:$K$34,"Tyre",'abrasion emissions'!$L$7:$L$34,"c")))))/1000000</f>
        <v>4.5102839439602962E-6</v>
      </c>
      <c r="CP68" s="7">
        <f>((SUMIFS('abrasion emissions'!$M$7:$M$34,'abrasion emissions'!$I$7:$I$34,"PM 2.5",'abrasion emissions'!$J$7:$J$34,"motorway",'abrasion emissions'!$K$7:$K$34,"Tyre",'abrasion emissions'!$L$7:$L$34,"b")*POWER(('vehicles specifications'!$Q68/1000),(1/SUMIFS('abrasion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specifications'!$P68/1000),(1/SUMIFS('abrasion emissions'!$M$7:$M$34,'abrasion emissions'!$I$7:$I$34,"PM 10",'abrasion emissions'!$J$7:$J$34,"motorway",'abrasion emissions'!$K$7:$K$34,"Tyre",'abrasion emissions'!$L$7:$L$34,"c")))))/1000000</f>
        <v>3.8526193461663054E-6</v>
      </c>
      <c r="CQ68" s="7">
        <f>((SUMIFS('abrasion emissions'!$M$7:$M$34,'abrasion emissions'!$I$7:$I$34,"PM 2.5",'abrasion emissions'!$J$7:$J$34,"urban",'abrasion emissions'!$K$7:$K$34,"Brake",'abrasion emissions'!$L$7:$L$34,"b")*POWER(('vehicles specifications'!$Q68/1000),(1/SUMIFS('abrasion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specifications'!$P68/1000),(1/SUMIFS('abrasion emissions'!$M$7:$M$34,'abrasion emissions'!$I$7:$I$34,"PM 10",'abrasion emissions'!$J$7:$J$34,"urban",'abrasion emissions'!$K$7:$K$34,"Brake",'abrasion emissions'!$L$7:$L$34,"c")))))/1000000</f>
        <v>5.4663055659268262E-6</v>
      </c>
      <c r="CR68" s="7">
        <f>((SUMIFS('abrasion emissions'!$M$7:$M$34,'abrasion emissions'!$I$7:$I$34,"PM 2.5",'abrasion emissions'!$J$7:$J$34,"rural",'abrasion emissions'!$K$7:$K$34,"Brake",'abrasion emissions'!$L$7:$L$34,"b")*POWER(('vehicles specifications'!$Q68/1000),(1/SUMIFS('abrasion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specifications'!$P68/1000),(1/SUMIFS('abrasion emissions'!$M$7:$M$34,'abrasion emissions'!$I$7:$I$34,"PM 10",'abrasion emissions'!$J$7:$J$34,"rural",'abrasion emissions'!$K$7:$K$34,"Brake",'abrasion emissions'!$L$7:$L$34,"c")))))/1000000</f>
        <v>1.7244183027874851E-6</v>
      </c>
      <c r="CS68" s="7">
        <f>((SUMIFS('abrasion emissions'!$M$7:$M$34,'abrasion emissions'!$I$7:$I$34,"PM 2.5",'abrasion emissions'!$J$7:$J$34,"motorway",'abrasion emissions'!$K$7:$K$34,"Brake",'abrasion emissions'!$L$7:$L$34,"b")*POWER(('vehicles specifications'!$Q68/1000),(1/SUMIFS('abrasion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specifications'!$P68/1000),(1/SUMIFS('abrasion emissions'!$M$7:$M$34,'abrasion emissions'!$I$7:$I$34,"PM 10",'abrasion emissions'!$J$7:$J$34,"motorway",'abrasion emissions'!$K$7:$K$34,"Brake",'abrasion emissions'!$L$7:$L$34,"c")))))/1000000</f>
        <v>3.148384136841521E-7</v>
      </c>
      <c r="CT68" s="7">
        <f>((SUMIFS('abrasion emissions'!$M$7:$M$38,'abrasion emissions'!$I$7:$I$38,"PM 2.5",'abrasion emissions'!$K$7:$K$38,"Re-susp.",'abrasion emissions'!$L$7:$L$38,"b")*POWER(('vehicles specifications'!$Q68/1000),(1/SUMIFS('abrasion emissions'!$M$7:$M$38,'abrasion emissions'!$I$7:$I$38,"PM 2.5",'abrasion emissions'!$K$7:$K$38,"Re-susp.",'abrasion emissions'!$L$7:$L$38,"c"))))+
(SUMIFS('abrasion emissions'!$M$7:$M$38,'abrasion emissions'!$I$7:$I$38,"PM 10",'abrasion emissions'!$K$7:$K$38,"Re-susp.",'abrasion emissions'!$L$7:$L$38,"b")*POWER(('vehicles specifications'!$Q68/1000),(1/SUMIFS('abrasion emissions'!$M$7:$M$38,'abrasion emissions'!$I$7:$I$38,"PM 10",'abrasion emissions'!$K$7:$K$38,"Re-susp.",'abrasion emissions'!$L$7:$L$38,"c")))))/1000000</f>
        <v>3.2305688462489022E-6</v>
      </c>
      <c r="CU68" s="7">
        <f>((SUMIFS('abrasion emissions'!$M$7:$M$38,'abrasion emissions'!$I$7:$I$38,"PM 2.5",'abrasion emissions'!$K$7:$K$38,"Road",'abrasion emissions'!$L$7:$L$38,"b")*POWER(('vehicles specifications'!$Q68/1000),(1/SUMIFS('abrasion emissions'!$M$7:$M$38,'abrasion emissions'!$I$7:$I$38,"PM 2.5",'abrasion emissions'!$K$7:$K$38,"Road",'abrasion emissions'!$L$7:$L$38,"c"))))+
(SUMIFS('abrasion emissions'!$M$7:$M$38,'abrasion emissions'!$I$7:$I$38,"PM 10",'abrasion emissions'!$K$7:$K$38,"Road",'abrasion emissions'!$L$7:$L$38,"b")*POWER(('vehicles specifications'!$Q68/1000),(1/SUMIFS('abrasion emissions'!$M$7:$M$38,'abrasion emissions'!$I$7:$I$38,"PM 10",'abrasion emissions'!$K$7:$K$38,"Road",'abrasion emissions'!$L$7:$L$38,"c")))))/1000000+CT68</f>
        <v>6.329314640630878E-6</v>
      </c>
      <c r="CV68" s="7">
        <f t="shared" ref="CV68:CV131" si="79">(CK68*CN68)+(CL68*CO68)+(CM68*CP68)</f>
        <v>5.1505301840429754E-6</v>
      </c>
      <c r="CW68" s="7">
        <f t="shared" ref="CW68:CW131" si="80">(CK68*CQ68)+(CL68*CR68)+(CM68*CS68)</f>
        <v>3.5953619343571558E-6</v>
      </c>
    </row>
    <row r="69" spans="1:101" x14ac:dyDescent="0.2">
      <c r="A69" t="str">
        <f t="shared" si="1"/>
        <v>Scooter, gasoline, &lt;4kW, EURO-5 - 2040 - CH</v>
      </c>
      <c r="B69" t="s">
        <v>386</v>
      </c>
      <c r="D69" s="18">
        <v>2040</v>
      </c>
      <c r="E69" t="s">
        <v>37</v>
      </c>
      <c r="F69" t="s">
        <v>141</v>
      </c>
      <c r="G69" t="s">
        <v>39</v>
      </c>
      <c r="H69" t="s">
        <v>35</v>
      </c>
      <c r="J69">
        <v>25000</v>
      </c>
      <c r="K69">
        <v>1570</v>
      </c>
      <c r="L69" s="2">
        <f t="shared" si="68"/>
        <v>15.923566878980891</v>
      </c>
      <c r="M69">
        <v>1</v>
      </c>
      <c r="N69">
        <v>75</v>
      </c>
      <c r="O69">
        <v>4</v>
      </c>
      <c r="P69" s="2">
        <f t="shared" si="69"/>
        <v>86.487499999999983</v>
      </c>
      <c r="Q69" s="2">
        <f t="shared" si="70"/>
        <v>165.48749999999998</v>
      </c>
      <c r="R69">
        <v>2.8</v>
      </c>
      <c r="S69" s="2">
        <v>53</v>
      </c>
      <c r="T69" s="1">
        <v>0.05</v>
      </c>
      <c r="U69" s="2">
        <f t="shared" si="71"/>
        <v>50.349999999999994</v>
      </c>
      <c r="V69">
        <v>30.1</v>
      </c>
      <c r="W69">
        <v>0</v>
      </c>
      <c r="X69" s="3">
        <v>0</v>
      </c>
      <c r="Y69" s="1">
        <v>0.8</v>
      </c>
      <c r="Z69" s="3">
        <f t="shared" si="72"/>
        <v>0</v>
      </c>
      <c r="AA69" s="3" t="str">
        <f>IF(I69&lt;&gt;"",X69/INDEX('energy battery'!$B$3:$D$6,MATCH('vehicles specifications'!$D69,'energy battery'!$A$3:$A$6,0),MATCH('vehicles specifications'!$I69,'energy battery'!$B$2:$D$2,0)),"")</f>
        <v/>
      </c>
      <c r="AB69" s="3" t="str">
        <f t="shared" si="6"/>
        <v/>
      </c>
      <c r="AC69" s="3" t="str">
        <f t="shared" si="7"/>
        <v/>
      </c>
      <c r="AD69" s="3">
        <v>0</v>
      </c>
      <c r="AE69" s="3">
        <v>7</v>
      </c>
      <c r="AF69">
        <f>AE69*'fuels and tailpipe emissions'!$B$3</f>
        <v>5.25</v>
      </c>
      <c r="AG69" s="2">
        <f>AF69*'fuels and tailpipe emissions'!$C$3</f>
        <v>62.125</v>
      </c>
      <c r="AH69" s="3">
        <f t="shared" si="73"/>
        <v>0.78749999999999998</v>
      </c>
      <c r="AI69">
        <v>0</v>
      </c>
      <c r="AJ69">
        <v>0</v>
      </c>
      <c r="AK69">
        <f t="shared" si="67"/>
        <v>1</v>
      </c>
      <c r="AL69">
        <f t="shared" si="74"/>
        <v>8.8866787499999997E-5</v>
      </c>
      <c r="AM69">
        <v>1.2899999999999999E-3</v>
      </c>
      <c r="AN69" s="2">
        <f t="shared" si="75"/>
        <v>50.349999999999994</v>
      </c>
      <c r="AO69" s="2">
        <f t="shared" si="76"/>
        <v>30.1</v>
      </c>
      <c r="AP69" s="2" t="str">
        <f t="shared" si="77"/>
        <v/>
      </c>
      <c r="AQ69" s="6">
        <v>1.2628865849466029</v>
      </c>
      <c r="AR69" s="20">
        <v>0</v>
      </c>
      <c r="AS69" s="6" t="str">
        <f>IF($H69="BEV",SUMPRODUCT(#REF!,#REF!),"")</f>
        <v/>
      </c>
      <c r="AT69" s="2">
        <f t="shared" si="78"/>
        <v>177.09428753608648</v>
      </c>
      <c r="AU69" s="5">
        <f>IF($H69="ICEV-p",$AQ69/('fuels and tailpipe emissions'!$C$3*3.6)*'fuels and tailpipe emissions'!$D$3,"")*(1-AR69)</f>
        <v>9.3086006496064161E-2</v>
      </c>
      <c r="AV69" s="5">
        <f>IF($H69="ICEV-p",$AQ69/('fuels and tailpipe emissions'!$C$3*3.6)*'fuels and tailpipe emissions'!$D$3,"")*AR69</f>
        <v>0</v>
      </c>
      <c r="AW69" s="7">
        <f>IF($H69="ICEV-p",$AQ69/('fuels and tailpipe emissions'!$C$3*3.6)*'fuels and tailpipe emissions'!$E$3,"")</f>
        <v>4.7432359997994471E-7</v>
      </c>
      <c r="AX69" s="7">
        <f>SUMIFS('fuels and tailpipe emissions'!$C$10:$C$126,'fuels and tailpipe emissions'!$A$10:$A$126,'vehicles specifications'!$F69,'fuels and tailpipe emissions'!$B$10:$B$126,'vehicles specifications'!AX$2)/1000*$AQ69</f>
        <v>7.6786251549212049E-5</v>
      </c>
      <c r="AY69" s="7">
        <f>SUMIFS('fuels and tailpipe emissions'!$C$10:$C$126,'fuels and tailpipe emissions'!$A$10:$A$126,'vehicles specifications'!$F69,'fuels and tailpipe emissions'!$B$10:$B$126,'vehicles specifications'!AY$2)/1000*$AQ69</f>
        <v>3.4817163857651117E-5</v>
      </c>
      <c r="AZ69" s="7">
        <f>SUMIFS('fuels and tailpipe emissions'!$C$10:$C$126,'fuels and tailpipe emissions'!$A$10:$A$126,'vehicles specifications'!$F69,'fuels and tailpipe emissions'!$B$10:$B$126,'vehicles specifications'!AZ$2)/1000*$AQ69</f>
        <v>3.6815612244507218E-3</v>
      </c>
      <c r="BA69" s="7">
        <f>SUMIFS('fuels and tailpipe emissions'!$C$10:$C$126,'fuels and tailpipe emissions'!$A$10:$A$126,'vehicles specifications'!$F69,'fuels and tailpipe emissions'!$B$10:$B$126,'vehicles specifications'!BA$2)/1000*$AQ69</f>
        <v>1.7664720374252222E-6</v>
      </c>
      <c r="BB69" s="7">
        <f>SUMIFS('fuels and tailpipe emissions'!$C$10:$C$126,'fuels and tailpipe emissions'!$A$10:$A$126,'vehicles specifications'!$F69,'fuels and tailpipe emissions'!$B$10:$B$126,'vehicles specifications'!BB$2)/1000*$AQ69</f>
        <v>1.7664720374252222E-6</v>
      </c>
      <c r="BC69" s="7">
        <f>SUMIFS('fuels and tailpipe emissions'!$C$10:$C$126,'fuels and tailpipe emissions'!$A$10:$A$126,'vehicles specifications'!$F69,'fuels and tailpipe emissions'!$B$10:$B$126,'vehicles specifications'!BC$2)/1000*$AQ69</f>
        <v>1.3246899026788587E-4</v>
      </c>
      <c r="BD69" s="7">
        <f>SUMIFS('fuels and tailpipe emissions'!$C$10:$C$126,'fuels and tailpipe emissions'!$A$10:$A$126,'vehicles specifications'!$F69,'fuels and tailpipe emissions'!$B$10:$B$126,'vehicles specifications'!BD$2)/1000*$AQ69</f>
        <v>1.014484891093305E-5</v>
      </c>
      <c r="BE69" s="7">
        <f>SUMIFS('fuels and tailpipe emissions'!$C$10:$C$126,'fuels and tailpipe emissions'!$A$10:$A$126,'vehicles specifications'!$F69,'fuels and tailpipe emissions'!$B$10:$B$126,'vehicles specifications'!BE$2)/1000*$AQ69</f>
        <v>6.192174723861593E-4</v>
      </c>
      <c r="BF69" s="7">
        <f>SUMIFS('fuels and tailpipe emissions'!$C$10:$C$126,'fuels and tailpipe emissions'!$A$10:$A$126,'vehicles specifications'!$F69,'fuels and tailpipe emissions'!$B$10:$B$126,'vehicles specifications'!BF$2)/1000*$AQ69</f>
        <v>4.3662770488767639E-5</v>
      </c>
      <c r="BG69" s="7">
        <f>SUMIFS('fuels and tailpipe emissions'!$C$10:$C$126,'fuels and tailpipe emissions'!$A$10:$A$126,'vehicles specifications'!$F69,'fuels and tailpipe emissions'!$B$10:$B$126,'vehicles specifications'!BG$2)/1000*$AQ69</f>
        <v>8.8968027641689555E-6</v>
      </c>
      <c r="BH69" s="7">
        <f>SUMIFS('fuels and tailpipe emissions'!$C$10:$C$126,'fuels and tailpipe emissions'!$A$10:$A$126,'vehicles specifications'!$F69,'fuels and tailpipe emissions'!$B$10:$B$126,'vehicles specifications'!BH$2)/1000*$AQ69</f>
        <v>7.1721917668069734E-5</v>
      </c>
      <c r="BI69" s="7">
        <f>SUMIFS('fuels and tailpipe emissions'!$C$10:$C$126,'fuels and tailpipe emissions'!$A$10:$A$126,'vehicles specifications'!$F69,'fuels and tailpipe emissions'!$B$10:$B$126,'vehicles specifications'!BI$2)/1000*$AQ69</f>
        <v>2.9427886066097313E-5</v>
      </c>
      <c r="BJ69" s="7">
        <f>SUMIFS('fuels and tailpipe emissions'!$C$10:$C$126,'fuels and tailpipe emissions'!$A$10:$A$126,'vehicles specifications'!$F69,'fuels and tailpipe emissions'!$B$10:$B$126,'vehicles specifications'!BJ$2)/1000*$AQ69</f>
        <v>2.2036696077403105E-5</v>
      </c>
      <c r="BK69" s="7">
        <f>SUMIFS('fuels and tailpipe emissions'!$C$10:$C$126,'fuels and tailpipe emissions'!$A$10:$A$126,'vehicles specifications'!$F69,'fuels and tailpipe emissions'!$B$10:$B$126,'vehicles specifications'!BK$2)/1000*$AQ69</f>
        <v>1.5603623309465551E-5</v>
      </c>
      <c r="BL69" s="7">
        <f>SUMIFS('fuels and tailpipe emissions'!$C$10:$C$126,'fuels and tailpipe emissions'!$A$10:$A$126,'vehicles specifications'!$F69,'fuels and tailpipe emissions'!$B$10:$B$126,'vehicles specifications'!BL$2)/1000*$AQ69</f>
        <v>1.0128667762284656E-5</v>
      </c>
      <c r="BM69" s="7">
        <f>SUMIFS('fuels and tailpipe emissions'!$C$10:$C$126,'fuels and tailpipe emissions'!$A$10:$A$126,'vehicles specifications'!$F69,'fuels and tailpipe emissions'!$B$10:$B$126,'vehicles specifications'!BM$2)/1000*$AQ69</f>
        <v>9.9917938736051348E-5</v>
      </c>
      <c r="BN69" s="7">
        <f>SUMIFS('fuels and tailpipe emissions'!$C$10:$C$126,'fuels and tailpipe emissions'!$A$10:$A$126,'vehicles specifications'!$F69,'fuels and tailpipe emissions'!$B$10:$B$126,'vehicles specifications'!BN$2)/1000*$AQ69</f>
        <v>5.2285825475577546E-5</v>
      </c>
      <c r="BO69" s="7">
        <f>SUMIFS('fuels and tailpipe emissions'!$C$10:$C$126,'fuels and tailpipe emissions'!$A$10:$A$126,'vehicles specifications'!$F69,'fuels and tailpipe emissions'!$B$10:$B$126,'vehicles specifications'!BO$2)/1000*$AQ69</f>
        <v>1.5056127754747464E-6</v>
      </c>
      <c r="BP69" s="7">
        <f>SUMIFS('fuels and tailpipe emissions'!$C$10:$C$126,'fuels and tailpipe emissions'!$A$10:$A$126,'vehicles specifications'!$F69,'fuels and tailpipe emissions'!$B$10:$B$126,'vehicles specifications'!BP$2)/1000*$AQ69</f>
        <v>7.6786251549212049E-5</v>
      </c>
      <c r="BQ69" s="7">
        <f>SUMIFS('fuels and tailpipe emissions'!$C$10:$C$126,'fuels and tailpipe emissions'!$A$10:$A$126,'vehicles specifications'!$F69,'fuels and tailpipe emissions'!$B$10:$B$126,'vehicles specifications'!BQ$2)/1000*$AQ69</f>
        <v>1.5028752977011559E-4</v>
      </c>
      <c r="BR69" s="7">
        <f>SUMIFS('fuels and tailpipe emissions'!$C$10:$C$126,'fuels and tailpipe emissions'!$A$10:$A$126,'vehicles specifications'!$F69,'fuels and tailpipe emissions'!$B$10:$B$126,'vehicles specifications'!BR$2)/1000*$AQ69</f>
        <v>7.4322521552980665E-5</v>
      </c>
      <c r="BS69" s="7">
        <f>SUMIFS('fuels and tailpipe emissions'!$C$10:$C$126,'fuels and tailpipe emissions'!$A$10:$A$126,'vehicles specifications'!$F69,'fuels and tailpipe emissions'!$B$10:$B$126,'vehicles specifications'!BS$2)/1000*$AQ69</f>
        <v>3.0933498841572057E-5</v>
      </c>
      <c r="BT69" s="7">
        <f>SUMIFS('fuels and tailpipe emissions'!$C$10:$C$126,'fuels and tailpipe emissions'!$A$10:$A$126,'vehicles specifications'!$F69,'fuels and tailpipe emissions'!$B$10:$B$126,'vehicles specifications'!BT$2)/1000*$AQ69</f>
        <v>2.3268561075518807E-5</v>
      </c>
      <c r="BU69" s="7">
        <f>SUMIFS('fuels and tailpipe emissions'!$C$10:$C$126,'fuels and tailpipe emissions'!$A$10:$A$126,'vehicles specifications'!$F69,'fuels and tailpipe emissions'!$B$10:$B$126,'vehicles specifications'!BU$2)/1000*$AQ69</f>
        <v>1.0265541650964179E-5</v>
      </c>
      <c r="BV69" s="7">
        <f>SUMIFS('fuels and tailpipe emissions'!$C$10:$C$126,'fuels and tailpipe emissions'!$A$10:$A$126,'vehicles specifications'!$F69,'fuels and tailpipe emissions'!$B$10:$B$126,'vehicles specifications'!BV$2)/1000*$AQ69</f>
        <v>3.0112255509494928E-6</v>
      </c>
      <c r="BW69" s="7">
        <f>SUMIFS('fuels and tailpipe emissions'!$C$10:$C$126,'fuels and tailpipe emissions'!$A$10:$A$126,'vehicles specifications'!$F69,'fuels and tailpipe emissions'!$B$10:$B$126,'vehicles specifications'!BW$2)/1000*$AQ69</f>
        <v>8.3493072094508672E-6</v>
      </c>
      <c r="BX69" s="7">
        <f>SUMIFS('fuels and tailpipe emissions'!$C$10:$C$126,'fuels and tailpipe emissions'!$A$10:$A$126,'vehicles specifications'!$F69,'fuels and tailpipe emissions'!$B$10:$B$126,'vehicles specifications'!BX$2)/1000*$AQ69</f>
        <v>0</v>
      </c>
      <c r="BY69" s="7">
        <f>SUMIFS('fuels and tailpipe emissions'!$C$10:$C$126,'fuels and tailpipe emissions'!$A$10:$A$126,'vehicles specifications'!$F69,'fuels and tailpipe emissions'!$B$10:$B$126,'vehicles specifications'!BY$2)/1000*$AQ69</f>
        <v>2.6006038849109253E-6</v>
      </c>
      <c r="BZ69" s="7">
        <f>SUMIFS('fuels and tailpipe emissions'!$C$10:$C$126,'fuels and tailpipe emissions'!$A$10:$A$126,'vehicles specifications'!$F69,'fuels and tailpipe emissions'!$B$10:$B$126,'vehicles specifications'!BZ$2)/1000*$AQ69</f>
        <v>1.382426275663176E-5</v>
      </c>
      <c r="CA69" s="7">
        <f>SUMIFS('fuels and tailpipe emissions'!$C$10:$C$126,'fuels and tailpipe emissions'!$A$10:$A$126,'vehicles specifications'!$F69,'fuels and tailpipe emissions'!$B$10:$B$126,'vehicles specifications'!CA$2)/1000*$AQ69</f>
        <v>1.0340812507327478E-9</v>
      </c>
      <c r="CB69" s="7">
        <f>SUMIFS('fuels and tailpipe emissions'!$C$10:$C$126,'fuels and tailpipe emissions'!$A$10:$A$126,'vehicles specifications'!$F69,'fuels and tailpipe emissions'!$B$10:$B$126,'vehicles specifications'!CB$2)/1000*$AQ69</f>
        <v>8.9144935407995503E-12</v>
      </c>
      <c r="CC69" s="7">
        <f>SUMIFS('fuels and tailpipe emissions'!$C$10:$C$126,'fuels and tailpipe emissions'!$A$10:$A$126,'vehicles specifications'!$F69,'fuels and tailpipe emissions'!$B$10:$B$126,'vehicles specifications'!CC$2)/1000*$AQ69</f>
        <v>5.9429956938663669E-12</v>
      </c>
      <c r="CD69" s="7">
        <f>SUMIFS('fuels and tailpipe emissions'!$C$10:$C$126,'fuels and tailpipe emissions'!$A$10:$A$126,'vehicles specifications'!$F69,'fuels and tailpipe emissions'!$B$10:$B$126,'vehicles specifications'!CD$2)/1000*$AQ69</f>
        <v>6.4184353493756758E-8</v>
      </c>
      <c r="CE69" s="7">
        <f>SUMIFS('fuels and tailpipe emissions'!$C$10:$C$126,'fuels and tailpipe emissions'!$A$10:$A$126,'vehicles specifications'!$F69,'fuels and tailpipe emissions'!$B$10:$B$126,'vehicles specifications'!CE$2)/1000*$AQ69</f>
        <v>1.2480290957119369E-9</v>
      </c>
      <c r="CF69" s="7">
        <f>SUMIFS('fuels and tailpipe emissions'!$C$10:$C$126,'fuels and tailpipe emissions'!$A$10:$A$126,'vehicles specifications'!$F69,'fuels and tailpipe emissions'!$B$10:$B$126,'vehicles specifications'!CF$2)/1000*$AQ69</f>
        <v>3.8629472010131386E-10</v>
      </c>
      <c r="CG69" s="7">
        <f>SUMIFS('fuels and tailpipe emissions'!$C$10:$C$126,'fuels and tailpipe emissions'!$A$10:$A$126,'vehicles specifications'!$F69,'fuels and tailpipe emissions'!$B$10:$B$126,'vehicles specifications'!CG$2)/1000*$AQ69</f>
        <v>4.7543965550930935E-10</v>
      </c>
      <c r="CH69" s="7">
        <f>SUMIFS('fuels and tailpipe emissions'!$C$10:$C$126,'fuels and tailpipe emissions'!$A$10:$A$126,'vehicles specifications'!$F69,'fuels and tailpipe emissions'!$B$10:$B$126,'vehicles specifications'!CH$2)/1000*$AQ69</f>
        <v>9.5087931101861857E-13</v>
      </c>
      <c r="CI69" s="7">
        <f>SUMIFS('fuels and tailpipe emissions'!$C$10:$C$126,'fuels and tailpipe emissions'!$A$10:$A$126,'vehicles specifications'!$F69,'fuels and tailpipe emissions'!$B$10:$B$126,'vehicles specifications'!CI$2)/1000*$AQ69</f>
        <v>2.5852031268318695E-10</v>
      </c>
      <c r="CJ69" s="7">
        <f>SUMIFS('fuels and tailpipe emissions'!$C$10:$C$126,'fuels and tailpipe emissions'!$A$10:$A$126,'vehicles specifications'!$F69,'fuels and tailpipe emissions'!$B$10:$B$126,'vehicles specifications'!CJ$2)/1000*$AQ69</f>
        <v>3.2092176746878389E-10</v>
      </c>
      <c r="CK69" s="38">
        <f>VLOOKUP($B69,'abrasion emissions'!$O$7:$R$36,2,FALSE)</f>
        <v>0.5</v>
      </c>
      <c r="CL69" s="38">
        <f>VLOOKUP($B69,'abrasion emissions'!$O$7:$R$36,3,FALSE)</f>
        <v>0.5</v>
      </c>
      <c r="CM69" s="38">
        <f>VLOOKUP($B69,'abrasion emissions'!$O$7:$R$36,4,FALSE)</f>
        <v>0</v>
      </c>
      <c r="CN69" s="7">
        <f>((SUMIFS('abrasion emissions'!$M$7:$M$34,'abrasion emissions'!$I$7:$I$34,"PM 2.5",'abrasion emissions'!$J$7:$J$34,"urban",'abrasion emissions'!$K$7:$K$34,"Tyre",'abrasion emissions'!$L$7:$L$34,"b")*POWER(('vehicles specifications'!$Q69/1000),(1/SUMIFS('abrasion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specifications'!$P69/1000),(1/SUMIFS('abrasion emissions'!$M$7:$M$34,'abrasion emissions'!$I$7:$I$34,"PM 10",'abrasion emissions'!$J$7:$J$34,"urban",'abrasion emissions'!$K$7:$K$34,"Tyre",'abrasion emissions'!$L$7:$L$34,"c")))))/1000000</f>
        <v>5.7519342756854562E-6</v>
      </c>
      <c r="CO69" s="7">
        <f>((SUMIFS('abrasion emissions'!$M$7:$M$34,'abrasion emissions'!$I$7:$I$34,"PM 2.5",'abrasion emissions'!$J$7:$J$34,"rural",'abrasion emissions'!$K$7:$K$34,"Tyre",'abrasion emissions'!$L$7:$L$34,"b")*POWER(('vehicles specifications'!$Q69/1000),(1/SUMIFS('abrasion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specifications'!$P69/1000),(1/SUMIFS('abrasion emissions'!$M$7:$M$34,'abrasion emissions'!$I$7:$I$34,"PM 10",'abrasion emissions'!$J$7:$J$34,"rural",'abrasion emissions'!$K$7:$K$34,"Tyre",'abrasion emissions'!$L$7:$L$34,"c")))))/1000000</f>
        <v>4.4800587423910355E-6</v>
      </c>
      <c r="CP69" s="7">
        <f>((SUMIFS('abrasion emissions'!$M$7:$M$34,'abrasion emissions'!$I$7:$I$34,"PM 2.5",'abrasion emissions'!$J$7:$J$34,"motorway",'abrasion emissions'!$K$7:$K$34,"Tyre",'abrasion emissions'!$L$7:$L$34,"b")*POWER(('vehicles specifications'!$Q69/1000),(1/SUMIFS('abrasion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specifications'!$P69/1000),(1/SUMIFS('abrasion emissions'!$M$7:$M$34,'abrasion emissions'!$I$7:$I$34,"PM 10",'abrasion emissions'!$J$7:$J$34,"motorway",'abrasion emissions'!$K$7:$K$34,"Tyre",'abrasion emissions'!$L$7:$L$34,"c")))))/1000000</f>
        <v>3.8268715037482708E-6</v>
      </c>
      <c r="CQ69" s="7">
        <f>((SUMIFS('abrasion emissions'!$M$7:$M$34,'abrasion emissions'!$I$7:$I$34,"PM 2.5",'abrasion emissions'!$J$7:$J$34,"urban",'abrasion emissions'!$K$7:$K$34,"Brake",'abrasion emissions'!$L$7:$L$34,"b")*POWER(('vehicles specifications'!$Q69/1000),(1/SUMIFS('abrasion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specifications'!$P69/1000),(1/SUMIFS('abrasion emissions'!$M$7:$M$34,'abrasion emissions'!$I$7:$I$34,"PM 10",'abrasion emissions'!$J$7:$J$34,"urban",'abrasion emissions'!$K$7:$K$34,"Brake",'abrasion emissions'!$L$7:$L$34,"c")))))/1000000</f>
        <v>5.4260352868045209E-6</v>
      </c>
      <c r="CR69" s="7">
        <f>((SUMIFS('abrasion emissions'!$M$7:$M$34,'abrasion emissions'!$I$7:$I$34,"PM 2.5",'abrasion emissions'!$J$7:$J$34,"rural",'abrasion emissions'!$K$7:$K$34,"Brake",'abrasion emissions'!$L$7:$L$34,"b")*POWER(('vehicles specifications'!$Q69/1000),(1/SUMIFS('abrasion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specifications'!$P69/1000),(1/SUMIFS('abrasion emissions'!$M$7:$M$34,'abrasion emissions'!$I$7:$I$34,"PM 10",'abrasion emissions'!$J$7:$J$34,"rural",'abrasion emissions'!$K$7:$K$34,"Brake",'abrasion emissions'!$L$7:$L$34,"c")))))/1000000</f>
        <v>1.7084307714160337E-6</v>
      </c>
      <c r="CS69" s="7">
        <f>((SUMIFS('abrasion emissions'!$M$7:$M$34,'abrasion emissions'!$I$7:$I$34,"PM 2.5",'abrasion emissions'!$J$7:$J$34,"motorway",'abrasion emissions'!$K$7:$K$34,"Brake",'abrasion emissions'!$L$7:$L$34,"b")*POWER(('vehicles specifications'!$Q69/1000),(1/SUMIFS('abrasion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specifications'!$P69/1000),(1/SUMIFS('abrasion emissions'!$M$7:$M$34,'abrasion emissions'!$I$7:$I$34,"PM 10",'abrasion emissions'!$J$7:$J$34,"motorway",'abrasion emissions'!$K$7:$K$34,"Brake",'abrasion emissions'!$L$7:$L$34,"c")))))/1000000</f>
        <v>3.1149984468970692E-7</v>
      </c>
      <c r="CT69" s="7">
        <f>((SUMIFS('abrasion emissions'!$M$7:$M$38,'abrasion emissions'!$I$7:$I$38,"PM 2.5",'abrasion emissions'!$K$7:$K$38,"Re-susp.",'abrasion emissions'!$L$7:$L$38,"b")*POWER(('vehicles specifications'!$Q69/1000),(1/SUMIFS('abrasion emissions'!$M$7:$M$38,'abrasion emissions'!$I$7:$I$38,"PM 2.5",'abrasion emissions'!$K$7:$K$38,"Re-susp.",'abrasion emissions'!$L$7:$L$38,"c"))))+
(SUMIFS('abrasion emissions'!$M$7:$M$38,'abrasion emissions'!$I$7:$I$38,"PM 10",'abrasion emissions'!$K$7:$K$38,"Re-susp.",'abrasion emissions'!$L$7:$L$38,"b")*POWER(('vehicles specifications'!$Q69/1000),(1/SUMIFS('abrasion emissions'!$M$7:$M$38,'abrasion emissions'!$I$7:$I$38,"PM 10",'abrasion emissions'!$K$7:$K$38,"Re-susp.",'abrasion emissions'!$L$7:$L$38,"c")))))/1000000</f>
        <v>3.1961738145386449E-6</v>
      </c>
      <c r="CU69" s="7">
        <f>((SUMIFS('abrasion emissions'!$M$7:$M$38,'abrasion emissions'!$I$7:$I$38,"PM 2.5",'abrasion emissions'!$K$7:$K$38,"Road",'abrasion emissions'!$L$7:$L$38,"b")*POWER(('vehicles specifications'!$Q69/1000),(1/SUMIFS('abrasion emissions'!$M$7:$M$38,'abrasion emissions'!$I$7:$I$38,"PM 2.5",'abrasion emissions'!$K$7:$K$38,"Road",'abrasion emissions'!$L$7:$L$38,"c"))))+
(SUMIFS('abrasion emissions'!$M$7:$M$38,'abrasion emissions'!$I$7:$I$38,"PM 10",'abrasion emissions'!$K$7:$K$38,"Road",'abrasion emissions'!$L$7:$L$38,"b")*POWER(('vehicles specifications'!$Q69/1000),(1/SUMIFS('abrasion emissions'!$M$7:$M$38,'abrasion emissions'!$I$7:$I$38,"PM 10",'abrasion emissions'!$K$7:$K$38,"Road",'abrasion emissions'!$L$7:$L$38,"c")))))/1000000+CT69</f>
        <v>6.2706913086981688E-6</v>
      </c>
      <c r="CV69" s="7">
        <f t="shared" si="79"/>
        <v>5.1159965090382458E-6</v>
      </c>
      <c r="CW69" s="7">
        <f t="shared" si="80"/>
        <v>3.5672330291102775E-6</v>
      </c>
    </row>
    <row r="70" spans="1:101" x14ac:dyDescent="0.2">
      <c r="A70" t="str">
        <f t="shared" si="1"/>
        <v>Scooter, gasoline, &lt;4kW, EURO-5 - 2050 - CH</v>
      </c>
      <c r="B70" t="s">
        <v>386</v>
      </c>
      <c r="D70" s="18">
        <v>2050</v>
      </c>
      <c r="E70" t="s">
        <v>37</v>
      </c>
      <c r="F70" t="s">
        <v>141</v>
      </c>
      <c r="G70" t="s">
        <v>39</v>
      </c>
      <c r="H70" t="s">
        <v>35</v>
      </c>
      <c r="J70">
        <v>25000</v>
      </c>
      <c r="K70">
        <v>1570</v>
      </c>
      <c r="L70" s="2">
        <f t="shared" si="68"/>
        <v>15.923566878980891</v>
      </c>
      <c r="M70">
        <v>1</v>
      </c>
      <c r="N70">
        <v>75</v>
      </c>
      <c r="O70">
        <v>4</v>
      </c>
      <c r="P70" s="2">
        <f t="shared" si="69"/>
        <v>84.527499999999989</v>
      </c>
      <c r="Q70" s="2">
        <f t="shared" si="70"/>
        <v>163.52749999999997</v>
      </c>
      <c r="R70">
        <v>2.8</v>
      </c>
      <c r="S70" s="2">
        <v>53</v>
      </c>
      <c r="T70" s="1">
        <v>7.0000000000000007E-2</v>
      </c>
      <c r="U70" s="2">
        <f t="shared" si="71"/>
        <v>49.29</v>
      </c>
      <c r="V70">
        <v>29.2</v>
      </c>
      <c r="W70">
        <v>0</v>
      </c>
      <c r="X70" s="3">
        <v>0</v>
      </c>
      <c r="Y70" s="1">
        <v>0.8</v>
      </c>
      <c r="Z70" s="3">
        <f t="shared" si="72"/>
        <v>0</v>
      </c>
      <c r="AA70" s="3" t="str">
        <f>IF(I70&lt;&gt;"",X70/INDEX('energy battery'!$B$3:$D$6,MATCH('vehicles specifications'!$D70,'energy battery'!$A$3:$A$6,0),MATCH('vehicles specifications'!$I70,'energy battery'!$B$2:$D$2,0)),"")</f>
        <v/>
      </c>
      <c r="AB70" s="3" t="str">
        <f t="shared" si="6"/>
        <v/>
      </c>
      <c r="AC70" s="3" t="str">
        <f t="shared" si="7"/>
        <v/>
      </c>
      <c r="AD70" s="3">
        <v>0</v>
      </c>
      <c r="AE70" s="3">
        <v>7</v>
      </c>
      <c r="AF70">
        <f>AE70*'fuels and tailpipe emissions'!$B$3</f>
        <v>5.25</v>
      </c>
      <c r="AG70" s="2">
        <f>AF70*'fuels and tailpipe emissions'!$C$3</f>
        <v>62.125</v>
      </c>
      <c r="AH70" s="3">
        <f t="shared" si="73"/>
        <v>0.78749999999999998</v>
      </c>
      <c r="AI70">
        <v>0</v>
      </c>
      <c r="AJ70">
        <v>0</v>
      </c>
      <c r="AK70">
        <f t="shared" si="67"/>
        <v>1</v>
      </c>
      <c r="AL70">
        <f t="shared" si="74"/>
        <v>8.7814267499999985E-5</v>
      </c>
      <c r="AM70">
        <v>1.2899999999999999E-3</v>
      </c>
      <c r="AN70" s="2">
        <f t="shared" si="75"/>
        <v>49.29</v>
      </c>
      <c r="AO70" s="2">
        <f t="shared" si="76"/>
        <v>29.2</v>
      </c>
      <c r="AP70" s="2" t="str">
        <f t="shared" si="77"/>
        <v/>
      </c>
      <c r="AQ70" s="6">
        <v>1.2502577190971369</v>
      </c>
      <c r="AR70" s="20">
        <v>0</v>
      </c>
      <c r="AS70" s="6" t="str">
        <f>IF($H70="BEV",SUMPRODUCT(#REF!,#REF!),"")</f>
        <v/>
      </c>
      <c r="AT70" s="2">
        <f t="shared" si="78"/>
        <v>178.88311872331968</v>
      </c>
      <c r="AU70" s="5">
        <f>IF($H70="ICEV-p",$AQ70/('fuels and tailpipe emissions'!$C$3*3.6)*'fuels and tailpipe emissions'!$D$3,"")*(1-AR70)</f>
        <v>9.2155146431103521E-2</v>
      </c>
      <c r="AV70" s="5">
        <f>IF($H70="ICEV-p",$AQ70/('fuels and tailpipe emissions'!$C$3*3.6)*'fuels and tailpipe emissions'!$D$3,"")*AR70</f>
        <v>0</v>
      </c>
      <c r="AW70" s="7">
        <f>IF($H70="ICEV-p",$AQ70/('fuels and tailpipe emissions'!$C$3*3.6)*'fuels and tailpipe emissions'!$E$3,"")</f>
        <v>4.6958036398014528E-7</v>
      </c>
      <c r="AX70" s="7">
        <f>SUMIFS('fuels and tailpipe emissions'!$C$10:$C$126,'fuels and tailpipe emissions'!$A$10:$A$126,'vehicles specifications'!$F70,'fuels and tailpipe emissions'!$B$10:$B$126,'vehicles specifications'!AX$2)/1000*$AQ70</f>
        <v>7.6018389033719928E-5</v>
      </c>
      <c r="AY70" s="7">
        <f>SUMIFS('fuels and tailpipe emissions'!$C$10:$C$126,'fuels and tailpipe emissions'!$A$10:$A$126,'vehicles specifications'!$F70,'fuels and tailpipe emissions'!$B$10:$B$126,'vehicles specifications'!AY$2)/1000*$AQ70</f>
        <v>3.4468992219074605E-5</v>
      </c>
      <c r="AZ70" s="7">
        <f>SUMIFS('fuels and tailpipe emissions'!$C$10:$C$126,'fuels and tailpipe emissions'!$A$10:$A$126,'vehicles specifications'!$F70,'fuels and tailpipe emissions'!$B$10:$B$126,'vehicles specifications'!AZ$2)/1000*$AQ70</f>
        <v>3.6447456122062146E-3</v>
      </c>
      <c r="BA70" s="7">
        <f>SUMIFS('fuels and tailpipe emissions'!$C$10:$C$126,'fuels and tailpipe emissions'!$A$10:$A$126,'vehicles specifications'!$F70,'fuels and tailpipe emissions'!$B$10:$B$126,'vehicles specifications'!BA$2)/1000*$AQ70</f>
        <v>1.7488073170509701E-6</v>
      </c>
      <c r="BB70" s="7">
        <f>SUMIFS('fuels and tailpipe emissions'!$C$10:$C$126,'fuels and tailpipe emissions'!$A$10:$A$126,'vehicles specifications'!$F70,'fuels and tailpipe emissions'!$B$10:$B$126,'vehicles specifications'!BB$2)/1000*$AQ70</f>
        <v>1.7488073170509701E-6</v>
      </c>
      <c r="BC70" s="7">
        <f>SUMIFS('fuels and tailpipe emissions'!$C$10:$C$126,'fuels and tailpipe emissions'!$A$10:$A$126,'vehicles specifications'!$F70,'fuels and tailpipe emissions'!$B$10:$B$126,'vehicles specifications'!BC$2)/1000*$AQ70</f>
        <v>1.3114430036520702E-4</v>
      </c>
      <c r="BD70" s="7">
        <f>SUMIFS('fuels and tailpipe emissions'!$C$10:$C$126,'fuels and tailpipe emissions'!$A$10:$A$126,'vehicles specifications'!$F70,'fuels and tailpipe emissions'!$B$10:$B$126,'vehicles specifications'!BD$2)/1000*$AQ70</f>
        <v>1.004340042182372E-5</v>
      </c>
      <c r="BE70" s="7">
        <f>SUMIFS('fuels and tailpipe emissions'!$C$10:$C$126,'fuels and tailpipe emissions'!$A$10:$A$126,'vehicles specifications'!$F70,'fuels and tailpipe emissions'!$B$10:$B$126,'vehicles specifications'!BE$2)/1000*$AQ70</f>
        <v>6.130252976622977E-4</v>
      </c>
      <c r="BF70" s="7">
        <f>SUMIFS('fuels and tailpipe emissions'!$C$10:$C$126,'fuels and tailpipe emissions'!$A$10:$A$126,'vehicles specifications'!$F70,'fuels and tailpipe emissions'!$B$10:$B$126,'vehicles specifications'!BF$2)/1000*$AQ70</f>
        <v>4.3226142783879964E-5</v>
      </c>
      <c r="BG70" s="7">
        <f>SUMIFS('fuels and tailpipe emissions'!$C$10:$C$126,'fuels and tailpipe emissions'!$A$10:$A$126,'vehicles specifications'!$F70,'fuels and tailpipe emissions'!$B$10:$B$126,'vehicles specifications'!BG$2)/1000*$AQ70</f>
        <v>8.8078347365272657E-6</v>
      </c>
      <c r="BH70" s="7">
        <f>SUMIFS('fuels and tailpipe emissions'!$C$10:$C$126,'fuels and tailpipe emissions'!$A$10:$A$126,'vehicles specifications'!$F70,'fuels and tailpipe emissions'!$B$10:$B$126,'vehicles specifications'!BH$2)/1000*$AQ70</f>
        <v>7.1004698491389037E-5</v>
      </c>
      <c r="BI70" s="7">
        <f>SUMIFS('fuels and tailpipe emissions'!$C$10:$C$126,'fuels and tailpipe emissions'!$A$10:$A$126,'vehicles specifications'!$F70,'fuels and tailpipe emissions'!$B$10:$B$126,'vehicles specifications'!BI$2)/1000*$AQ70</f>
        <v>2.913360720543634E-5</v>
      </c>
      <c r="BJ70" s="7">
        <f>SUMIFS('fuels and tailpipe emissions'!$C$10:$C$126,'fuels and tailpipe emissions'!$A$10:$A$126,'vehicles specifications'!$F70,'fuels and tailpipe emissions'!$B$10:$B$126,'vehicles specifications'!BJ$2)/1000*$AQ70</f>
        <v>2.1816329116629077E-5</v>
      </c>
      <c r="BK70" s="7">
        <f>SUMIFS('fuels and tailpipe emissions'!$C$10:$C$126,'fuels and tailpipe emissions'!$A$10:$A$126,'vehicles specifications'!$F70,'fuels and tailpipe emissions'!$B$10:$B$126,'vehicles specifications'!BK$2)/1000*$AQ70</f>
        <v>1.5447587076370898E-5</v>
      </c>
      <c r="BL70" s="7">
        <f>SUMIFS('fuels and tailpipe emissions'!$C$10:$C$126,'fuels and tailpipe emissions'!$A$10:$A$126,'vehicles specifications'!$F70,'fuels and tailpipe emissions'!$B$10:$B$126,'vehicles specifications'!BL$2)/1000*$AQ70</f>
        <v>1.002738108466181E-5</v>
      </c>
      <c r="BM70" s="7">
        <f>SUMIFS('fuels and tailpipe emissions'!$C$10:$C$126,'fuels and tailpipe emissions'!$A$10:$A$126,'vehicles specifications'!$F70,'fuels and tailpipe emissions'!$B$10:$B$126,'vehicles specifications'!BM$2)/1000*$AQ70</f>
        <v>9.8918759348690837E-5</v>
      </c>
      <c r="BN70" s="7">
        <f>SUMIFS('fuels and tailpipe emissions'!$C$10:$C$126,'fuels and tailpipe emissions'!$A$10:$A$126,'vehicles specifications'!$F70,'fuels and tailpipe emissions'!$B$10:$B$126,'vehicles specifications'!BN$2)/1000*$AQ70</f>
        <v>5.1762967220821776E-5</v>
      </c>
      <c r="BO70" s="7">
        <f>SUMIFS('fuels and tailpipe emissions'!$C$10:$C$126,'fuels and tailpipe emissions'!$A$10:$A$126,'vehicles specifications'!$F70,'fuels and tailpipe emissions'!$B$10:$B$126,'vehicles specifications'!BO$2)/1000*$AQ70</f>
        <v>1.4905566477199989E-6</v>
      </c>
      <c r="BP70" s="7">
        <f>SUMIFS('fuels and tailpipe emissions'!$C$10:$C$126,'fuels and tailpipe emissions'!$A$10:$A$126,'vehicles specifications'!$F70,'fuels and tailpipe emissions'!$B$10:$B$126,'vehicles specifications'!BP$2)/1000*$AQ70</f>
        <v>7.6018389033719928E-5</v>
      </c>
      <c r="BQ70" s="7">
        <f>SUMIFS('fuels and tailpipe emissions'!$C$10:$C$126,'fuels and tailpipe emissions'!$A$10:$A$126,'vehicles specifications'!$F70,'fuels and tailpipe emissions'!$B$10:$B$126,'vehicles specifications'!BQ$2)/1000*$AQ70</f>
        <v>1.4878465447241445E-4</v>
      </c>
      <c r="BR70" s="7">
        <f>SUMIFS('fuels and tailpipe emissions'!$C$10:$C$126,'fuels and tailpipe emissions'!$A$10:$A$126,'vehicles specifications'!$F70,'fuels and tailpipe emissions'!$B$10:$B$126,'vehicles specifications'!BR$2)/1000*$AQ70</f>
        <v>7.3579296337450856E-5</v>
      </c>
      <c r="BS70" s="7">
        <f>SUMIFS('fuels and tailpipe emissions'!$C$10:$C$126,'fuels and tailpipe emissions'!$A$10:$A$126,'vehicles specifications'!$F70,'fuels and tailpipe emissions'!$B$10:$B$126,'vehicles specifications'!BS$2)/1000*$AQ70</f>
        <v>3.0624163853156341E-5</v>
      </c>
      <c r="BT70" s="7">
        <f>SUMIFS('fuels and tailpipe emissions'!$C$10:$C$126,'fuels and tailpipe emissions'!$A$10:$A$126,'vehicles specifications'!$F70,'fuels and tailpipe emissions'!$B$10:$B$126,'vehicles specifications'!BT$2)/1000*$AQ70</f>
        <v>2.3035875464763623E-5</v>
      </c>
      <c r="BU70" s="7">
        <f>SUMIFS('fuels and tailpipe emissions'!$C$10:$C$126,'fuels and tailpipe emissions'!$A$10:$A$126,'vehicles specifications'!$F70,'fuels and tailpipe emissions'!$B$10:$B$126,'vehicles specifications'!BU$2)/1000*$AQ70</f>
        <v>1.0162886234454536E-5</v>
      </c>
      <c r="BV70" s="7">
        <f>SUMIFS('fuels and tailpipe emissions'!$C$10:$C$126,'fuels and tailpipe emissions'!$A$10:$A$126,'vehicles specifications'!$F70,'fuels and tailpipe emissions'!$B$10:$B$126,'vehicles specifications'!BV$2)/1000*$AQ70</f>
        <v>2.9811132954399978E-6</v>
      </c>
      <c r="BW70" s="7">
        <f>SUMIFS('fuels and tailpipe emissions'!$C$10:$C$126,'fuels and tailpipe emissions'!$A$10:$A$126,'vehicles specifications'!$F70,'fuels and tailpipe emissions'!$B$10:$B$126,'vehicles specifications'!BW$2)/1000*$AQ70</f>
        <v>8.2658141373563583E-6</v>
      </c>
      <c r="BX70" s="7">
        <f>SUMIFS('fuels and tailpipe emissions'!$C$10:$C$126,'fuels and tailpipe emissions'!$A$10:$A$126,'vehicles specifications'!$F70,'fuels and tailpipe emissions'!$B$10:$B$126,'vehicles specifications'!BX$2)/1000*$AQ70</f>
        <v>0</v>
      </c>
      <c r="BY70" s="7">
        <f>SUMIFS('fuels and tailpipe emissions'!$C$10:$C$126,'fuels and tailpipe emissions'!$A$10:$A$126,'vehicles specifications'!$F70,'fuels and tailpipe emissions'!$B$10:$B$126,'vehicles specifications'!BY$2)/1000*$AQ70</f>
        <v>2.5745978460618164E-6</v>
      </c>
      <c r="BZ70" s="7">
        <f>SUMIFS('fuels and tailpipe emissions'!$C$10:$C$126,'fuels and tailpipe emissions'!$A$10:$A$126,'vehicles specifications'!$F70,'fuels and tailpipe emissions'!$B$10:$B$126,'vehicles specifications'!BZ$2)/1000*$AQ70</f>
        <v>1.3686020129065443E-5</v>
      </c>
      <c r="CA70" s="7">
        <f>SUMIFS('fuels and tailpipe emissions'!$C$10:$C$126,'fuels and tailpipe emissions'!$A$10:$A$126,'vehicles specifications'!$F70,'fuels and tailpipe emissions'!$B$10:$B$126,'vehicles specifications'!CA$2)/1000*$AQ70</f>
        <v>1.0237404382254204E-9</v>
      </c>
      <c r="CB70" s="7">
        <f>SUMIFS('fuels and tailpipe emissions'!$C$10:$C$126,'fuels and tailpipe emissions'!$A$10:$A$126,'vehicles specifications'!$F70,'fuels and tailpipe emissions'!$B$10:$B$126,'vehicles specifications'!CB$2)/1000*$AQ70</f>
        <v>8.8253486053915553E-12</v>
      </c>
      <c r="CC70" s="7">
        <f>SUMIFS('fuels and tailpipe emissions'!$C$10:$C$126,'fuels and tailpipe emissions'!$A$10:$A$126,'vehicles specifications'!$F70,'fuels and tailpipe emissions'!$B$10:$B$126,'vehicles specifications'!CC$2)/1000*$AQ70</f>
        <v>5.883565736927703E-12</v>
      </c>
      <c r="CD70" s="7">
        <f>SUMIFS('fuels and tailpipe emissions'!$C$10:$C$126,'fuels and tailpipe emissions'!$A$10:$A$126,'vehicles specifications'!$F70,'fuels and tailpipe emissions'!$B$10:$B$126,'vehicles specifications'!CD$2)/1000*$AQ70</f>
        <v>6.3542509958819202E-8</v>
      </c>
      <c r="CE70" s="7">
        <f>SUMIFS('fuels and tailpipe emissions'!$C$10:$C$126,'fuels and tailpipe emissions'!$A$10:$A$126,'vehicles specifications'!$F70,'fuels and tailpipe emissions'!$B$10:$B$126,'vehicles specifications'!CE$2)/1000*$AQ70</f>
        <v>1.2355488047548176E-9</v>
      </c>
      <c r="CF70" s="7">
        <f>SUMIFS('fuels and tailpipe emissions'!$C$10:$C$126,'fuels and tailpipe emissions'!$A$10:$A$126,'vehicles specifications'!$F70,'fuels and tailpipe emissions'!$B$10:$B$126,'vehicles specifications'!CF$2)/1000*$AQ70</f>
        <v>3.824317729003007E-10</v>
      </c>
      <c r="CG70" s="7">
        <f>SUMIFS('fuels and tailpipe emissions'!$C$10:$C$126,'fuels and tailpipe emissions'!$A$10:$A$126,'vehicles specifications'!$F70,'fuels and tailpipe emissions'!$B$10:$B$126,'vehicles specifications'!CG$2)/1000*$AQ70</f>
        <v>4.7068525895421627E-10</v>
      </c>
      <c r="CH70" s="7">
        <f>SUMIFS('fuels and tailpipe emissions'!$C$10:$C$126,'fuels and tailpipe emissions'!$A$10:$A$126,'vehicles specifications'!$F70,'fuels and tailpipe emissions'!$B$10:$B$126,'vehicles specifications'!CH$2)/1000*$AQ70</f>
        <v>9.4137051790843233E-13</v>
      </c>
      <c r="CI70" s="7">
        <f>SUMIFS('fuels and tailpipe emissions'!$C$10:$C$126,'fuels and tailpipe emissions'!$A$10:$A$126,'vehicles specifications'!$F70,'fuels and tailpipe emissions'!$B$10:$B$126,'vehicles specifications'!CI$2)/1000*$AQ70</f>
        <v>2.559351095563551E-10</v>
      </c>
      <c r="CJ70" s="7">
        <f>SUMIFS('fuels and tailpipe emissions'!$C$10:$C$126,'fuels and tailpipe emissions'!$A$10:$A$126,'vehicles specifications'!$F70,'fuels and tailpipe emissions'!$B$10:$B$126,'vehicles specifications'!CJ$2)/1000*$AQ70</f>
        <v>3.1771254979409605E-10</v>
      </c>
      <c r="CK70" s="38">
        <f>VLOOKUP($B70,'abrasion emissions'!$O$7:$R$36,2,FALSE)</f>
        <v>0.5</v>
      </c>
      <c r="CL70" s="38">
        <f>VLOOKUP($B70,'abrasion emissions'!$O$7:$R$36,3,FALSE)</f>
        <v>0.5</v>
      </c>
      <c r="CM70" s="38">
        <f>VLOOKUP($B70,'abrasion emissions'!$O$7:$R$36,4,FALSE)</f>
        <v>0</v>
      </c>
      <c r="CN70" s="7">
        <f>((SUMIFS('abrasion emissions'!$M$7:$M$34,'abrasion emissions'!$I$7:$I$34,"PM 2.5",'abrasion emissions'!$J$7:$J$34,"urban",'abrasion emissions'!$K$7:$K$34,"Tyre",'abrasion emissions'!$L$7:$L$34,"b")*POWER(('vehicles specifications'!$Q70/1000),(1/SUMIFS('abrasion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specifications'!$P70/1000),(1/SUMIFS('abrasion emissions'!$M$7:$M$34,'abrasion emissions'!$I$7:$I$34,"PM 10",'abrasion emissions'!$J$7:$J$34,"urban",'abrasion emissions'!$K$7:$K$34,"Tyre",'abrasion emissions'!$L$7:$L$34,"c")))))/1000000</f>
        <v>5.7127102344582864E-6</v>
      </c>
      <c r="CO70" s="7">
        <f>((SUMIFS('abrasion emissions'!$M$7:$M$34,'abrasion emissions'!$I$7:$I$34,"PM 2.5",'abrasion emissions'!$J$7:$J$34,"rural",'abrasion emissions'!$K$7:$K$34,"Tyre",'abrasion emissions'!$L$7:$L$34,"b")*POWER(('vehicles specifications'!$Q70/1000),(1/SUMIFS('abrasion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specifications'!$P70/1000),(1/SUMIFS('abrasion emissions'!$M$7:$M$34,'abrasion emissions'!$I$7:$I$34,"PM 10",'abrasion emissions'!$J$7:$J$34,"rural",'abrasion emissions'!$K$7:$K$34,"Tyre",'abrasion emissions'!$L$7:$L$34,"c")))))/1000000</f>
        <v>4.4495366465341861E-6</v>
      </c>
      <c r="CP70" s="7">
        <f>((SUMIFS('abrasion emissions'!$M$7:$M$34,'abrasion emissions'!$I$7:$I$34,"PM 2.5",'abrasion emissions'!$J$7:$J$34,"motorway",'abrasion emissions'!$K$7:$K$34,"Tyre",'abrasion emissions'!$L$7:$L$34,"b")*POWER(('vehicles specifications'!$Q70/1000),(1/SUMIFS('abrasion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specifications'!$P70/1000),(1/SUMIFS('abrasion emissions'!$M$7:$M$34,'abrasion emissions'!$I$7:$I$34,"PM 10",'abrasion emissions'!$J$7:$J$34,"motorway",'abrasion emissions'!$K$7:$K$34,"Tyre",'abrasion emissions'!$L$7:$L$34,"c")))))/1000000</f>
        <v>3.8008714437192468E-6</v>
      </c>
      <c r="CQ70" s="7">
        <f>((SUMIFS('abrasion emissions'!$M$7:$M$34,'abrasion emissions'!$I$7:$I$34,"PM 2.5",'abrasion emissions'!$J$7:$J$34,"urban",'abrasion emissions'!$K$7:$K$34,"Brake",'abrasion emissions'!$L$7:$L$34,"b")*POWER(('vehicles specifications'!$Q70/1000),(1/SUMIFS('abrasion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specifications'!$P70/1000),(1/SUMIFS('abrasion emissions'!$M$7:$M$34,'abrasion emissions'!$I$7:$I$34,"PM 10",'abrasion emissions'!$J$7:$J$34,"urban",'abrasion emissions'!$K$7:$K$34,"Brake",'abrasion emissions'!$L$7:$L$34,"c")))))/1000000</f>
        <v>5.3854674384313195E-6</v>
      </c>
      <c r="CR70" s="7">
        <f>((SUMIFS('abrasion emissions'!$M$7:$M$34,'abrasion emissions'!$I$7:$I$34,"PM 2.5",'abrasion emissions'!$J$7:$J$34,"rural",'abrasion emissions'!$K$7:$K$34,"Brake",'abrasion emissions'!$L$7:$L$34,"b")*POWER(('vehicles specifications'!$Q70/1000),(1/SUMIFS('abrasion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specifications'!$P70/1000),(1/SUMIFS('abrasion emissions'!$M$7:$M$34,'abrasion emissions'!$I$7:$I$34,"PM 10",'abrasion emissions'!$J$7:$J$34,"rural",'abrasion emissions'!$K$7:$K$34,"Brake",'abrasion emissions'!$L$7:$L$34,"c")))))/1000000</f>
        <v>1.6923607747705796E-6</v>
      </c>
      <c r="CS70" s="7">
        <f>((SUMIFS('abrasion emissions'!$M$7:$M$34,'abrasion emissions'!$I$7:$I$34,"PM 2.5",'abrasion emissions'!$J$7:$J$34,"motorway",'abrasion emissions'!$K$7:$K$34,"Brake",'abrasion emissions'!$L$7:$L$34,"b")*POWER(('vehicles specifications'!$Q70/1000),(1/SUMIFS('abrasion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specifications'!$P70/1000),(1/SUMIFS('abrasion emissions'!$M$7:$M$34,'abrasion emissions'!$I$7:$I$34,"PM 10",'abrasion emissions'!$J$7:$J$34,"motorway",'abrasion emissions'!$K$7:$K$34,"Brake",'abrasion emissions'!$L$7:$L$34,"c")))))/1000000</f>
        <v>3.0814948521491974E-7</v>
      </c>
      <c r="CT70" s="7">
        <f>((SUMIFS('abrasion emissions'!$M$7:$M$38,'abrasion emissions'!$I$7:$I$38,"PM 2.5",'abrasion emissions'!$K$7:$K$38,"Re-susp.",'abrasion emissions'!$L$7:$L$38,"b")*POWER(('vehicles specifications'!$Q70/1000),(1/SUMIFS('abrasion emissions'!$M$7:$M$38,'abrasion emissions'!$I$7:$I$38,"PM 2.5",'abrasion emissions'!$K$7:$K$38,"Re-susp.",'abrasion emissions'!$L$7:$L$38,"c"))))+
(SUMIFS('abrasion emissions'!$M$7:$M$38,'abrasion emissions'!$I$7:$I$38,"PM 10",'abrasion emissions'!$K$7:$K$38,"Re-susp.",'abrasion emissions'!$L$7:$L$38,"b")*POWER(('vehicles specifications'!$Q70/1000),(1/SUMIFS('abrasion emissions'!$M$7:$M$38,'abrasion emissions'!$I$7:$I$38,"PM 10",'abrasion emissions'!$K$7:$K$38,"Re-susp.",'abrasion emissions'!$L$7:$L$38,"c")))))/1000000</f>
        <v>3.1617417285507111E-6</v>
      </c>
      <c r="CU70" s="7">
        <f>((SUMIFS('abrasion emissions'!$M$7:$M$38,'abrasion emissions'!$I$7:$I$38,"PM 2.5",'abrasion emissions'!$K$7:$K$38,"Road",'abrasion emissions'!$L$7:$L$38,"b")*POWER(('vehicles specifications'!$Q70/1000),(1/SUMIFS('abrasion emissions'!$M$7:$M$38,'abrasion emissions'!$I$7:$I$38,"PM 2.5",'abrasion emissions'!$K$7:$K$38,"Road",'abrasion emissions'!$L$7:$L$38,"c"))))+
(SUMIFS('abrasion emissions'!$M$7:$M$38,'abrasion emissions'!$I$7:$I$38,"PM 10",'abrasion emissions'!$K$7:$K$38,"Road",'abrasion emissions'!$L$7:$L$38,"b")*POWER(('vehicles specifications'!$Q70/1000),(1/SUMIFS('abrasion emissions'!$M$7:$M$38,'abrasion emissions'!$I$7:$I$38,"PM 10",'abrasion emissions'!$K$7:$K$38,"Road",'abrasion emissions'!$L$7:$L$38,"c")))))/1000000+CT70</f>
        <v>6.2119350791340172E-6</v>
      </c>
      <c r="CV70" s="7">
        <f t="shared" si="79"/>
        <v>5.0811234404962358E-6</v>
      </c>
      <c r="CW70" s="7">
        <f t="shared" si="80"/>
        <v>3.5389141066009498E-6</v>
      </c>
    </row>
    <row r="71" spans="1:101" x14ac:dyDescent="0.2">
      <c r="A71" t="str">
        <f t="shared" si="1"/>
        <v>Scooter, gasoline, 4-11kW, EURO-3 - 2006 - CH</v>
      </c>
      <c r="B71" t="s">
        <v>345</v>
      </c>
      <c r="D71" s="18">
        <v>2006</v>
      </c>
      <c r="E71" t="s">
        <v>37</v>
      </c>
      <c r="F71" t="s">
        <v>141</v>
      </c>
      <c r="G71" t="s">
        <v>39</v>
      </c>
      <c r="H71" t="s">
        <v>35</v>
      </c>
      <c r="J71">
        <v>30000</v>
      </c>
      <c r="K71">
        <v>1870</v>
      </c>
      <c r="L71" s="2">
        <f t="shared" si="2"/>
        <v>16.042780748663102</v>
      </c>
      <c r="M71">
        <v>1</v>
      </c>
      <c r="N71">
        <v>75</v>
      </c>
      <c r="O71">
        <v>4</v>
      </c>
      <c r="P71" s="2">
        <f t="shared" si="64"/>
        <v>133.26249999999999</v>
      </c>
      <c r="Q71" s="2">
        <f t="shared" si="3"/>
        <v>212.26249999999999</v>
      </c>
      <c r="R71">
        <v>8.8000000000000007</v>
      </c>
      <c r="S71" s="2">
        <v>70</v>
      </c>
      <c r="T71" s="1">
        <v>-0.05</v>
      </c>
      <c r="U71" s="2">
        <f t="shared" si="4"/>
        <v>73.5</v>
      </c>
      <c r="V71">
        <v>52</v>
      </c>
      <c r="W71">
        <v>0</v>
      </c>
      <c r="X71" s="3">
        <v>0</v>
      </c>
      <c r="Y71" s="1">
        <v>0.8</v>
      </c>
      <c r="Z71" s="3">
        <f t="shared" si="5"/>
        <v>0</v>
      </c>
      <c r="AA71" s="3" t="str">
        <f>IF(I71&lt;&gt;"",X71/INDEX('energy battery'!$B$3:$D$6,MATCH('vehicles specifications'!$D71,'energy battery'!$A$3:$A$6,0),MATCH('vehicles specifications'!$I71,'energy battery'!$B$2:$D$2,0)),"")</f>
        <v/>
      </c>
      <c r="AB71" s="3" t="str">
        <f t="shared" si="6"/>
        <v/>
      </c>
      <c r="AC71" s="3" t="str">
        <f t="shared" si="7"/>
        <v/>
      </c>
      <c r="AD71" s="3">
        <v>0</v>
      </c>
      <c r="AE71" s="3">
        <v>9</v>
      </c>
      <c r="AF71">
        <f>AE71*'fuels and tailpipe emissions'!$B$3</f>
        <v>6.75</v>
      </c>
      <c r="AG71" s="2">
        <f>AF71*'fuels and tailpipe emissions'!$C$3</f>
        <v>79.875</v>
      </c>
      <c r="AH71" s="3">
        <f t="shared" si="66"/>
        <v>1.0125</v>
      </c>
      <c r="AI71">
        <v>0</v>
      </c>
      <c r="AJ71">
        <v>0</v>
      </c>
      <c r="AK71">
        <f t="shared" si="67"/>
        <v>1.2</v>
      </c>
      <c r="AL71">
        <f t="shared" si="65"/>
        <v>1.139849625E-4</v>
      </c>
      <c r="AM71">
        <v>1.2899999999999999E-3</v>
      </c>
      <c r="AN71" s="2">
        <f t="shared" si="9"/>
        <v>73.5</v>
      </c>
      <c r="AO71" s="2">
        <f t="shared" si="10"/>
        <v>52</v>
      </c>
      <c r="AP71" s="2" t="str">
        <f t="shared" si="11"/>
        <v/>
      </c>
      <c r="AQ71" s="6">
        <v>1.0581604158713176</v>
      </c>
      <c r="AR71" s="20">
        <v>1.2E-2</v>
      </c>
      <c r="AS71" s="6" t="str">
        <f>IF($H71="BEV",SUMPRODUCT(#REF!,#REF!),"")</f>
        <v/>
      </c>
      <c r="AT71" s="2">
        <f t="shared" si="78"/>
        <v>271.7451869178301</v>
      </c>
      <c r="AU71" s="5">
        <f>IF($H71="ICEV-p",$AQ71/('fuels and tailpipe emissions'!$C$3*3.6)*'fuels and tailpipe emissions'!$D$3,"")*(1-AR71)</f>
        <v>7.7059911299669145E-2</v>
      </c>
      <c r="AV71" s="5">
        <f>IF($H71="ICEV-p",$AQ71/('fuels and tailpipe emissions'!$C$3*3.6)*'fuels and tailpipe emissions'!$D$3,"")*AR71</f>
        <v>9.3595033967209498E-4</v>
      </c>
      <c r="AW71" s="7">
        <f>IF($H71="ICEV-p",$AQ71/('fuels and tailpipe emissions'!$C$3*3.6)*'fuels and tailpipe emissions'!$E$3,"")</f>
        <v>3.9743114211129298E-7</v>
      </c>
      <c r="AX71" s="7">
        <f>SUMIFS('fuels and tailpipe emissions'!$D$10:$D$126,'fuels and tailpipe emissions'!$A$10:$A$126,'vehicles specifications'!$F71,'fuels and tailpipe emissions'!$B$10:$B$126,'vehicles specifications'!AX$2)/1000*$AQ71</f>
        <v>3.8182695142197475E-5</v>
      </c>
      <c r="AY71" s="7">
        <f>SUMIFS('fuels and tailpipe emissions'!$D$10:$D$126,'fuels and tailpipe emissions'!$A$10:$A$126,'vehicles specifications'!$F71,'fuels and tailpipe emissions'!$B$10:$B$126,'vehicles specifications'!AY$2)/1000*$AQ71</f>
        <v>2.9172963769054263E-5</v>
      </c>
      <c r="AZ71" s="7">
        <f>SUMIFS('fuels and tailpipe emissions'!$D$10:$D$126,'fuels and tailpipe emissions'!$A$10:$A$126,'vehicles specifications'!$F71,'fuels and tailpipe emissions'!$B$10:$B$126,'vehicles specifications'!AZ$2)/1000*$AQ71</f>
        <v>3.4177691287266706E-3</v>
      </c>
      <c r="BA71" s="7">
        <f>SUMIFS('fuels and tailpipe emissions'!$D$10:$D$126,'fuels and tailpipe emissions'!$A$10:$A$126,'vehicles specifications'!$F71,'fuels and tailpipe emissions'!$B$10:$B$126,'vehicles specifications'!BA$2)/1000*$AQ71</f>
        <v>1.4801097802665792E-6</v>
      </c>
      <c r="BB71" s="7">
        <f>SUMIFS('fuels and tailpipe emissions'!$D$10:$D$126,'fuels and tailpipe emissions'!$A$10:$A$126,'vehicles specifications'!$F71,'fuels and tailpipe emissions'!$B$10:$B$126,'vehicles specifications'!BB$2)/1000*$AQ71</f>
        <v>1.4801097802665792E-6</v>
      </c>
      <c r="BC71" s="7">
        <f>SUMIFS('fuels and tailpipe emissions'!$D$10:$D$126,'fuels and tailpipe emissions'!$A$10:$A$126,'vehicles specifications'!$F71,'fuels and tailpipe emissions'!$B$10:$B$126,'vehicles specifications'!BC$2)/1000*$AQ71</f>
        <v>1.1099448161280961E-4</v>
      </c>
      <c r="BD71" s="7">
        <f>SUMIFS('fuels and tailpipe emissions'!$D$10:$D$126,'fuels and tailpipe emissions'!$A$10:$A$126,'vehicles specifications'!$F71,'fuels and tailpipe emissions'!$B$10:$B$126,'vehicles specifications'!BD$2)/1000*$AQ71</f>
        <v>3.3198862371379369E-6</v>
      </c>
      <c r="BE71" s="7">
        <f>SUMIFS('fuels and tailpipe emissions'!$D$10:$D$126,'fuels and tailpipe emissions'!$A$10:$A$126,'vehicles specifications'!$F71,'fuels and tailpipe emissions'!$B$10:$B$126,'vehicles specifications'!BE$2)/1000*$AQ71</f>
        <v>3.0791178756381718E-4</v>
      </c>
      <c r="BF71" s="7">
        <f>SUMIFS('fuels and tailpipe emissions'!$D$10:$D$126,'fuels and tailpipe emissions'!$A$10:$A$126,'vehicles specifications'!$F71,'fuels and tailpipe emissions'!$B$10:$B$126,'vehicles specifications'!BF$2)/1000*$AQ71</f>
        <v>2.1711728610269153E-5</v>
      </c>
      <c r="BG71" s="7">
        <f>SUMIFS('fuels and tailpipe emissions'!$D$10:$D$126,'fuels and tailpipe emissions'!$A$10:$A$126,'vehicles specifications'!$F71,'fuels and tailpipe emissions'!$B$10:$B$126,'vehicles specifications'!BG$2)/1000*$AQ71</f>
        <v>4.4240199362617406E-6</v>
      </c>
      <c r="BH71" s="7">
        <f>SUMIFS('fuels and tailpipe emissions'!$D$10:$D$126,'fuels and tailpipe emissions'!$A$10:$A$126,'vehicles specifications'!$F71,'fuels and tailpipe emissions'!$B$10:$B$126,'vehicles specifications'!BH$2)/1000*$AQ71</f>
        <v>3.5664406870786949E-5</v>
      </c>
      <c r="BI71" s="7">
        <f>SUMIFS('fuels and tailpipe emissions'!$D$10:$D$126,'fuels and tailpipe emissions'!$A$10:$A$126,'vehicles specifications'!$F71,'fuels and tailpipe emissions'!$B$10:$B$126,'vehicles specifications'!BI$2)/1000*$AQ71</f>
        <v>1.4633296712250369E-5</v>
      </c>
      <c r="BJ71" s="7">
        <f>SUMIFS('fuels and tailpipe emissions'!$D$10:$D$126,'fuels and tailpipe emissions'!$A$10:$A$126,'vehicles specifications'!$F71,'fuels and tailpipe emissions'!$B$10:$B$126,'vehicles specifications'!BJ$2)/1000*$AQ71</f>
        <v>1.0957957072894464E-5</v>
      </c>
      <c r="BK71" s="7">
        <f>SUMIFS('fuels and tailpipe emissions'!$D$10:$D$126,'fuels and tailpipe emissions'!$A$10:$A$126,'vehicles specifications'!$F71,'fuels and tailpipe emissions'!$B$10:$B$126,'vehicles specifications'!BK$2)/1000*$AQ71</f>
        <v>7.7590503497513607E-6</v>
      </c>
      <c r="BL71" s="7">
        <f>SUMIFS('fuels and tailpipe emissions'!$D$10:$D$126,'fuels and tailpipe emissions'!$A$10:$A$126,'vehicles specifications'!$F71,'fuels and tailpipe emissions'!$B$10:$B$126,'vehicles specifications'!BL$2)/1000*$AQ71</f>
        <v>5.0365765428210587E-6</v>
      </c>
      <c r="BM71" s="7">
        <f>SUMIFS('fuels and tailpipe emissions'!$D$10:$D$126,'fuels and tailpipe emissions'!$A$10:$A$126,'vehicles specifications'!$F71,'fuels and tailpipe emissions'!$B$10:$B$126,'vehicles specifications'!BM$2)/1000*$AQ71</f>
        <v>4.9685146976478002E-5</v>
      </c>
      <c r="BN71" s="7">
        <f>SUMIFS('fuels and tailpipe emissions'!$D$10:$D$126,'fuels and tailpipe emissions'!$A$10:$A$126,'vehicles specifications'!$F71,'fuels and tailpipe emissions'!$B$10:$B$126,'vehicles specifications'!BN$2)/1000*$AQ71</f>
        <v>2.5999624856184379E-5</v>
      </c>
      <c r="BO71" s="7">
        <f>SUMIFS('fuels and tailpipe emissions'!$D$10:$D$126,'fuels and tailpipe emissions'!$A$10:$A$126,'vehicles specifications'!$F71,'fuels and tailpipe emissions'!$B$10:$B$126,'vehicles specifications'!BO$2)/1000*$AQ71</f>
        <v>7.4868029690583294E-7</v>
      </c>
      <c r="BP71" s="7">
        <f>SUMIFS('fuels and tailpipe emissions'!$D$10:$D$126,'fuels and tailpipe emissions'!$A$10:$A$126,'vehicles specifications'!$F71,'fuels and tailpipe emissions'!$B$10:$B$126,'vehicles specifications'!BP$2)/1000*$AQ71</f>
        <v>3.8182695142197475E-5</v>
      </c>
      <c r="BQ71" s="7">
        <f>SUMIFS('fuels and tailpipe emissions'!$D$10:$D$126,'fuels and tailpipe emissions'!$A$10:$A$126,'vehicles specifications'!$F71,'fuels and tailpipe emissions'!$B$10:$B$126,'vehicles specifications'!BQ$2)/1000*$AQ71</f>
        <v>7.4731906000236774E-5</v>
      </c>
      <c r="BR71" s="7">
        <f>SUMIFS('fuels and tailpipe emissions'!$D$10:$D$126,'fuels and tailpipe emissions'!$A$10:$A$126,'vehicles specifications'!$F71,'fuels and tailpipe emissions'!$B$10:$B$126,'vehicles specifications'!BR$2)/1000*$AQ71</f>
        <v>3.695758192907885E-5</v>
      </c>
      <c r="BS71" s="7">
        <f>SUMIFS('fuels and tailpipe emissions'!$D$10:$D$126,'fuels and tailpipe emissions'!$A$10:$A$126,'vehicles specifications'!$F71,'fuels and tailpipe emissions'!$B$10:$B$126,'vehicles specifications'!BS$2)/1000*$AQ71</f>
        <v>1.5381977009156206E-5</v>
      </c>
      <c r="BT71" s="7">
        <f>SUMIFS('fuels and tailpipe emissions'!$D$10:$D$126,'fuels and tailpipe emissions'!$A$10:$A$126,'vehicles specifications'!$F71,'fuels and tailpipe emissions'!$B$10:$B$126,'vehicles specifications'!BT$2)/1000*$AQ71</f>
        <v>1.1570513679453783E-5</v>
      </c>
      <c r="BU71" s="7">
        <f>SUMIFS('fuels and tailpipe emissions'!$D$10:$D$126,'fuels and tailpipe emissions'!$A$10:$A$126,'vehicles specifications'!$F71,'fuels and tailpipe emissions'!$B$10:$B$126,'vehicles specifications'!BU$2)/1000*$AQ71</f>
        <v>5.1046383879943157E-6</v>
      </c>
      <c r="BV71" s="7">
        <f>SUMIFS('fuels and tailpipe emissions'!$D$10:$D$126,'fuels and tailpipe emissions'!$A$10:$A$126,'vehicles specifications'!$F71,'fuels and tailpipe emissions'!$B$10:$B$126,'vehicles specifications'!BV$2)/1000*$AQ71</f>
        <v>1.4973605938116659E-6</v>
      </c>
      <c r="BW71" s="7">
        <f>SUMIFS('fuels and tailpipe emissions'!$D$10:$D$126,'fuels and tailpipe emissions'!$A$10:$A$126,'vehicles specifications'!$F71,'fuels and tailpipe emissions'!$B$10:$B$126,'vehicles specifications'!BW$2)/1000*$AQ71</f>
        <v>4.1517725555687101E-6</v>
      </c>
      <c r="BX71" s="7">
        <f>SUMIFS('fuels and tailpipe emissions'!$D$10:$D$126,'fuels and tailpipe emissions'!$A$10:$A$126,'vehicles specifications'!$F71,'fuels and tailpipe emissions'!$B$10:$B$126,'vehicles specifications'!BX$2)/1000*$AQ71</f>
        <v>0</v>
      </c>
      <c r="BY71" s="7">
        <f>SUMIFS('fuels and tailpipe emissions'!$D$10:$D$126,'fuels and tailpipe emissions'!$A$10:$A$126,'vehicles specifications'!$F71,'fuels and tailpipe emissions'!$B$10:$B$126,'vehicles specifications'!BY$2)/1000*$AQ71</f>
        <v>1.2931750582918932E-6</v>
      </c>
      <c r="BZ71" s="7">
        <f>SUMIFS('fuels and tailpipe emissions'!$D$10:$D$126,'fuels and tailpipe emissions'!$A$10:$A$126,'vehicles specifications'!$F71,'fuels and tailpipe emissions'!$B$10:$B$126,'vehicles specifications'!BZ$2)/1000*$AQ71</f>
        <v>6.8742463624990121E-6</v>
      </c>
      <c r="CA71" s="7">
        <f>SUMIFS('fuels and tailpipe emissions'!$D$10:$D$126,'fuels and tailpipe emissions'!$A$10:$A$126,'vehicles specifications'!$F71,'fuels and tailpipe emissions'!$B$10:$B$126,'vehicles specifications'!CA$2)/1000*$AQ71</f>
        <v>8.6644664640757301E-10</v>
      </c>
      <c r="CB71" s="7">
        <f>SUMIFS('fuels and tailpipe emissions'!$D$10:$D$126,'fuels and tailpipe emissions'!$A$10:$A$126,'vehicles specifications'!$F71,'fuels and tailpipe emissions'!$B$10:$B$126,'vehicles specifications'!CB$2)/1000*$AQ71</f>
        <v>7.4693676414445949E-12</v>
      </c>
      <c r="CC71" s="7">
        <f>SUMIFS('fuels and tailpipe emissions'!$D$10:$D$126,'fuels and tailpipe emissions'!$A$10:$A$126,'vehicles specifications'!$F71,'fuels and tailpipe emissions'!$B$10:$B$126,'vehicles specifications'!CC$2)/1000*$AQ71</f>
        <v>4.9795784276297299E-12</v>
      </c>
      <c r="CD71" s="7">
        <f>SUMIFS('fuels and tailpipe emissions'!$D$10:$D$126,'fuels and tailpipe emissions'!$A$10:$A$126,'vehicles specifications'!$F71,'fuels and tailpipe emissions'!$B$10:$B$126,'vehicles specifications'!CD$2)/1000*$AQ71</f>
        <v>5.3779447018401084E-8</v>
      </c>
      <c r="CE71" s="7">
        <f>SUMIFS('fuels and tailpipe emissions'!$D$10:$D$126,'fuels and tailpipe emissions'!$A$10:$A$126,'vehicles specifications'!$F71,'fuels and tailpipe emissions'!$B$10:$B$126,'vehicles specifications'!CE$2)/1000*$AQ71</f>
        <v>1.0457114698022433E-9</v>
      </c>
      <c r="CF71" s="7">
        <f>SUMIFS('fuels and tailpipe emissions'!$D$10:$D$126,'fuels and tailpipe emissions'!$A$10:$A$126,'vehicles specifications'!$F71,'fuels and tailpipe emissions'!$B$10:$B$126,'vehicles specifications'!CF$2)/1000*$AQ71</f>
        <v>3.2367259779593247E-10</v>
      </c>
      <c r="CG71" s="7">
        <f>SUMIFS('fuels and tailpipe emissions'!$D$10:$D$126,'fuels and tailpipe emissions'!$A$10:$A$126,'vehicles specifications'!$F71,'fuels and tailpipe emissions'!$B$10:$B$126,'vehicles specifications'!CG$2)/1000*$AQ71</f>
        <v>3.9836627421037845E-10</v>
      </c>
      <c r="CH71" s="7">
        <f>SUMIFS('fuels and tailpipe emissions'!$D$10:$D$126,'fuels and tailpipe emissions'!$A$10:$A$126,'vehicles specifications'!$F71,'fuels and tailpipe emissions'!$B$10:$B$126,'vehicles specifications'!CH$2)/1000*$AQ71</f>
        <v>7.9673254842075675E-13</v>
      </c>
      <c r="CI71" s="7">
        <f>SUMIFS('fuels and tailpipe emissions'!$D$10:$D$126,'fuels and tailpipe emissions'!$A$10:$A$126,'vehicles specifications'!$F71,'fuels and tailpipe emissions'!$B$10:$B$126,'vehicles specifications'!CI$2)/1000*$AQ71</f>
        <v>2.1661166160189325E-10</v>
      </c>
      <c r="CJ71" s="7">
        <f>SUMIFS('fuels and tailpipe emissions'!$D$10:$D$126,'fuels and tailpipe emissions'!$A$10:$A$126,'vehicles specifications'!$F71,'fuels and tailpipe emissions'!$B$10:$B$126,'vehicles specifications'!CJ$2)/1000*$AQ71</f>
        <v>2.688972350920055E-10</v>
      </c>
      <c r="CK71" s="38">
        <f>VLOOKUP($B71,'abrasion emissions'!$O$7:$R$36,2,FALSE)</f>
        <v>0.5</v>
      </c>
      <c r="CL71" s="38">
        <f>VLOOKUP($B71,'abrasion emissions'!$O$7:$R$36,3,FALSE)</f>
        <v>0.5</v>
      </c>
      <c r="CM71" s="38">
        <f>VLOOKUP($B71,'abrasion emissions'!$O$7:$R$36,4,FALSE)</f>
        <v>0</v>
      </c>
      <c r="CN71" s="7">
        <f>((SUMIFS('abrasion emissions'!$M$7:$M$34,'abrasion emissions'!$I$7:$I$34,"PM 2.5",'abrasion emissions'!$J$7:$J$34,"urban",'abrasion emissions'!$K$7:$K$34,"Tyre",'abrasion emissions'!$L$7:$L$34,"b")*POWER(('vehicles specifications'!$Q71/1000),(1/SUMIFS('abrasion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specifications'!$P71/1000),(1/SUMIFS('abrasion emissions'!$M$7:$M$34,'abrasion emissions'!$I$7:$I$34,"PM 10",'abrasion emissions'!$J$7:$J$34,"urban",'abrasion emissions'!$K$7:$K$34,"Tyre",'abrasion emissions'!$L$7:$L$34,"c")))))/1000000</f>
        <v>6.5944645943691745E-6</v>
      </c>
      <c r="CO71" s="7">
        <f>((SUMIFS('abrasion emissions'!$M$7:$M$34,'abrasion emissions'!$I$7:$I$34,"PM 2.5",'abrasion emissions'!$J$7:$J$34,"rural",'abrasion emissions'!$K$7:$K$34,"Tyre",'abrasion emissions'!$L$7:$L$34,"b")*POWER(('vehicles specifications'!$Q71/1000),(1/SUMIFS('abrasion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specifications'!$P71/1000),(1/SUMIFS('abrasion emissions'!$M$7:$M$34,'abrasion emissions'!$I$7:$I$34,"PM 10",'abrasion emissions'!$J$7:$J$34,"rural",'abrasion emissions'!$K$7:$K$34,"Tyre",'abrasion emissions'!$L$7:$L$34,"c")))))/1000000</f>
        <v>5.1357293525669052E-6</v>
      </c>
      <c r="CP71" s="7">
        <f>((SUMIFS('abrasion emissions'!$M$7:$M$34,'abrasion emissions'!$I$7:$I$34,"PM 2.5",'abrasion emissions'!$J$7:$J$34,"motorway",'abrasion emissions'!$K$7:$K$34,"Tyre",'abrasion emissions'!$L$7:$L$34,"b")*POWER(('vehicles specifications'!$Q71/1000),(1/SUMIFS('abrasion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specifications'!$P71/1000),(1/SUMIFS('abrasion emissions'!$M$7:$M$34,'abrasion emissions'!$I$7:$I$34,"PM 10",'abrasion emissions'!$J$7:$J$34,"motorway",'abrasion emissions'!$K$7:$K$34,"Tyre",'abrasion emissions'!$L$7:$L$34,"c")))))/1000000</f>
        <v>4.3855452060034733E-6</v>
      </c>
      <c r="CQ71" s="7">
        <f>((SUMIFS('abrasion emissions'!$M$7:$M$34,'abrasion emissions'!$I$7:$I$34,"PM 2.5",'abrasion emissions'!$J$7:$J$34,"urban",'abrasion emissions'!$K$7:$K$34,"Brake",'abrasion emissions'!$L$7:$L$34,"b")*POWER(('vehicles specifications'!$Q71/1000),(1/SUMIFS('abrasion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specifications'!$P71/1000),(1/SUMIFS('abrasion emissions'!$M$7:$M$34,'abrasion emissions'!$I$7:$I$34,"PM 10",'abrasion emissions'!$J$7:$J$34,"urban",'abrasion emissions'!$K$7:$K$34,"Brake",'abrasion emissions'!$L$7:$L$34,"c")))))/1000000</f>
        <v>6.3193816645175985E-6</v>
      </c>
      <c r="CR71" s="7">
        <f>((SUMIFS('abrasion emissions'!$M$7:$M$34,'abrasion emissions'!$I$7:$I$34,"PM 2.5",'abrasion emissions'!$J$7:$J$34,"rural",'abrasion emissions'!$K$7:$K$34,"Brake",'abrasion emissions'!$L$7:$L$34,"b")*POWER(('vehicles specifications'!$Q71/1000),(1/SUMIFS('abrasion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specifications'!$P71/1000),(1/SUMIFS('abrasion emissions'!$M$7:$M$34,'abrasion emissions'!$I$7:$I$34,"PM 10",'abrasion emissions'!$J$7:$J$34,"rural",'abrasion emissions'!$K$7:$K$34,"Brake",'abrasion emissions'!$L$7:$L$34,"c")))))/1000000</f>
        <v>2.0708759092627531E-6</v>
      </c>
      <c r="CS71" s="7">
        <f>((SUMIFS('abrasion emissions'!$M$7:$M$34,'abrasion emissions'!$I$7:$I$34,"PM 2.5",'abrasion emissions'!$J$7:$J$34,"motorway",'abrasion emissions'!$K$7:$K$34,"Brake",'abrasion emissions'!$L$7:$L$34,"b")*POWER(('vehicles specifications'!$Q71/1000),(1/SUMIFS('abrasion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specifications'!$P71/1000),(1/SUMIFS('abrasion emissions'!$M$7:$M$34,'abrasion emissions'!$I$7:$I$34,"PM 10",'abrasion emissions'!$J$7:$J$34,"motorway",'abrasion emissions'!$K$7:$K$34,"Brake",'abrasion emissions'!$L$7:$L$34,"c")))))/1000000</f>
        <v>3.8840682749460318E-7</v>
      </c>
      <c r="CT71" s="7">
        <f>((SUMIFS('abrasion emissions'!$M$7:$M$38,'abrasion emissions'!$I$7:$I$38,"PM 2.5",'abrasion emissions'!$K$7:$K$38,"Re-susp.",'abrasion emissions'!$L$7:$L$38,"b")*POWER(('vehicles specifications'!$Q71/1000),(1/SUMIFS('abrasion emissions'!$M$7:$M$38,'abrasion emissions'!$I$7:$I$38,"PM 2.5",'abrasion emissions'!$K$7:$K$38,"Re-susp.",'abrasion emissions'!$L$7:$L$38,"c"))))+
(SUMIFS('abrasion emissions'!$M$7:$M$38,'abrasion emissions'!$I$7:$I$38,"PM 10",'abrasion emissions'!$K$7:$K$38,"Re-susp.",'abrasion emissions'!$L$7:$L$38,"b")*POWER(('vehicles specifications'!$Q71/1000),(1/SUMIFS('abrasion emissions'!$M$7:$M$38,'abrasion emissions'!$I$7:$I$38,"PM 10",'abrasion emissions'!$K$7:$K$38,"Re-susp.",'abrasion emissions'!$L$7:$L$38,"c")))))/1000000</f>
        <v>4.0078407960838708E-6</v>
      </c>
      <c r="CU71" s="7">
        <f>((SUMIFS('abrasion emissions'!$M$7:$M$38,'abrasion emissions'!$I$7:$I$38,"PM 2.5",'abrasion emissions'!$K$7:$K$38,"Road",'abrasion emissions'!$L$7:$L$38,"b")*POWER(('vehicles specifications'!$Q71/1000),(1/SUMIFS('abrasion emissions'!$M$7:$M$38,'abrasion emissions'!$I$7:$I$38,"PM 2.5",'abrasion emissions'!$K$7:$K$38,"Road",'abrasion emissions'!$L$7:$L$38,"c"))))+
(SUMIFS('abrasion emissions'!$M$7:$M$38,'abrasion emissions'!$I$7:$I$38,"PM 10",'abrasion emissions'!$K$7:$K$38,"Road",'abrasion emissions'!$L$7:$L$38,"b")*POWER(('vehicles specifications'!$Q71/1000),(1/SUMIFS('abrasion emissions'!$M$7:$M$38,'abrasion emissions'!$I$7:$I$38,"PM 10",'abrasion emissions'!$K$7:$K$38,"Road",'abrasion emissions'!$L$7:$L$38,"c")))))/1000000+CT71</f>
        <v>7.6373593576640838E-6</v>
      </c>
      <c r="CV71" s="7">
        <f t="shared" si="79"/>
        <v>5.8650969734680398E-6</v>
      </c>
      <c r="CW71" s="7">
        <f t="shared" si="80"/>
        <v>4.1951287868901756E-6</v>
      </c>
    </row>
    <row r="72" spans="1:101" x14ac:dyDescent="0.2">
      <c r="A72" t="str">
        <f t="shared" si="1"/>
        <v>Scooter, gasoline, 4-11kW, EURO-4 - 2016 - CH</v>
      </c>
      <c r="B72" t="s">
        <v>346</v>
      </c>
      <c r="D72" s="18">
        <v>2016</v>
      </c>
      <c r="E72" t="s">
        <v>37</v>
      </c>
      <c r="F72" t="s">
        <v>140</v>
      </c>
      <c r="G72" t="s">
        <v>39</v>
      </c>
      <c r="H72" t="s">
        <v>35</v>
      </c>
      <c r="J72">
        <v>30000</v>
      </c>
      <c r="K72">
        <v>1870</v>
      </c>
      <c r="L72" s="2">
        <f t="shared" si="2"/>
        <v>16.042780748663102</v>
      </c>
      <c r="M72">
        <v>1</v>
      </c>
      <c r="N72">
        <v>75</v>
      </c>
      <c r="O72">
        <v>4</v>
      </c>
      <c r="P72" s="2">
        <f t="shared" si="64"/>
        <v>131.16249999999999</v>
      </c>
      <c r="Q72" s="2">
        <f t="shared" si="3"/>
        <v>210.16249999999999</v>
      </c>
      <c r="R72">
        <v>8.8000000000000007</v>
      </c>
      <c r="S72" s="2">
        <v>70</v>
      </c>
      <c r="T72" s="1">
        <v>-0.02</v>
      </c>
      <c r="U72" s="2">
        <f t="shared" si="4"/>
        <v>71.400000000000006</v>
      </c>
      <c r="V72">
        <v>52</v>
      </c>
      <c r="W72">
        <v>0</v>
      </c>
      <c r="X72" s="3">
        <v>0</v>
      </c>
      <c r="Y72" s="1">
        <v>0.8</v>
      </c>
      <c r="Z72" s="3">
        <f t="shared" si="5"/>
        <v>0</v>
      </c>
      <c r="AA72" s="3" t="str">
        <f>IF(I72&lt;&gt;"",X72/INDEX('energy battery'!$B$3:$D$6,MATCH('vehicles specifications'!$D72,'energy battery'!$A$3:$A$6,0),MATCH('vehicles specifications'!$I72,'energy battery'!$B$2:$D$2,0)),"")</f>
        <v/>
      </c>
      <c r="AB72" s="3" t="str">
        <f t="shared" si="6"/>
        <v/>
      </c>
      <c r="AC72" s="3" t="str">
        <f t="shared" si="7"/>
        <v/>
      </c>
      <c r="AD72" s="3">
        <v>0</v>
      </c>
      <c r="AE72" s="3">
        <v>9</v>
      </c>
      <c r="AF72">
        <f>AE72*'fuels and tailpipe emissions'!$B$3</f>
        <v>6.75</v>
      </c>
      <c r="AG72" s="2">
        <f>AF72*'fuels and tailpipe emissions'!$C$3</f>
        <v>79.875</v>
      </c>
      <c r="AH72" s="3">
        <f t="shared" si="66"/>
        <v>1.0125</v>
      </c>
      <c r="AI72">
        <v>0</v>
      </c>
      <c r="AJ72">
        <v>0</v>
      </c>
      <c r="AK72">
        <f t="shared" si="67"/>
        <v>1.2</v>
      </c>
      <c r="AL72">
        <f t="shared" si="65"/>
        <v>1.128572625E-4</v>
      </c>
      <c r="AM72">
        <v>1.2899999999999999E-3</v>
      </c>
      <c r="AN72" s="2">
        <f t="shared" si="9"/>
        <v>71.400000000000006</v>
      </c>
      <c r="AO72" s="2">
        <f t="shared" si="10"/>
        <v>52</v>
      </c>
      <c r="AP72" s="2" t="str">
        <f t="shared" si="11"/>
        <v/>
      </c>
      <c r="AQ72" s="6">
        <v>1.0476835800706115</v>
      </c>
      <c r="AR72" s="20">
        <v>1.2E-2</v>
      </c>
      <c r="AS72" s="6" t="str">
        <f>IF($H72="BEV",SUMPRODUCT(#REF!,#REF!),"")</f>
        <v/>
      </c>
      <c r="AT72" s="2">
        <f t="shared" si="78"/>
        <v>274.46263878700836</v>
      </c>
      <c r="AU72" s="5">
        <f>IF($H72="ICEV-p",$AQ72/('fuels and tailpipe emissions'!$C$3*3.6)*'fuels and tailpipe emissions'!$D$3,"")*(1-AR72)</f>
        <v>7.6296941880860544E-2</v>
      </c>
      <c r="AV72" s="5">
        <f>IF($H72="ICEV-p",$AQ72/('fuels and tailpipe emissions'!$C$3*3.6)*'fuels and tailpipe emissions'!$D$3,"")*AR72</f>
        <v>9.2668350462583665E-4</v>
      </c>
      <c r="AW72" s="7">
        <f>IF($H72="ICEV-p",$AQ72/('fuels and tailpipe emissions'!$C$3*3.6)*'fuels and tailpipe emissions'!$E$3,"")</f>
        <v>3.9349618030821087E-7</v>
      </c>
      <c r="AX72" s="7">
        <f>SUMIFS('fuels and tailpipe emissions'!$D$10:$D$126,'fuels and tailpipe emissions'!$A$10:$A$126,'vehicles specifications'!$F72,'fuels and tailpipe emissions'!$B$10:$B$126,'vehicles specifications'!AX$2)/1000*$AQ72</f>
        <v>3.7804648655641067E-5</v>
      </c>
      <c r="AY72" s="7">
        <f>SUMIFS('fuels and tailpipe emissions'!$D$10:$D$126,'fuels and tailpipe emissions'!$A$10:$A$126,'vehicles specifications'!$F72,'fuels and tailpipe emissions'!$B$10:$B$126,'vehicles specifications'!AY$2)/1000*$AQ72</f>
        <v>2.8884122543618082E-5</v>
      </c>
      <c r="AZ72" s="7">
        <f>SUMIFS('fuels and tailpipe emissions'!$D$10:$D$126,'fuels and tailpipe emissions'!$A$10:$A$126,'vehicles specifications'!$F72,'fuels and tailpipe emissions'!$B$10:$B$126,'vehicles specifications'!AZ$2)/1000*$AQ72</f>
        <v>3.383929830422446E-3</v>
      </c>
      <c r="BA72" s="7">
        <f>SUMIFS('fuels and tailpipe emissions'!$D$10:$D$126,'fuels and tailpipe emissions'!$A$10:$A$126,'vehicles specifications'!$F72,'fuels and tailpipe emissions'!$B$10:$B$126,'vehicles specifications'!BA$2)/1000*$AQ72</f>
        <v>1.465455227986712E-6</v>
      </c>
      <c r="BB72" s="7">
        <f>SUMIFS('fuels and tailpipe emissions'!$D$10:$D$126,'fuels and tailpipe emissions'!$A$10:$A$126,'vehicles specifications'!$F72,'fuels and tailpipe emissions'!$B$10:$B$126,'vehicles specifications'!BB$2)/1000*$AQ72</f>
        <v>1.465455227986712E-6</v>
      </c>
      <c r="BC72" s="7">
        <f>SUMIFS('fuels and tailpipe emissions'!$D$10:$D$126,'fuels and tailpipe emissions'!$A$10:$A$126,'vehicles specifications'!$F72,'fuels and tailpipe emissions'!$B$10:$B$126,'vehicles specifications'!BC$2)/1000*$AQ72</f>
        <v>1.0989552634931646E-4</v>
      </c>
      <c r="BD72" s="7">
        <f>SUMIFS('fuels and tailpipe emissions'!$D$10:$D$126,'fuels and tailpipe emissions'!$A$10:$A$126,'vehicles specifications'!$F72,'fuels and tailpipe emissions'!$B$10:$B$126,'vehicles specifications'!BD$2)/1000*$AQ72</f>
        <v>3.2870160763741949E-6</v>
      </c>
      <c r="BE72" s="7">
        <f>SUMIFS('fuels and tailpipe emissions'!$D$10:$D$126,'fuels and tailpipe emissions'!$A$10:$A$126,'vehicles specifications'!$F72,'fuels and tailpipe emissions'!$B$10:$B$126,'vehicles specifications'!BE$2)/1000*$AQ72</f>
        <v>3.0486315600377939E-4</v>
      </c>
      <c r="BF72" s="7">
        <f>SUMIFS('fuels and tailpipe emissions'!$D$10:$D$126,'fuels and tailpipe emissions'!$A$10:$A$126,'vehicles specifications'!$F72,'fuels and tailpipe emissions'!$B$10:$B$126,'vehicles specifications'!BF$2)/1000*$AQ72</f>
        <v>2.1496761000266487E-5</v>
      </c>
      <c r="BG72" s="7">
        <f>SUMIFS('fuels and tailpipe emissions'!$D$10:$D$126,'fuels and tailpipe emissions'!$A$10:$A$126,'vehicles specifications'!$F72,'fuels and tailpipe emissions'!$B$10:$B$126,'vehicles specifications'!BG$2)/1000*$AQ72</f>
        <v>4.3802177586749907E-6</v>
      </c>
      <c r="BH72" s="7">
        <f>SUMIFS('fuels and tailpipe emissions'!$D$10:$D$126,'fuels and tailpipe emissions'!$A$10:$A$126,'vehicles specifications'!$F72,'fuels and tailpipe emissions'!$B$10:$B$126,'vehicles specifications'!BH$2)/1000*$AQ72</f>
        <v>3.5311293931472228E-5</v>
      </c>
      <c r="BI72" s="7">
        <f>SUMIFS('fuels and tailpipe emissions'!$D$10:$D$126,'fuels and tailpipe emissions'!$A$10:$A$126,'vehicles specifications'!$F72,'fuels and tailpipe emissions'!$B$10:$B$126,'vehicles specifications'!BI$2)/1000*$AQ72</f>
        <v>1.4488412586386504E-5</v>
      </c>
      <c r="BJ72" s="7">
        <f>SUMIFS('fuels and tailpipe emissions'!$D$10:$D$126,'fuels and tailpipe emissions'!$A$10:$A$126,'vehicles specifications'!$F72,'fuels and tailpipe emissions'!$B$10:$B$126,'vehicles specifications'!BJ$2)/1000*$AQ72</f>
        <v>1.0849462448410361E-5</v>
      </c>
      <c r="BK72" s="7">
        <f>SUMIFS('fuels and tailpipe emissions'!$D$10:$D$126,'fuels and tailpipe emissions'!$A$10:$A$126,'vehicles specifications'!$F72,'fuels and tailpipe emissions'!$B$10:$B$126,'vehicles specifications'!BK$2)/1000*$AQ72</f>
        <v>7.6822280690607534E-6</v>
      </c>
      <c r="BL72" s="7">
        <f>SUMIFS('fuels and tailpipe emissions'!$D$10:$D$126,'fuels and tailpipe emissions'!$A$10:$A$126,'vehicles specifications'!$F72,'fuels and tailpipe emissions'!$B$10:$B$126,'vehicles specifications'!BL$2)/1000*$AQ72</f>
        <v>4.986709448337682E-6</v>
      </c>
      <c r="BM72" s="7">
        <f>SUMIFS('fuels and tailpipe emissions'!$D$10:$D$126,'fuels and tailpipe emissions'!$A$10:$A$126,'vehicles specifications'!$F72,'fuels and tailpipe emissions'!$B$10:$B$126,'vehicles specifications'!BM$2)/1000*$AQ72</f>
        <v>4.9193214828196046E-5</v>
      </c>
      <c r="BN72" s="7">
        <f>SUMIFS('fuels and tailpipe emissions'!$D$10:$D$126,'fuels and tailpipe emissions'!$A$10:$A$126,'vehicles specifications'!$F72,'fuels and tailpipe emissions'!$B$10:$B$126,'vehicles specifications'!BN$2)/1000*$AQ72</f>
        <v>2.5742202827905325E-5</v>
      </c>
      <c r="BO72" s="7">
        <f>SUMIFS('fuels and tailpipe emissions'!$D$10:$D$126,'fuels and tailpipe emissions'!$A$10:$A$126,'vehicles specifications'!$F72,'fuels and tailpipe emissions'!$B$10:$B$126,'vehicles specifications'!BO$2)/1000*$AQ72</f>
        <v>7.412676206988445E-7</v>
      </c>
      <c r="BP72" s="7">
        <f>SUMIFS('fuels and tailpipe emissions'!$D$10:$D$126,'fuels and tailpipe emissions'!$A$10:$A$126,'vehicles specifications'!$F72,'fuels and tailpipe emissions'!$B$10:$B$126,'vehicles specifications'!BP$2)/1000*$AQ72</f>
        <v>3.7804648655641067E-5</v>
      </c>
      <c r="BQ72" s="7">
        <f>SUMIFS('fuels and tailpipe emissions'!$D$10:$D$126,'fuels and tailpipe emissions'!$A$10:$A$126,'vehicles specifications'!$F72,'fuels and tailpipe emissions'!$B$10:$B$126,'vehicles specifications'!BQ$2)/1000*$AQ72</f>
        <v>7.3991986138848291E-5</v>
      </c>
      <c r="BR72" s="7">
        <f>SUMIFS('fuels and tailpipe emissions'!$D$10:$D$126,'fuels and tailpipe emissions'!$A$10:$A$126,'vehicles specifications'!$F72,'fuels and tailpipe emissions'!$B$10:$B$126,'vehicles specifications'!BR$2)/1000*$AQ72</f>
        <v>3.6591665276315688E-5</v>
      </c>
      <c r="BS72" s="7">
        <f>SUMIFS('fuels and tailpipe emissions'!$D$10:$D$126,'fuels and tailpipe emissions'!$A$10:$A$126,'vehicles specifications'!$F72,'fuels and tailpipe emissions'!$B$10:$B$126,'vehicles specifications'!BS$2)/1000*$AQ72</f>
        <v>1.522968020708535E-5</v>
      </c>
      <c r="BT72" s="7">
        <f>SUMIFS('fuels and tailpipe emissions'!$D$10:$D$126,'fuels and tailpipe emissions'!$A$10:$A$126,'vehicles specifications'!$F72,'fuels and tailpipe emissions'!$B$10:$B$126,'vehicles specifications'!BT$2)/1000*$AQ72</f>
        <v>1.1455954138073051E-5</v>
      </c>
      <c r="BU72" s="7">
        <f>SUMIFS('fuels and tailpipe emissions'!$D$10:$D$126,'fuels and tailpipe emissions'!$A$10:$A$126,'vehicles specifications'!$F72,'fuels and tailpipe emissions'!$B$10:$B$126,'vehicles specifications'!BU$2)/1000*$AQ72</f>
        <v>5.0540974138557577E-6</v>
      </c>
      <c r="BV72" s="7">
        <f>SUMIFS('fuels and tailpipe emissions'!$D$10:$D$126,'fuels and tailpipe emissions'!$A$10:$A$126,'vehicles specifications'!$F72,'fuels and tailpipe emissions'!$B$10:$B$126,'vehicles specifications'!BV$2)/1000*$AQ72</f>
        <v>1.482535241397689E-6</v>
      </c>
      <c r="BW72" s="7">
        <f>SUMIFS('fuels and tailpipe emissions'!$D$10:$D$126,'fuels and tailpipe emissions'!$A$10:$A$126,'vehicles specifications'!$F72,'fuels and tailpipe emissions'!$B$10:$B$126,'vehicles specifications'!BW$2)/1000*$AQ72</f>
        <v>4.1106658966026837E-6</v>
      </c>
      <c r="BX72" s="7">
        <f>SUMIFS('fuels and tailpipe emissions'!$D$10:$D$126,'fuels and tailpipe emissions'!$A$10:$A$126,'vehicles specifications'!$F72,'fuels and tailpipe emissions'!$B$10:$B$126,'vehicles specifications'!BX$2)/1000*$AQ72</f>
        <v>0</v>
      </c>
      <c r="BY72" s="7">
        <f>SUMIFS('fuels and tailpipe emissions'!$D$10:$D$126,'fuels and tailpipe emissions'!$A$10:$A$126,'vehicles specifications'!$F72,'fuels and tailpipe emissions'!$B$10:$B$126,'vehicles specifications'!BY$2)/1000*$AQ72</f>
        <v>1.2803713448434585E-6</v>
      </c>
      <c r="BZ72" s="7">
        <f>SUMIFS('fuels and tailpipe emissions'!$D$10:$D$126,'fuels and tailpipe emissions'!$A$10:$A$126,'vehicles specifications'!$F72,'fuels and tailpipe emissions'!$B$10:$B$126,'vehicles specifications'!BZ$2)/1000*$AQ72</f>
        <v>6.8061845173257543E-6</v>
      </c>
      <c r="CA72" s="7">
        <f>SUMIFS('fuels and tailpipe emissions'!$D$10:$D$126,'fuels and tailpipe emissions'!$A$10:$A$126,'vehicles specifications'!$F72,'fuels and tailpipe emissions'!$B$10:$B$126,'vehicles specifications'!CA$2)/1000*$AQ72</f>
        <v>8.5786796674017128E-10</v>
      </c>
      <c r="CB72" s="7">
        <f>SUMIFS('fuels and tailpipe emissions'!$D$10:$D$126,'fuels and tailpipe emissions'!$A$10:$A$126,'vehicles specifications'!$F72,'fuels and tailpipe emissions'!$B$10:$B$126,'vehicles specifications'!CB$2)/1000*$AQ72</f>
        <v>7.3954135063807875E-12</v>
      </c>
      <c r="CC72" s="7">
        <f>SUMIFS('fuels and tailpipe emissions'!$D$10:$D$126,'fuels and tailpipe emissions'!$A$10:$A$126,'vehicles specifications'!$F72,'fuels and tailpipe emissions'!$B$10:$B$126,'vehicles specifications'!CC$2)/1000*$AQ72</f>
        <v>4.9302756709205247E-12</v>
      </c>
      <c r="CD72" s="7">
        <f>SUMIFS('fuels and tailpipe emissions'!$D$10:$D$126,'fuels and tailpipe emissions'!$A$10:$A$126,'vehicles specifications'!$F72,'fuels and tailpipe emissions'!$B$10:$B$126,'vehicles specifications'!CD$2)/1000*$AQ72</f>
        <v>5.324697724594167E-8</v>
      </c>
      <c r="CE72" s="7">
        <f>SUMIFS('fuels and tailpipe emissions'!$D$10:$D$126,'fuels and tailpipe emissions'!$A$10:$A$126,'vehicles specifications'!$F72,'fuels and tailpipe emissions'!$B$10:$B$126,'vehicles specifications'!CE$2)/1000*$AQ72</f>
        <v>1.0353578908933101E-9</v>
      </c>
      <c r="CF72" s="7">
        <f>SUMIFS('fuels and tailpipe emissions'!$D$10:$D$126,'fuels and tailpipe emissions'!$A$10:$A$126,'vehicles specifications'!$F72,'fuels and tailpipe emissions'!$B$10:$B$126,'vehicles specifications'!CF$2)/1000*$AQ72</f>
        <v>3.2046791860983413E-10</v>
      </c>
      <c r="CG72" s="7">
        <f>SUMIFS('fuels and tailpipe emissions'!$D$10:$D$126,'fuels and tailpipe emissions'!$A$10:$A$126,'vehicles specifications'!$F72,'fuels and tailpipe emissions'!$B$10:$B$126,'vehicles specifications'!CG$2)/1000*$AQ72</f>
        <v>3.9442205367364202E-10</v>
      </c>
      <c r="CH72" s="7">
        <f>SUMIFS('fuels and tailpipe emissions'!$D$10:$D$126,'fuels and tailpipe emissions'!$A$10:$A$126,'vehicles specifications'!$F72,'fuels and tailpipe emissions'!$B$10:$B$126,'vehicles specifications'!CH$2)/1000*$AQ72</f>
        <v>7.8884410734728391E-13</v>
      </c>
      <c r="CI72" s="7">
        <f>SUMIFS('fuels and tailpipe emissions'!$D$10:$D$126,'fuels and tailpipe emissions'!$A$10:$A$126,'vehicles specifications'!$F72,'fuels and tailpipe emissions'!$B$10:$B$126,'vehicles specifications'!CI$2)/1000*$AQ72</f>
        <v>2.1446699168504282E-10</v>
      </c>
      <c r="CJ72" s="7">
        <f>SUMIFS('fuels and tailpipe emissions'!$D$10:$D$126,'fuels and tailpipe emissions'!$A$10:$A$126,'vehicles specifications'!$F72,'fuels and tailpipe emissions'!$B$10:$B$126,'vehicles specifications'!CJ$2)/1000*$AQ72</f>
        <v>2.6623488622970838E-10</v>
      </c>
      <c r="CK72" s="38">
        <f>VLOOKUP($B72,'abrasion emissions'!$O$7:$R$36,2,FALSE)</f>
        <v>0.5</v>
      </c>
      <c r="CL72" s="38">
        <f>VLOOKUP($B72,'abrasion emissions'!$O$7:$R$36,3,FALSE)</f>
        <v>0.5</v>
      </c>
      <c r="CM72" s="38">
        <f>VLOOKUP($B72,'abrasion emissions'!$O$7:$R$36,4,FALSE)</f>
        <v>0</v>
      </c>
      <c r="CN72" s="7">
        <f>((SUMIFS('abrasion emissions'!$M$7:$M$34,'abrasion emissions'!$I$7:$I$34,"PM 2.5",'abrasion emissions'!$J$7:$J$34,"urban",'abrasion emissions'!$K$7:$K$34,"Tyre",'abrasion emissions'!$L$7:$L$34,"b")*POWER(('vehicles specifications'!$Q72/1000),(1/SUMIFS('abrasion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specifications'!$P72/1000),(1/SUMIFS('abrasion emissions'!$M$7:$M$34,'abrasion emissions'!$I$7:$I$34,"PM 10",'abrasion emissions'!$J$7:$J$34,"urban",'abrasion emissions'!$K$7:$K$34,"Tyre",'abrasion emissions'!$L$7:$L$34,"c")))))/1000000</f>
        <v>6.5598163095421697E-6</v>
      </c>
      <c r="CO72" s="7">
        <f>((SUMIFS('abrasion emissions'!$M$7:$M$34,'abrasion emissions'!$I$7:$I$34,"PM 2.5",'abrasion emissions'!$J$7:$J$34,"rural",'abrasion emissions'!$K$7:$K$34,"Tyre",'abrasion emissions'!$L$7:$L$34,"b")*POWER(('vehicles specifications'!$Q72/1000),(1/SUMIFS('abrasion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specifications'!$P72/1000),(1/SUMIFS('abrasion emissions'!$M$7:$M$34,'abrasion emissions'!$I$7:$I$34,"PM 10",'abrasion emissions'!$J$7:$J$34,"rural",'abrasion emissions'!$K$7:$K$34,"Tyre",'abrasion emissions'!$L$7:$L$34,"c")))))/1000000</f>
        <v>5.1087636622511349E-6</v>
      </c>
      <c r="CP72" s="7">
        <f>((SUMIFS('abrasion emissions'!$M$7:$M$34,'abrasion emissions'!$I$7:$I$34,"PM 2.5",'abrasion emissions'!$J$7:$J$34,"motorway",'abrasion emissions'!$K$7:$K$34,"Tyre",'abrasion emissions'!$L$7:$L$34,"b")*POWER(('vehicles specifications'!$Q72/1000),(1/SUMIFS('abrasion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specifications'!$P72/1000),(1/SUMIFS('abrasion emissions'!$M$7:$M$34,'abrasion emissions'!$I$7:$I$34,"PM 10",'abrasion emissions'!$J$7:$J$34,"motorway",'abrasion emissions'!$K$7:$K$34,"Tyre",'abrasion emissions'!$L$7:$L$34,"c")))))/1000000</f>
        <v>4.3625640771032097E-6</v>
      </c>
      <c r="CQ72" s="7">
        <f>((SUMIFS('abrasion emissions'!$M$7:$M$34,'abrasion emissions'!$I$7:$I$34,"PM 2.5",'abrasion emissions'!$J$7:$J$34,"urban",'abrasion emissions'!$K$7:$K$34,"Brake",'abrasion emissions'!$L$7:$L$34,"b")*POWER(('vehicles specifications'!$Q72/1000),(1/SUMIFS('abrasion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specifications'!$P72/1000),(1/SUMIFS('abrasion emissions'!$M$7:$M$34,'abrasion emissions'!$I$7:$I$34,"PM 10",'abrasion emissions'!$J$7:$J$34,"urban",'abrasion emissions'!$K$7:$K$34,"Brake",'abrasion emissions'!$L$7:$L$34,"c")))))/1000000</f>
        <v>6.2818829748255406E-6</v>
      </c>
      <c r="CR72" s="7">
        <f>((SUMIFS('abrasion emissions'!$M$7:$M$34,'abrasion emissions'!$I$7:$I$34,"PM 2.5",'abrasion emissions'!$J$7:$J$34,"rural",'abrasion emissions'!$K$7:$K$34,"Brake",'abrasion emissions'!$L$7:$L$34,"b")*POWER(('vehicles specifications'!$Q72/1000),(1/SUMIFS('abrasion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specifications'!$P72/1000),(1/SUMIFS('abrasion emissions'!$M$7:$M$34,'abrasion emissions'!$I$7:$I$34,"PM 10",'abrasion emissions'!$J$7:$J$34,"rural",'abrasion emissions'!$K$7:$K$34,"Brake",'abrasion emissions'!$L$7:$L$34,"c")))))/1000000</f>
        <v>2.0553504920237371E-6</v>
      </c>
      <c r="CS72" s="7">
        <f>((SUMIFS('abrasion emissions'!$M$7:$M$34,'abrasion emissions'!$I$7:$I$34,"PM 2.5",'abrasion emissions'!$J$7:$J$34,"motorway",'abrasion emissions'!$K$7:$K$34,"Brake",'abrasion emissions'!$L$7:$L$34,"b")*POWER(('vehicles specifications'!$Q72/1000),(1/SUMIFS('abrasion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specifications'!$P72/1000),(1/SUMIFS('abrasion emissions'!$M$7:$M$34,'abrasion emissions'!$I$7:$I$34,"PM 10",'abrasion emissions'!$J$7:$J$34,"motorway",'abrasion emissions'!$K$7:$K$34,"Brake",'abrasion emissions'!$L$7:$L$34,"c")))))/1000000</f>
        <v>3.8506350292785083E-7</v>
      </c>
      <c r="CT72" s="7">
        <f>((SUMIFS('abrasion emissions'!$M$7:$M$38,'abrasion emissions'!$I$7:$I$38,"PM 2.5",'abrasion emissions'!$K$7:$K$38,"Re-susp.",'abrasion emissions'!$L$7:$L$38,"b")*POWER(('vehicles specifications'!$Q72/1000),(1/SUMIFS('abrasion emissions'!$M$7:$M$38,'abrasion emissions'!$I$7:$I$38,"PM 2.5",'abrasion emissions'!$K$7:$K$38,"Re-susp.",'abrasion emissions'!$L$7:$L$38,"c"))))+
(SUMIFS('abrasion emissions'!$M$7:$M$38,'abrasion emissions'!$I$7:$I$38,"PM 10",'abrasion emissions'!$K$7:$K$38,"Re-susp.",'abrasion emissions'!$L$7:$L$38,"b")*POWER(('vehicles specifications'!$Q72/1000),(1/SUMIFS('abrasion emissions'!$M$7:$M$38,'abrasion emissions'!$I$7:$I$38,"PM 10",'abrasion emissions'!$K$7:$K$38,"Re-susp.",'abrasion emissions'!$L$7:$L$38,"c")))))/1000000</f>
        <v>3.9717779697262679E-6</v>
      </c>
      <c r="CU72" s="7">
        <f>((SUMIFS('abrasion emissions'!$M$7:$M$38,'abrasion emissions'!$I$7:$I$38,"PM 2.5",'abrasion emissions'!$K$7:$K$38,"Road",'abrasion emissions'!$L$7:$L$38,"b")*POWER(('vehicles specifications'!$Q72/1000),(1/SUMIFS('abrasion emissions'!$M$7:$M$38,'abrasion emissions'!$I$7:$I$38,"PM 2.5",'abrasion emissions'!$K$7:$K$38,"Road",'abrasion emissions'!$L$7:$L$38,"c"))))+
(SUMIFS('abrasion emissions'!$M$7:$M$38,'abrasion emissions'!$I$7:$I$38,"PM 10",'abrasion emissions'!$K$7:$K$38,"Road",'abrasion emissions'!$L$7:$L$38,"b")*POWER(('vehicles specifications'!$Q72/1000),(1/SUMIFS('abrasion emissions'!$M$7:$M$38,'abrasion emissions'!$I$7:$I$38,"PM 10",'abrasion emissions'!$K$7:$K$38,"Road",'abrasion emissions'!$L$7:$L$38,"c")))))/1000000+CT72</f>
        <v>7.5773180063729661E-6</v>
      </c>
      <c r="CV72" s="7">
        <f t="shared" si="79"/>
        <v>5.8342899858966527E-6</v>
      </c>
      <c r="CW72" s="7">
        <f t="shared" si="80"/>
        <v>4.1686167334246386E-6</v>
      </c>
    </row>
    <row r="73" spans="1:101" x14ac:dyDescent="0.2">
      <c r="A73" t="str">
        <f t="shared" si="1"/>
        <v>Scooter, gasoline, 4-11kW, EURO-5 - 2020 - CH</v>
      </c>
      <c r="B73" t="s">
        <v>347</v>
      </c>
      <c r="D73" s="18">
        <v>2020</v>
      </c>
      <c r="E73" t="s">
        <v>37</v>
      </c>
      <c r="F73" t="s">
        <v>141</v>
      </c>
      <c r="G73" t="s">
        <v>39</v>
      </c>
      <c r="H73" t="s">
        <v>35</v>
      </c>
      <c r="J73">
        <v>30000</v>
      </c>
      <c r="K73">
        <v>1870</v>
      </c>
      <c r="L73" s="2">
        <f t="shared" si="2"/>
        <v>16.042780748663102</v>
      </c>
      <c r="M73">
        <v>1</v>
      </c>
      <c r="N73">
        <v>75</v>
      </c>
      <c r="O73">
        <v>4</v>
      </c>
      <c r="P73" s="2">
        <f t="shared" si="64"/>
        <v>129.76249999999999</v>
      </c>
      <c r="Q73" s="2">
        <f t="shared" si="3"/>
        <v>208.76249999999999</v>
      </c>
      <c r="R73">
        <v>8.8000000000000007</v>
      </c>
      <c r="S73" s="2">
        <v>70</v>
      </c>
      <c r="T73" s="1">
        <v>0</v>
      </c>
      <c r="U73" s="2">
        <f t="shared" si="4"/>
        <v>70</v>
      </c>
      <c r="V73">
        <v>52</v>
      </c>
      <c r="W73">
        <v>0</v>
      </c>
      <c r="X73" s="3">
        <v>0</v>
      </c>
      <c r="Y73" s="1">
        <v>0.8</v>
      </c>
      <c r="Z73" s="3">
        <f t="shared" si="5"/>
        <v>0</v>
      </c>
      <c r="AA73" s="3" t="str">
        <f>IF(I73&lt;&gt;"",X73/INDEX('energy battery'!$B$3:$D$6,MATCH('vehicles specifications'!$D73,'energy battery'!$A$3:$A$6,0),MATCH('vehicles specifications'!$I73,'energy battery'!$B$2:$D$2,0)),"")</f>
        <v/>
      </c>
      <c r="AB73" s="3" t="str">
        <f t="shared" si="6"/>
        <v/>
      </c>
      <c r="AC73" s="3" t="str">
        <f t="shared" si="7"/>
        <v/>
      </c>
      <c r="AD73" s="3">
        <v>0</v>
      </c>
      <c r="AE73" s="3">
        <v>9</v>
      </c>
      <c r="AF73">
        <f>AE73*'fuels and tailpipe emissions'!$B$3</f>
        <v>6.75</v>
      </c>
      <c r="AG73" s="2">
        <f>AF73*'fuels and tailpipe emissions'!$C$3</f>
        <v>79.875</v>
      </c>
      <c r="AH73" s="3">
        <f t="shared" si="66"/>
        <v>1.0125</v>
      </c>
      <c r="AI73">
        <v>0</v>
      </c>
      <c r="AJ73">
        <v>0</v>
      </c>
      <c r="AK73">
        <f t="shared" si="67"/>
        <v>1.2</v>
      </c>
      <c r="AL73">
        <f t="shared" si="65"/>
        <v>1.1210546249999999E-4</v>
      </c>
      <c r="AM73">
        <v>1.2899999999999999E-3</v>
      </c>
      <c r="AN73" s="2">
        <f t="shared" si="9"/>
        <v>70</v>
      </c>
      <c r="AO73" s="2">
        <f t="shared" si="10"/>
        <v>52</v>
      </c>
      <c r="AP73" s="2" t="str">
        <f t="shared" si="11"/>
        <v/>
      </c>
      <c r="AQ73" s="6">
        <v>1.0372067442699053</v>
      </c>
      <c r="AR73" s="20">
        <v>1.2E-2</v>
      </c>
      <c r="AS73" s="6" t="str">
        <f>IF($H73="BEV",SUMPRODUCT(#REF!,#REF!),"")</f>
        <v/>
      </c>
      <c r="AT73" s="2">
        <f t="shared" si="78"/>
        <v>277.23498867374587</v>
      </c>
      <c r="AU73" s="5">
        <f>IF($H73="ICEV-p",$AQ73/('fuels and tailpipe emissions'!$C$3*3.6)*'fuels and tailpipe emissions'!$D$3,"")*(1-AR73)</f>
        <v>7.5533972462051943E-2</v>
      </c>
      <c r="AV73" s="5">
        <f>IF($H73="ICEV-p",$AQ73/('fuels and tailpipe emissions'!$C$3*3.6)*'fuels and tailpipe emissions'!$D$3,"")*AR73</f>
        <v>9.1741666957957831E-4</v>
      </c>
      <c r="AW73" s="7">
        <f>IF($H73="ICEV-p",$AQ73/('fuels and tailpipe emissions'!$C$3*3.6)*'fuels and tailpipe emissions'!$E$3,"")</f>
        <v>3.8956121850512876E-7</v>
      </c>
      <c r="AX73" s="7">
        <f>SUMIFS('fuels and tailpipe emissions'!$D$10:$D$126,'fuels and tailpipe emissions'!$A$10:$A$126,'vehicles specifications'!$F73,'fuels and tailpipe emissions'!$B$10:$B$126,'vehicles specifications'!AX$2)/1000*$AQ73</f>
        <v>3.7426602169084653E-5</v>
      </c>
      <c r="AY73" s="7">
        <f>SUMIFS('fuels and tailpipe emissions'!$D$10:$D$126,'fuels and tailpipe emissions'!$A$10:$A$126,'vehicles specifications'!$F73,'fuels and tailpipe emissions'!$B$10:$B$126,'vehicles specifications'!AY$2)/1000*$AQ73</f>
        <v>2.8595281318181901E-5</v>
      </c>
      <c r="AZ73" s="7">
        <f>SUMIFS('fuels and tailpipe emissions'!$D$10:$D$126,'fuels and tailpipe emissions'!$A$10:$A$126,'vehicles specifications'!$F73,'fuels and tailpipe emissions'!$B$10:$B$126,'vehicles specifications'!AZ$2)/1000*$AQ73</f>
        <v>3.3500905321182215E-3</v>
      </c>
      <c r="BA73" s="7">
        <f>SUMIFS('fuels and tailpipe emissions'!$D$10:$D$126,'fuels and tailpipe emissions'!$A$10:$A$126,'vehicles specifications'!$F73,'fuels and tailpipe emissions'!$B$10:$B$126,'vehicles specifications'!BA$2)/1000*$AQ73</f>
        <v>1.4508006757068449E-6</v>
      </c>
      <c r="BB73" s="7">
        <f>SUMIFS('fuels and tailpipe emissions'!$D$10:$D$126,'fuels and tailpipe emissions'!$A$10:$A$126,'vehicles specifications'!$F73,'fuels and tailpipe emissions'!$B$10:$B$126,'vehicles specifications'!BB$2)/1000*$AQ73</f>
        <v>1.4508006757068449E-6</v>
      </c>
      <c r="BC73" s="7">
        <f>SUMIFS('fuels and tailpipe emissions'!$D$10:$D$126,'fuels and tailpipe emissions'!$A$10:$A$126,'vehicles specifications'!$F73,'fuels and tailpipe emissions'!$B$10:$B$126,'vehicles specifications'!BC$2)/1000*$AQ73</f>
        <v>1.0879657108582329E-4</v>
      </c>
      <c r="BD73" s="7">
        <f>SUMIFS('fuels and tailpipe emissions'!$D$10:$D$126,'fuels and tailpipe emissions'!$A$10:$A$126,'vehicles specifications'!$F73,'fuels and tailpipe emissions'!$B$10:$B$126,'vehicles specifications'!BD$2)/1000*$AQ73</f>
        <v>3.2541459156104529E-6</v>
      </c>
      <c r="BE73" s="7">
        <f>SUMIFS('fuels and tailpipe emissions'!$D$10:$D$126,'fuels and tailpipe emissions'!$A$10:$A$126,'vehicles specifications'!$F73,'fuels and tailpipe emissions'!$B$10:$B$126,'vehicles specifications'!BE$2)/1000*$AQ73</f>
        <v>3.018145244437416E-4</v>
      </c>
      <c r="BF73" s="7">
        <f>SUMIFS('fuels and tailpipe emissions'!$D$10:$D$126,'fuels and tailpipe emissions'!$A$10:$A$126,'vehicles specifications'!$F73,'fuels and tailpipe emissions'!$B$10:$B$126,'vehicles specifications'!BF$2)/1000*$AQ73</f>
        <v>2.1281793390263825E-5</v>
      </c>
      <c r="BG73" s="7">
        <f>SUMIFS('fuels and tailpipe emissions'!$D$10:$D$126,'fuels and tailpipe emissions'!$A$10:$A$126,'vehicles specifications'!$F73,'fuels and tailpipe emissions'!$B$10:$B$126,'vehicles specifications'!BG$2)/1000*$AQ73</f>
        <v>4.3364155810882407E-6</v>
      </c>
      <c r="BH73" s="7">
        <f>SUMIFS('fuels and tailpipe emissions'!$D$10:$D$126,'fuels and tailpipe emissions'!$A$10:$A$126,'vehicles specifications'!$F73,'fuels and tailpipe emissions'!$B$10:$B$126,'vehicles specifications'!BH$2)/1000*$AQ73</f>
        <v>3.4958180992157506E-5</v>
      </c>
      <c r="BI73" s="7">
        <f>SUMIFS('fuels and tailpipe emissions'!$D$10:$D$126,'fuels and tailpipe emissions'!$A$10:$A$126,'vehicles specifications'!$F73,'fuels and tailpipe emissions'!$B$10:$B$126,'vehicles specifications'!BI$2)/1000*$AQ73</f>
        <v>1.4343528460522639E-5</v>
      </c>
      <c r="BJ73" s="7">
        <f>SUMIFS('fuels and tailpipe emissions'!$D$10:$D$126,'fuels and tailpipe emissions'!$A$10:$A$126,'vehicles specifications'!$F73,'fuels and tailpipe emissions'!$B$10:$B$126,'vehicles specifications'!BJ$2)/1000*$AQ73</f>
        <v>1.0740967823926257E-5</v>
      </c>
      <c r="BK73" s="7">
        <f>SUMIFS('fuels and tailpipe emissions'!$D$10:$D$126,'fuels and tailpipe emissions'!$A$10:$A$126,'vehicles specifications'!$F73,'fuels and tailpipe emissions'!$B$10:$B$126,'vehicles specifications'!BK$2)/1000*$AQ73</f>
        <v>7.6054057883701452E-6</v>
      </c>
      <c r="BL73" s="7">
        <f>SUMIFS('fuels and tailpipe emissions'!$D$10:$D$126,'fuels and tailpipe emissions'!$A$10:$A$126,'vehicles specifications'!$F73,'fuels and tailpipe emissions'!$B$10:$B$126,'vehicles specifications'!BL$2)/1000*$AQ73</f>
        <v>4.9368423538543053E-6</v>
      </c>
      <c r="BM73" s="7">
        <f>SUMIFS('fuels and tailpipe emissions'!$D$10:$D$126,'fuels and tailpipe emissions'!$A$10:$A$126,'vehicles specifications'!$F73,'fuels and tailpipe emissions'!$B$10:$B$126,'vehicles specifications'!BM$2)/1000*$AQ73</f>
        <v>4.8701282679914084E-5</v>
      </c>
      <c r="BN73" s="7">
        <f>SUMIFS('fuels and tailpipe emissions'!$D$10:$D$126,'fuels and tailpipe emissions'!$A$10:$A$126,'vehicles specifications'!$F73,'fuels and tailpipe emissions'!$B$10:$B$126,'vehicles specifications'!BN$2)/1000*$AQ73</f>
        <v>2.5484780799626274E-5</v>
      </c>
      <c r="BO73" s="7">
        <f>SUMIFS('fuels and tailpipe emissions'!$D$10:$D$126,'fuels and tailpipe emissions'!$A$10:$A$126,'vehicles specifications'!$F73,'fuels and tailpipe emissions'!$B$10:$B$126,'vehicles specifications'!BO$2)/1000*$AQ73</f>
        <v>7.3385494449185606E-7</v>
      </c>
      <c r="BP73" s="7">
        <f>SUMIFS('fuels and tailpipe emissions'!$D$10:$D$126,'fuels and tailpipe emissions'!$A$10:$A$126,'vehicles specifications'!$F73,'fuels and tailpipe emissions'!$B$10:$B$126,'vehicles specifications'!BP$2)/1000*$AQ73</f>
        <v>3.7426602169084653E-5</v>
      </c>
      <c r="BQ73" s="7">
        <f>SUMIFS('fuels and tailpipe emissions'!$D$10:$D$126,'fuels and tailpipe emissions'!$A$10:$A$126,'vehicles specifications'!$F73,'fuels and tailpipe emissions'!$B$10:$B$126,'vehicles specifications'!BQ$2)/1000*$AQ73</f>
        <v>7.3252066277459808E-5</v>
      </c>
      <c r="BR73" s="7">
        <f>SUMIFS('fuels and tailpipe emissions'!$D$10:$D$126,'fuels and tailpipe emissions'!$A$10:$A$126,'vehicles specifications'!$F73,'fuels and tailpipe emissions'!$B$10:$B$126,'vehicles specifications'!BR$2)/1000*$AQ73</f>
        <v>3.6225748623552532E-5</v>
      </c>
      <c r="BS73" s="7">
        <f>SUMIFS('fuels and tailpipe emissions'!$D$10:$D$126,'fuels and tailpipe emissions'!$A$10:$A$126,'vehicles specifications'!$F73,'fuels and tailpipe emissions'!$B$10:$B$126,'vehicles specifications'!BS$2)/1000*$AQ73</f>
        <v>1.5077383405014497E-5</v>
      </c>
      <c r="BT73" s="7">
        <f>SUMIFS('fuels and tailpipe emissions'!$D$10:$D$126,'fuels and tailpipe emissions'!$A$10:$A$126,'vehicles specifications'!$F73,'fuels and tailpipe emissions'!$B$10:$B$126,'vehicles specifications'!BT$2)/1000*$AQ73</f>
        <v>1.1341394596692321E-5</v>
      </c>
      <c r="BU73" s="7">
        <f>SUMIFS('fuels and tailpipe emissions'!$D$10:$D$126,'fuels and tailpipe emissions'!$A$10:$A$126,'vehicles specifications'!$F73,'fuels and tailpipe emissions'!$B$10:$B$126,'vehicles specifications'!BU$2)/1000*$AQ73</f>
        <v>5.0035564397171996E-6</v>
      </c>
      <c r="BV73" s="7">
        <f>SUMIFS('fuels and tailpipe emissions'!$D$10:$D$126,'fuels and tailpipe emissions'!$A$10:$A$126,'vehicles specifications'!$F73,'fuels and tailpipe emissions'!$B$10:$B$126,'vehicles specifications'!BV$2)/1000*$AQ73</f>
        <v>1.4677098889837121E-6</v>
      </c>
      <c r="BW73" s="7">
        <f>SUMIFS('fuels and tailpipe emissions'!$D$10:$D$126,'fuels and tailpipe emissions'!$A$10:$A$126,'vehicles specifications'!$F73,'fuels and tailpipe emissions'!$B$10:$B$126,'vehicles specifications'!BW$2)/1000*$AQ73</f>
        <v>4.0695592376366564E-6</v>
      </c>
      <c r="BX73" s="7">
        <f>SUMIFS('fuels and tailpipe emissions'!$D$10:$D$126,'fuels and tailpipe emissions'!$A$10:$A$126,'vehicles specifications'!$F73,'fuels and tailpipe emissions'!$B$10:$B$126,'vehicles specifications'!BX$2)/1000*$AQ73</f>
        <v>0</v>
      </c>
      <c r="BY73" s="7">
        <f>SUMIFS('fuels and tailpipe emissions'!$D$10:$D$126,'fuels and tailpipe emissions'!$A$10:$A$126,'vehicles specifications'!$F73,'fuels and tailpipe emissions'!$B$10:$B$126,'vehicles specifications'!BY$2)/1000*$AQ73</f>
        <v>1.2675676313950239E-6</v>
      </c>
      <c r="BZ73" s="7">
        <f>SUMIFS('fuels and tailpipe emissions'!$D$10:$D$126,'fuels and tailpipe emissions'!$A$10:$A$126,'vehicles specifications'!$F73,'fuels and tailpipe emissions'!$B$10:$B$126,'vehicles specifications'!BZ$2)/1000*$AQ73</f>
        <v>6.7381226721524973E-6</v>
      </c>
      <c r="CA73" s="7">
        <f>SUMIFS('fuels and tailpipe emissions'!$D$10:$D$126,'fuels and tailpipe emissions'!$A$10:$A$126,'vehicles specifications'!$F73,'fuels and tailpipe emissions'!$B$10:$B$126,'vehicles specifications'!CA$2)/1000*$AQ73</f>
        <v>8.4928928707276964E-10</v>
      </c>
      <c r="CB73" s="7">
        <f>SUMIFS('fuels and tailpipe emissions'!$D$10:$D$126,'fuels and tailpipe emissions'!$A$10:$A$126,'vehicles specifications'!$F73,'fuels and tailpipe emissions'!$B$10:$B$126,'vehicles specifications'!CB$2)/1000*$AQ73</f>
        <v>7.3214593713169786E-12</v>
      </c>
      <c r="CC73" s="7">
        <f>SUMIFS('fuels and tailpipe emissions'!$D$10:$D$126,'fuels and tailpipe emissions'!$A$10:$A$126,'vehicles specifications'!$F73,'fuels and tailpipe emissions'!$B$10:$B$126,'vehicles specifications'!CC$2)/1000*$AQ73</f>
        <v>4.8809729142113196E-12</v>
      </c>
      <c r="CD73" s="7">
        <f>SUMIFS('fuels and tailpipe emissions'!$D$10:$D$126,'fuels and tailpipe emissions'!$A$10:$A$126,'vehicles specifications'!$F73,'fuels and tailpipe emissions'!$B$10:$B$126,'vehicles specifications'!CD$2)/1000*$AQ73</f>
        <v>5.271450747348225E-8</v>
      </c>
      <c r="CE73" s="7">
        <f>SUMIFS('fuels and tailpipe emissions'!$D$10:$D$126,'fuels and tailpipe emissions'!$A$10:$A$126,'vehicles specifications'!$F73,'fuels and tailpipe emissions'!$B$10:$B$126,'vehicles specifications'!CE$2)/1000*$AQ73</f>
        <v>1.025004311984377E-9</v>
      </c>
      <c r="CF73" s="7">
        <f>SUMIFS('fuels and tailpipe emissions'!$D$10:$D$126,'fuels and tailpipe emissions'!$A$10:$A$126,'vehicles specifications'!$F73,'fuels and tailpipe emissions'!$B$10:$B$126,'vehicles specifications'!CF$2)/1000*$AQ73</f>
        <v>3.1726323942373574E-10</v>
      </c>
      <c r="CG73" s="7">
        <f>SUMIFS('fuels and tailpipe emissions'!$D$10:$D$126,'fuels and tailpipe emissions'!$A$10:$A$126,'vehicles specifications'!$F73,'fuels and tailpipe emissions'!$B$10:$B$126,'vehicles specifications'!CG$2)/1000*$AQ73</f>
        <v>3.9047783313690559E-10</v>
      </c>
      <c r="CH73" s="7">
        <f>SUMIFS('fuels and tailpipe emissions'!$D$10:$D$126,'fuels and tailpipe emissions'!$A$10:$A$126,'vehicles specifications'!$F73,'fuels and tailpipe emissions'!$B$10:$B$126,'vehicles specifications'!CH$2)/1000*$AQ73</f>
        <v>7.8095566627381107E-13</v>
      </c>
      <c r="CI73" s="7">
        <f>SUMIFS('fuels and tailpipe emissions'!$D$10:$D$126,'fuels and tailpipe emissions'!$A$10:$A$126,'vehicles specifications'!$F73,'fuels and tailpipe emissions'!$B$10:$B$126,'vehicles specifications'!CI$2)/1000*$AQ73</f>
        <v>2.1232232176819241E-10</v>
      </c>
      <c r="CJ73" s="7">
        <f>SUMIFS('fuels and tailpipe emissions'!$D$10:$D$126,'fuels and tailpipe emissions'!$A$10:$A$126,'vehicles specifications'!$F73,'fuels and tailpipe emissions'!$B$10:$B$126,'vehicles specifications'!CJ$2)/1000*$AQ73</f>
        <v>2.6357253736741131E-10</v>
      </c>
      <c r="CK73" s="38">
        <f>VLOOKUP($B73,'abrasion emissions'!$O$7:$R$36,2,FALSE)</f>
        <v>0.5</v>
      </c>
      <c r="CL73" s="38">
        <f>VLOOKUP($B73,'abrasion emissions'!$O$7:$R$36,3,FALSE)</f>
        <v>0.5</v>
      </c>
      <c r="CM73" s="38">
        <f>VLOOKUP($B73,'abrasion emissions'!$O$7:$R$36,4,FALSE)</f>
        <v>0</v>
      </c>
      <c r="CN73" s="7">
        <f>((SUMIFS('abrasion emissions'!$M$7:$M$34,'abrasion emissions'!$I$7:$I$34,"PM 2.5",'abrasion emissions'!$J$7:$J$34,"urban",'abrasion emissions'!$K$7:$K$34,"Tyre",'abrasion emissions'!$L$7:$L$34,"b")*POWER(('vehicles specifications'!$Q73/1000),(1/SUMIFS('abrasion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specifications'!$P73/1000),(1/SUMIFS('abrasion emissions'!$M$7:$M$34,'abrasion emissions'!$I$7:$I$34,"PM 10",'abrasion emissions'!$J$7:$J$34,"urban",'abrasion emissions'!$K$7:$K$34,"Tyre",'abrasion emissions'!$L$7:$L$34,"c")))))/1000000</f>
        <v>6.5365771208871072E-6</v>
      </c>
      <c r="CO73" s="7">
        <f>((SUMIFS('abrasion emissions'!$M$7:$M$34,'abrasion emissions'!$I$7:$I$34,"PM 2.5",'abrasion emissions'!$J$7:$J$34,"rural",'abrasion emissions'!$K$7:$K$34,"Tyre",'abrasion emissions'!$L$7:$L$34,"b")*POWER(('vehicles specifications'!$Q73/1000),(1/SUMIFS('abrasion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specifications'!$P73/1000),(1/SUMIFS('abrasion emissions'!$M$7:$M$34,'abrasion emissions'!$I$7:$I$34,"PM 10",'abrasion emissions'!$J$7:$J$34,"rural",'abrasion emissions'!$K$7:$K$34,"Tyre",'abrasion emissions'!$L$7:$L$34,"c")))))/1000000</f>
        <v>5.0906773950469388E-6</v>
      </c>
      <c r="CP73" s="7">
        <f>((SUMIFS('abrasion emissions'!$M$7:$M$34,'abrasion emissions'!$I$7:$I$34,"PM 2.5",'abrasion emissions'!$J$7:$J$34,"motorway",'abrasion emissions'!$K$7:$K$34,"Tyre",'abrasion emissions'!$L$7:$L$34,"b")*POWER(('vehicles specifications'!$Q73/1000),(1/SUMIFS('abrasion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specifications'!$P73/1000),(1/SUMIFS('abrasion emissions'!$M$7:$M$34,'abrasion emissions'!$I$7:$I$34,"PM 10",'abrasion emissions'!$J$7:$J$34,"motorway",'abrasion emissions'!$K$7:$K$34,"Tyre",'abrasion emissions'!$L$7:$L$34,"c")))))/1000000</f>
        <v>4.3471505016058094E-6</v>
      </c>
      <c r="CQ73" s="7">
        <f>((SUMIFS('abrasion emissions'!$M$7:$M$34,'abrasion emissions'!$I$7:$I$34,"PM 2.5",'abrasion emissions'!$J$7:$J$34,"urban",'abrasion emissions'!$K$7:$K$34,"Brake",'abrasion emissions'!$L$7:$L$34,"b")*POWER(('vehicles specifications'!$Q73/1000),(1/SUMIFS('abrasion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specifications'!$P73/1000),(1/SUMIFS('abrasion emissions'!$M$7:$M$34,'abrasion emissions'!$I$7:$I$34,"PM 10",'abrasion emissions'!$J$7:$J$34,"urban",'abrasion emissions'!$K$7:$K$34,"Brake",'abrasion emissions'!$L$7:$L$34,"c")))))/1000000</f>
        <v>6.2567659612616117E-6</v>
      </c>
      <c r="CR73" s="7">
        <f>((SUMIFS('abrasion emissions'!$M$7:$M$34,'abrasion emissions'!$I$7:$I$34,"PM 2.5",'abrasion emissions'!$J$7:$J$34,"rural",'abrasion emissions'!$K$7:$K$34,"Brake",'abrasion emissions'!$L$7:$L$34,"b")*POWER(('vehicles specifications'!$Q73/1000),(1/SUMIFS('abrasion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specifications'!$P73/1000),(1/SUMIFS('abrasion emissions'!$M$7:$M$34,'abrasion emissions'!$I$7:$I$34,"PM 10",'abrasion emissions'!$J$7:$J$34,"rural",'abrasion emissions'!$K$7:$K$34,"Brake",'abrasion emissions'!$L$7:$L$34,"c")))))/1000000</f>
        <v>2.0449659634609132E-6</v>
      </c>
      <c r="CS73" s="7">
        <f>((SUMIFS('abrasion emissions'!$M$7:$M$34,'abrasion emissions'!$I$7:$I$34,"PM 2.5",'abrasion emissions'!$J$7:$J$34,"motorway",'abrasion emissions'!$K$7:$K$34,"Brake",'abrasion emissions'!$L$7:$L$34,"b")*POWER(('vehicles specifications'!$Q73/1000),(1/SUMIFS('abrasion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specifications'!$P73/1000),(1/SUMIFS('abrasion emissions'!$M$7:$M$34,'abrasion emissions'!$I$7:$I$34,"PM 10",'abrasion emissions'!$J$7:$J$34,"motorway",'abrasion emissions'!$K$7:$K$34,"Brake",'abrasion emissions'!$L$7:$L$34,"c")))))/1000000</f>
        <v>3.828295428765184E-7</v>
      </c>
      <c r="CT73" s="7">
        <f>((SUMIFS('abrasion emissions'!$M$7:$M$38,'abrasion emissions'!$I$7:$I$38,"PM 2.5",'abrasion emissions'!$K$7:$K$38,"Re-susp.",'abrasion emissions'!$L$7:$L$38,"b")*POWER(('vehicles specifications'!$Q73/1000),(1/SUMIFS('abrasion emissions'!$M$7:$M$38,'abrasion emissions'!$I$7:$I$38,"PM 2.5",'abrasion emissions'!$K$7:$K$38,"Re-susp.",'abrasion emissions'!$L$7:$L$38,"c"))))+
(SUMIFS('abrasion emissions'!$M$7:$M$38,'abrasion emissions'!$I$7:$I$38,"PM 10",'abrasion emissions'!$K$7:$K$38,"Re-susp.",'abrasion emissions'!$L$7:$L$38,"b")*POWER(('vehicles specifications'!$Q73/1000),(1/SUMIFS('abrasion emissions'!$M$7:$M$38,'abrasion emissions'!$I$7:$I$38,"PM 10",'abrasion emissions'!$K$7:$K$38,"Re-susp.",'abrasion emissions'!$L$7:$L$38,"c")))))/1000000</f>
        <v>3.9477178995673123E-6</v>
      </c>
      <c r="CU73" s="7">
        <f>((SUMIFS('abrasion emissions'!$M$7:$M$38,'abrasion emissions'!$I$7:$I$38,"PM 2.5",'abrasion emissions'!$K$7:$K$38,"Road",'abrasion emissions'!$L$7:$L$38,"b")*POWER(('vehicles specifications'!$Q73/1000),(1/SUMIFS('abrasion emissions'!$M$7:$M$38,'abrasion emissions'!$I$7:$I$38,"PM 2.5",'abrasion emissions'!$K$7:$K$38,"Road",'abrasion emissions'!$L$7:$L$38,"c"))))+
(SUMIFS('abrasion emissions'!$M$7:$M$38,'abrasion emissions'!$I$7:$I$38,"PM 10",'abrasion emissions'!$K$7:$K$38,"Road",'abrasion emissions'!$L$7:$L$38,"b")*POWER(('vehicles specifications'!$Q73/1000),(1/SUMIFS('abrasion emissions'!$M$7:$M$38,'abrasion emissions'!$I$7:$I$38,"PM 10",'abrasion emissions'!$K$7:$K$38,"Road",'abrasion emissions'!$L$7:$L$38,"c")))))/1000000+CT73</f>
        <v>7.5372278737950211E-6</v>
      </c>
      <c r="CV73" s="7">
        <f t="shared" si="79"/>
        <v>5.8136272579670234E-6</v>
      </c>
      <c r="CW73" s="7">
        <f t="shared" si="80"/>
        <v>4.1508659623612624E-6</v>
      </c>
    </row>
    <row r="74" spans="1:101" x14ac:dyDescent="0.2">
      <c r="A74" t="str">
        <f t="shared" si="1"/>
        <v>Scooter, gasoline, 4-11kW, EURO-5 - 2030 - CH</v>
      </c>
      <c r="B74" t="s">
        <v>347</v>
      </c>
      <c r="D74" s="18">
        <v>2030</v>
      </c>
      <c r="E74" t="s">
        <v>37</v>
      </c>
      <c r="F74" t="s">
        <v>141</v>
      </c>
      <c r="G74" t="s">
        <v>39</v>
      </c>
      <c r="H74" t="s">
        <v>35</v>
      </c>
      <c r="J74">
        <v>30000</v>
      </c>
      <c r="K74">
        <v>1870</v>
      </c>
      <c r="L74" s="2">
        <f t="shared" si="2"/>
        <v>16.042780748663102</v>
      </c>
      <c r="M74">
        <v>1</v>
      </c>
      <c r="N74">
        <v>75</v>
      </c>
      <c r="O74">
        <v>4</v>
      </c>
      <c r="P74" s="2">
        <f t="shared" si="64"/>
        <v>126.66249999999999</v>
      </c>
      <c r="Q74" s="2">
        <f t="shared" si="3"/>
        <v>205.66249999999999</v>
      </c>
      <c r="R74">
        <v>8.8000000000000007</v>
      </c>
      <c r="S74" s="2">
        <v>70</v>
      </c>
      <c r="T74" s="1">
        <v>0.03</v>
      </c>
      <c r="U74" s="2">
        <f t="shared" si="4"/>
        <v>67.899999999999991</v>
      </c>
      <c r="V74">
        <v>51</v>
      </c>
      <c r="W74">
        <v>0</v>
      </c>
      <c r="X74" s="3">
        <v>0</v>
      </c>
      <c r="Y74" s="1">
        <v>0.8</v>
      </c>
      <c r="Z74" s="3">
        <f t="shared" si="5"/>
        <v>0</v>
      </c>
      <c r="AA74" s="3" t="str">
        <f>IF(I74&lt;&gt;"",X74/INDEX('energy battery'!$B$3:$D$6,MATCH('vehicles specifications'!$D74,'energy battery'!$A$3:$A$6,0),MATCH('vehicles specifications'!$I74,'energy battery'!$B$2:$D$2,0)),"")</f>
        <v/>
      </c>
      <c r="AB74" s="3" t="str">
        <f t="shared" si="6"/>
        <v/>
      </c>
      <c r="AC74" s="3" t="str">
        <f t="shared" si="7"/>
        <v/>
      </c>
      <c r="AD74" s="3">
        <v>0</v>
      </c>
      <c r="AE74" s="3">
        <v>9</v>
      </c>
      <c r="AF74">
        <f>AE74*'fuels and tailpipe emissions'!$B$3</f>
        <v>6.75</v>
      </c>
      <c r="AG74" s="2">
        <f>AF74*'fuels and tailpipe emissions'!$C$3</f>
        <v>79.875</v>
      </c>
      <c r="AH74" s="3">
        <f t="shared" si="66"/>
        <v>1.0125</v>
      </c>
      <c r="AI74">
        <v>0</v>
      </c>
      <c r="AJ74">
        <v>0</v>
      </c>
      <c r="AK74">
        <f t="shared" si="67"/>
        <v>1.2</v>
      </c>
      <c r="AL74">
        <f t="shared" si="65"/>
        <v>1.104407625E-4</v>
      </c>
      <c r="AM74">
        <v>1.2899999999999999E-3</v>
      </c>
      <c r="AN74" s="2">
        <f t="shared" si="9"/>
        <v>67.899999999999991</v>
      </c>
      <c r="AO74" s="2">
        <f t="shared" si="10"/>
        <v>51</v>
      </c>
      <c r="AP74" s="2" t="str">
        <f t="shared" si="11"/>
        <v/>
      </c>
      <c r="AQ74" s="6">
        <v>1.0268346768272063</v>
      </c>
      <c r="AR74" s="20">
        <v>1.2E-2</v>
      </c>
      <c r="AS74" s="6" t="str">
        <f>IF($H74="BEV",SUMPRODUCT(#REF!,#REF!),"")</f>
        <v/>
      </c>
      <c r="AT74" s="2">
        <f t="shared" si="78"/>
        <v>280.03534209469279</v>
      </c>
      <c r="AU74" s="5">
        <f>IF($H74="ICEV-p",$AQ74/('fuels and tailpipe emissions'!$C$3*3.6)*'fuels and tailpipe emissions'!$D$3,"")*(1-AR74)</f>
        <v>7.4778632737431419E-2</v>
      </c>
      <c r="AV74" s="5">
        <f>IF($H74="ICEV-p",$AQ74/('fuels and tailpipe emissions'!$C$3*3.6)*'fuels and tailpipe emissions'!$D$3,"")*AR74</f>
        <v>9.0824250288378244E-4</v>
      </c>
      <c r="AW74" s="7">
        <f>IF($H74="ICEV-p",$AQ74/('fuels and tailpipe emissions'!$C$3*3.6)*'fuels and tailpipe emissions'!$E$3,"")</f>
        <v>3.8566560632007743E-7</v>
      </c>
      <c r="AX74" s="7">
        <f>SUMIFS('fuels and tailpipe emissions'!$D$10:$D$126,'fuels and tailpipe emissions'!$A$10:$A$126,'vehicles specifications'!$F74,'fuels and tailpipe emissions'!$B$10:$B$126,'vehicles specifications'!AX$2)/1000*$AQ74</f>
        <v>3.7052336147393805E-5</v>
      </c>
      <c r="AY74" s="7">
        <f>SUMIFS('fuels and tailpipe emissions'!$D$10:$D$126,'fuels and tailpipe emissions'!$A$10:$A$126,'vehicles specifications'!$F74,'fuels and tailpipe emissions'!$B$10:$B$126,'vehicles specifications'!AY$2)/1000*$AQ74</f>
        <v>2.8309328505000081E-5</v>
      </c>
      <c r="AZ74" s="7">
        <f>SUMIFS('fuels and tailpipe emissions'!$D$10:$D$126,'fuels and tailpipe emissions'!$A$10:$A$126,'vehicles specifications'!$F74,'fuels and tailpipe emissions'!$B$10:$B$126,'vehicles specifications'!AZ$2)/1000*$AQ74</f>
        <v>3.3165896267970396E-3</v>
      </c>
      <c r="BA74" s="7">
        <f>SUMIFS('fuels and tailpipe emissions'!$D$10:$D$126,'fuels and tailpipe emissions'!$A$10:$A$126,'vehicles specifications'!$F74,'fuels and tailpipe emissions'!$B$10:$B$126,'vehicles specifications'!BA$2)/1000*$AQ74</f>
        <v>1.4362926689497763E-6</v>
      </c>
      <c r="BB74" s="7">
        <f>SUMIFS('fuels and tailpipe emissions'!$D$10:$D$126,'fuels and tailpipe emissions'!$A$10:$A$126,'vehicles specifications'!$F74,'fuels and tailpipe emissions'!$B$10:$B$126,'vehicles specifications'!BB$2)/1000*$AQ74</f>
        <v>1.4362926689497763E-6</v>
      </c>
      <c r="BC74" s="7">
        <f>SUMIFS('fuels and tailpipe emissions'!$D$10:$D$126,'fuels and tailpipe emissions'!$A$10:$A$126,'vehicles specifications'!$F74,'fuels and tailpipe emissions'!$B$10:$B$126,'vehicles specifications'!BC$2)/1000*$AQ74</f>
        <v>1.0770860537496506E-4</v>
      </c>
      <c r="BD74" s="7">
        <f>SUMIFS('fuels and tailpipe emissions'!$D$10:$D$126,'fuels and tailpipe emissions'!$A$10:$A$126,'vehicles specifications'!$F74,'fuels and tailpipe emissions'!$B$10:$B$126,'vehicles specifications'!BD$2)/1000*$AQ74</f>
        <v>3.2216044564543483E-6</v>
      </c>
      <c r="BE74" s="7">
        <f>SUMIFS('fuels and tailpipe emissions'!$D$10:$D$126,'fuels and tailpipe emissions'!$A$10:$A$126,'vehicles specifications'!$F74,'fuels and tailpipe emissions'!$B$10:$B$126,'vehicles specifications'!BE$2)/1000*$AQ74</f>
        <v>2.9879637919930416E-4</v>
      </c>
      <c r="BF74" s="7">
        <f>SUMIFS('fuels and tailpipe emissions'!$D$10:$D$126,'fuels and tailpipe emissions'!$A$10:$A$126,'vehicles specifications'!$F74,'fuels and tailpipe emissions'!$B$10:$B$126,'vehicles specifications'!BF$2)/1000*$AQ74</f>
        <v>2.1068975456361185E-5</v>
      </c>
      <c r="BG74" s="7">
        <f>SUMIFS('fuels and tailpipe emissions'!$D$10:$D$126,'fuels and tailpipe emissions'!$A$10:$A$126,'vehicles specifications'!$F74,'fuels and tailpipe emissions'!$B$10:$B$126,'vehicles specifications'!BG$2)/1000*$AQ74</f>
        <v>4.2930514252773583E-6</v>
      </c>
      <c r="BH74" s="7">
        <f>SUMIFS('fuels and tailpipe emissions'!$D$10:$D$126,'fuels and tailpipe emissions'!$A$10:$A$126,'vehicles specifications'!$F74,'fuels and tailpipe emissions'!$B$10:$B$126,'vehicles specifications'!BH$2)/1000*$AQ74</f>
        <v>3.460859918223593E-5</v>
      </c>
      <c r="BI74" s="7">
        <f>SUMIFS('fuels and tailpipe emissions'!$D$10:$D$126,'fuels and tailpipe emissions'!$A$10:$A$126,'vehicles specifications'!$F74,'fuels and tailpipe emissions'!$B$10:$B$126,'vehicles specifications'!BI$2)/1000*$AQ74</f>
        <v>1.4200093175917414E-5</v>
      </c>
      <c r="BJ74" s="7">
        <f>SUMIFS('fuels and tailpipe emissions'!$D$10:$D$126,'fuels and tailpipe emissions'!$A$10:$A$126,'vehicles specifications'!$F74,'fuels and tailpipe emissions'!$B$10:$B$126,'vehicles specifications'!BJ$2)/1000*$AQ74</f>
        <v>1.0633558145686995E-5</v>
      </c>
      <c r="BK74" s="7">
        <f>SUMIFS('fuels and tailpipe emissions'!$D$10:$D$126,'fuels and tailpipe emissions'!$A$10:$A$126,'vehicles specifications'!$F74,'fuels and tailpipe emissions'!$B$10:$B$126,'vehicles specifications'!BK$2)/1000*$AQ74</f>
        <v>7.5293517304864437E-6</v>
      </c>
      <c r="BL74" s="7">
        <f>SUMIFS('fuels and tailpipe emissions'!$D$10:$D$126,'fuels and tailpipe emissions'!$A$10:$A$126,'vehicles specifications'!$F74,'fuels and tailpipe emissions'!$B$10:$B$126,'vehicles specifications'!BL$2)/1000*$AQ74</f>
        <v>4.8874739303157623E-6</v>
      </c>
      <c r="BM74" s="7">
        <f>SUMIFS('fuels and tailpipe emissions'!$D$10:$D$126,'fuels and tailpipe emissions'!$A$10:$A$126,'vehicles specifications'!$F74,'fuels and tailpipe emissions'!$B$10:$B$126,'vehicles specifications'!BM$2)/1000*$AQ74</f>
        <v>4.8214269853114941E-5</v>
      </c>
      <c r="BN74" s="7">
        <f>SUMIFS('fuels and tailpipe emissions'!$D$10:$D$126,'fuels and tailpipe emissions'!$A$10:$A$126,'vehicles specifications'!$F74,'fuels and tailpipe emissions'!$B$10:$B$126,'vehicles specifications'!BN$2)/1000*$AQ74</f>
        <v>2.5229932991630011E-5</v>
      </c>
      <c r="BO74" s="7">
        <f>SUMIFS('fuels and tailpipe emissions'!$D$10:$D$126,'fuels and tailpipe emissions'!$A$10:$A$126,'vehicles specifications'!$F74,'fuels and tailpipe emissions'!$B$10:$B$126,'vehicles specifications'!BO$2)/1000*$AQ74</f>
        <v>7.2651639504693751E-7</v>
      </c>
      <c r="BP74" s="7">
        <f>SUMIFS('fuels and tailpipe emissions'!$D$10:$D$126,'fuels and tailpipe emissions'!$A$10:$A$126,'vehicles specifications'!$F74,'fuels and tailpipe emissions'!$B$10:$B$126,'vehicles specifications'!BP$2)/1000*$AQ74</f>
        <v>3.7052336147393805E-5</v>
      </c>
      <c r="BQ74" s="7">
        <f>SUMIFS('fuels and tailpipe emissions'!$D$10:$D$126,'fuels and tailpipe emissions'!$A$10:$A$126,'vehicles specifications'!$F74,'fuels and tailpipe emissions'!$B$10:$B$126,'vehicles specifications'!BQ$2)/1000*$AQ74</f>
        <v>7.2519545614685202E-5</v>
      </c>
      <c r="BR74" s="7">
        <f>SUMIFS('fuels and tailpipe emissions'!$D$10:$D$126,'fuels and tailpipe emissions'!$A$10:$A$126,'vehicles specifications'!$F74,'fuels and tailpipe emissions'!$B$10:$B$126,'vehicles specifications'!BR$2)/1000*$AQ74</f>
        <v>3.5863491137317012E-5</v>
      </c>
      <c r="BS74" s="7">
        <f>SUMIFS('fuels and tailpipe emissions'!$D$10:$D$126,'fuels and tailpipe emissions'!$A$10:$A$126,'vehicles specifications'!$F74,'fuels and tailpipe emissions'!$B$10:$B$126,'vehicles specifications'!BS$2)/1000*$AQ74</f>
        <v>1.4926609570964352E-5</v>
      </c>
      <c r="BT74" s="7">
        <f>SUMIFS('fuels and tailpipe emissions'!$D$10:$D$126,'fuels and tailpipe emissions'!$A$10:$A$126,'vehicles specifications'!$F74,'fuels and tailpipe emissions'!$B$10:$B$126,'vehicles specifications'!BT$2)/1000*$AQ74</f>
        <v>1.1227980650725398E-5</v>
      </c>
      <c r="BU74" s="7">
        <f>SUMIFS('fuels and tailpipe emissions'!$D$10:$D$126,'fuels and tailpipe emissions'!$A$10:$A$126,'vehicles specifications'!$F74,'fuels and tailpipe emissions'!$B$10:$B$126,'vehicles specifications'!BU$2)/1000*$AQ74</f>
        <v>4.9535208753200282E-6</v>
      </c>
      <c r="BV74" s="7">
        <f>SUMIFS('fuels and tailpipe emissions'!$D$10:$D$126,'fuels and tailpipe emissions'!$A$10:$A$126,'vehicles specifications'!$F74,'fuels and tailpipe emissions'!$B$10:$B$126,'vehicles specifications'!BV$2)/1000*$AQ74</f>
        <v>1.453032790093875E-6</v>
      </c>
      <c r="BW74" s="7">
        <f>SUMIFS('fuels and tailpipe emissions'!$D$10:$D$126,'fuels and tailpipe emissions'!$A$10:$A$126,'vehicles specifications'!$F74,'fuels and tailpipe emissions'!$B$10:$B$126,'vehicles specifications'!BW$2)/1000*$AQ74</f>
        <v>4.0288636452602897E-6</v>
      </c>
      <c r="BX74" s="7">
        <f>SUMIFS('fuels and tailpipe emissions'!$D$10:$D$126,'fuels and tailpipe emissions'!$A$10:$A$126,'vehicles specifications'!$F74,'fuels and tailpipe emissions'!$B$10:$B$126,'vehicles specifications'!BX$2)/1000*$AQ74</f>
        <v>0</v>
      </c>
      <c r="BY74" s="7">
        <f>SUMIFS('fuels and tailpipe emissions'!$D$10:$D$126,'fuels and tailpipe emissions'!$A$10:$A$126,'vehicles specifications'!$F74,'fuels and tailpipe emissions'!$B$10:$B$126,'vehicles specifications'!BY$2)/1000*$AQ74</f>
        <v>1.2548919550810737E-6</v>
      </c>
      <c r="BZ74" s="7">
        <f>SUMIFS('fuels and tailpipe emissions'!$D$10:$D$126,'fuels and tailpipe emissions'!$A$10:$A$126,'vehicles specifications'!$F74,'fuels and tailpipe emissions'!$B$10:$B$126,'vehicles specifications'!BZ$2)/1000*$AQ74</f>
        <v>6.6707414454309719E-6</v>
      </c>
      <c r="CA74" s="7">
        <f>SUMIFS('fuels and tailpipe emissions'!$D$10:$D$126,'fuels and tailpipe emissions'!$A$10:$A$126,'vehicles specifications'!$F74,'fuels and tailpipe emissions'!$B$10:$B$126,'vehicles specifications'!CA$2)/1000*$AQ74</f>
        <v>8.4079639420204192E-10</v>
      </c>
      <c r="CB74" s="7">
        <f>SUMIFS('fuels and tailpipe emissions'!$D$10:$D$126,'fuels and tailpipe emissions'!$A$10:$A$126,'vehicles specifications'!$F74,'fuels and tailpipe emissions'!$B$10:$B$126,'vehicles specifications'!CB$2)/1000*$AQ74</f>
        <v>7.2482447776038092E-12</v>
      </c>
      <c r="CC74" s="7">
        <f>SUMIFS('fuels and tailpipe emissions'!$D$10:$D$126,'fuels and tailpipe emissions'!$A$10:$A$126,'vehicles specifications'!$F74,'fuels and tailpipe emissions'!$B$10:$B$126,'vehicles specifications'!CC$2)/1000*$AQ74</f>
        <v>4.8321631850692067E-12</v>
      </c>
      <c r="CD74" s="7">
        <f>SUMIFS('fuels and tailpipe emissions'!$D$10:$D$126,'fuels and tailpipe emissions'!$A$10:$A$126,'vehicles specifications'!$F74,'fuels and tailpipe emissions'!$B$10:$B$126,'vehicles specifications'!CD$2)/1000*$AQ74</f>
        <v>5.2187362398747429E-8</v>
      </c>
      <c r="CE74" s="7">
        <f>SUMIFS('fuels and tailpipe emissions'!$D$10:$D$126,'fuels and tailpipe emissions'!$A$10:$A$126,'vehicles specifications'!$F74,'fuels and tailpipe emissions'!$B$10:$B$126,'vehicles specifications'!CE$2)/1000*$AQ74</f>
        <v>1.0147542688645331E-9</v>
      </c>
      <c r="CF74" s="7">
        <f>SUMIFS('fuels and tailpipe emissions'!$D$10:$D$126,'fuels and tailpipe emissions'!$A$10:$A$126,'vehicles specifications'!$F74,'fuels and tailpipe emissions'!$B$10:$B$126,'vehicles specifications'!CF$2)/1000*$AQ74</f>
        <v>3.1409060702949844E-10</v>
      </c>
      <c r="CG74" s="7">
        <f>SUMIFS('fuels and tailpipe emissions'!$D$10:$D$126,'fuels and tailpipe emissions'!$A$10:$A$126,'vehicles specifications'!$F74,'fuels and tailpipe emissions'!$B$10:$B$126,'vehicles specifications'!CG$2)/1000*$AQ74</f>
        <v>3.8657305480553651E-10</v>
      </c>
      <c r="CH74" s="7">
        <f>SUMIFS('fuels and tailpipe emissions'!$D$10:$D$126,'fuels and tailpipe emissions'!$A$10:$A$126,'vehicles specifications'!$F74,'fuels and tailpipe emissions'!$B$10:$B$126,'vehicles specifications'!CH$2)/1000*$AQ74</f>
        <v>7.7314610961107289E-13</v>
      </c>
      <c r="CI74" s="7">
        <f>SUMIFS('fuels and tailpipe emissions'!$D$10:$D$126,'fuels and tailpipe emissions'!$A$10:$A$126,'vehicles specifications'!$F74,'fuels and tailpipe emissions'!$B$10:$B$126,'vehicles specifications'!CI$2)/1000*$AQ74</f>
        <v>2.1019909855051048E-10</v>
      </c>
      <c r="CJ74" s="7">
        <f>SUMIFS('fuels and tailpipe emissions'!$D$10:$D$126,'fuels and tailpipe emissions'!$A$10:$A$126,'vehicles specifications'!$F74,'fuels and tailpipe emissions'!$B$10:$B$126,'vehicles specifications'!CJ$2)/1000*$AQ74</f>
        <v>2.6093681199373718E-10</v>
      </c>
      <c r="CK74" s="38">
        <f>VLOOKUP($B74,'abrasion emissions'!$O$7:$R$36,2,FALSE)</f>
        <v>0.5</v>
      </c>
      <c r="CL74" s="38">
        <f>VLOOKUP($B74,'abrasion emissions'!$O$7:$R$36,3,FALSE)</f>
        <v>0.5</v>
      </c>
      <c r="CM74" s="38">
        <f>VLOOKUP($B74,'abrasion emissions'!$O$7:$R$36,4,FALSE)</f>
        <v>0</v>
      </c>
      <c r="CN74" s="7">
        <f>((SUMIFS('abrasion emissions'!$M$7:$M$34,'abrasion emissions'!$I$7:$I$34,"PM 2.5",'abrasion emissions'!$J$7:$J$34,"urban",'abrasion emissions'!$K$7:$K$34,"Tyre",'abrasion emissions'!$L$7:$L$34,"b")*POWER(('vehicles specifications'!$Q74/1000),(1/SUMIFS('abrasion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specifications'!$P74/1000),(1/SUMIFS('abrasion emissions'!$M$7:$M$34,'abrasion emissions'!$I$7:$I$34,"PM 10",'abrasion emissions'!$J$7:$J$34,"urban",'abrasion emissions'!$K$7:$K$34,"Tyre",'abrasion emissions'!$L$7:$L$34,"c")))))/1000000</f>
        <v>6.4847103300486052E-6</v>
      </c>
      <c r="CO74" s="7">
        <f>((SUMIFS('abrasion emissions'!$M$7:$M$34,'abrasion emissions'!$I$7:$I$34,"PM 2.5",'abrasion emissions'!$J$7:$J$34,"rural",'abrasion emissions'!$K$7:$K$34,"Tyre",'abrasion emissions'!$L$7:$L$34,"b")*POWER(('vehicles specifications'!$Q74/1000),(1/SUMIFS('abrasion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specifications'!$P74/1000),(1/SUMIFS('abrasion emissions'!$M$7:$M$34,'abrasion emissions'!$I$7:$I$34,"PM 10",'abrasion emissions'!$J$7:$J$34,"rural",'abrasion emissions'!$K$7:$K$34,"Tyre",'abrasion emissions'!$L$7:$L$34,"c")))))/1000000</f>
        <v>5.0503114662956573E-6</v>
      </c>
      <c r="CP74" s="7">
        <f>((SUMIFS('abrasion emissions'!$M$7:$M$34,'abrasion emissions'!$I$7:$I$34,"PM 2.5",'abrasion emissions'!$J$7:$J$34,"motorway",'abrasion emissions'!$K$7:$K$34,"Tyre",'abrasion emissions'!$L$7:$L$34,"b")*POWER(('vehicles specifications'!$Q74/1000),(1/SUMIFS('abrasion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specifications'!$P74/1000),(1/SUMIFS('abrasion emissions'!$M$7:$M$34,'abrasion emissions'!$I$7:$I$34,"PM 10",'abrasion emissions'!$J$7:$J$34,"motorway",'abrasion emissions'!$K$7:$K$34,"Tyre",'abrasion emissions'!$L$7:$L$34,"c")))))/1000000</f>
        <v>4.312750196081298E-6</v>
      </c>
      <c r="CQ74" s="7">
        <f>((SUMIFS('abrasion emissions'!$M$7:$M$34,'abrasion emissions'!$I$7:$I$34,"PM 2.5",'abrasion emissions'!$J$7:$J$34,"urban",'abrasion emissions'!$K$7:$K$34,"Brake",'abrasion emissions'!$L$7:$L$34,"b")*POWER(('vehicles specifications'!$Q74/1000),(1/SUMIFS('abrasion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specifications'!$P74/1000),(1/SUMIFS('abrasion emissions'!$M$7:$M$34,'abrasion emissions'!$I$7:$I$34,"PM 10",'abrasion emissions'!$J$7:$J$34,"urban",'abrasion emissions'!$K$7:$K$34,"Brake",'abrasion emissions'!$L$7:$L$34,"c")))))/1000000</f>
        <v>6.200807457501398E-6</v>
      </c>
      <c r="CR74" s="7">
        <f>((SUMIFS('abrasion emissions'!$M$7:$M$34,'abrasion emissions'!$I$7:$I$34,"PM 2.5",'abrasion emissions'!$J$7:$J$34,"rural",'abrasion emissions'!$K$7:$K$34,"Brake",'abrasion emissions'!$L$7:$L$34,"b")*POWER(('vehicles specifications'!$Q74/1000),(1/SUMIFS('abrasion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specifications'!$P74/1000),(1/SUMIFS('abrasion emissions'!$M$7:$M$34,'abrasion emissions'!$I$7:$I$34,"PM 10",'abrasion emissions'!$J$7:$J$34,"rural",'abrasion emissions'!$K$7:$K$34,"Brake",'abrasion emissions'!$L$7:$L$34,"c")))))/1000000</f>
        <v>2.0218724013648995E-6</v>
      </c>
      <c r="CS74" s="7">
        <f>((SUMIFS('abrasion emissions'!$M$7:$M$34,'abrasion emissions'!$I$7:$I$34,"PM 2.5",'abrasion emissions'!$J$7:$J$34,"motorway",'abrasion emissions'!$K$7:$K$34,"Brake",'abrasion emissions'!$L$7:$L$34,"b")*POWER(('vehicles specifications'!$Q74/1000),(1/SUMIFS('abrasion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specifications'!$P74/1000),(1/SUMIFS('abrasion emissions'!$M$7:$M$34,'abrasion emissions'!$I$7:$I$34,"PM 10",'abrasion emissions'!$J$7:$J$34,"motorway",'abrasion emissions'!$K$7:$K$34,"Brake",'abrasion emissions'!$L$7:$L$34,"c")))))/1000000</f>
        <v>3.7786822657846909E-7</v>
      </c>
      <c r="CT74" s="7">
        <f>((SUMIFS('abrasion emissions'!$M$7:$M$38,'abrasion emissions'!$I$7:$I$38,"PM 2.5",'abrasion emissions'!$K$7:$K$38,"Re-susp.",'abrasion emissions'!$L$7:$L$38,"b")*POWER(('vehicles specifications'!$Q74/1000),(1/SUMIFS('abrasion emissions'!$M$7:$M$38,'abrasion emissions'!$I$7:$I$38,"PM 2.5",'abrasion emissions'!$K$7:$K$38,"Re-susp.",'abrasion emissions'!$L$7:$L$38,"c"))))+
(SUMIFS('abrasion emissions'!$M$7:$M$38,'abrasion emissions'!$I$7:$I$38,"PM 10",'abrasion emissions'!$K$7:$K$38,"Re-susp.",'abrasion emissions'!$L$7:$L$38,"b")*POWER(('vehicles specifications'!$Q74/1000),(1/SUMIFS('abrasion emissions'!$M$7:$M$38,'abrasion emissions'!$I$7:$I$38,"PM 10",'abrasion emissions'!$K$7:$K$38,"Re-susp.",'abrasion emissions'!$L$7:$L$38,"c")))))/1000000</f>
        <v>3.8943896580862355E-6</v>
      </c>
      <c r="CU74" s="7">
        <f>((SUMIFS('abrasion emissions'!$M$7:$M$38,'abrasion emissions'!$I$7:$I$38,"PM 2.5",'abrasion emissions'!$K$7:$K$38,"Road",'abrasion emissions'!$L$7:$L$38,"b")*POWER(('vehicles specifications'!$Q74/1000),(1/SUMIFS('abrasion emissions'!$M$7:$M$38,'abrasion emissions'!$I$7:$I$38,"PM 2.5",'abrasion emissions'!$K$7:$K$38,"Road",'abrasion emissions'!$L$7:$L$38,"c"))))+
(SUMIFS('abrasion emissions'!$M$7:$M$38,'abrasion emissions'!$I$7:$I$38,"PM 10",'abrasion emissions'!$K$7:$K$38,"Road",'abrasion emissions'!$L$7:$L$38,"b")*POWER(('vehicles specifications'!$Q74/1000),(1/SUMIFS('abrasion emissions'!$M$7:$M$38,'abrasion emissions'!$I$7:$I$38,"PM 10",'abrasion emissions'!$K$7:$K$38,"Road",'abrasion emissions'!$L$7:$L$38,"c")))))/1000000+CT74</f>
        <v>7.4482763644547912E-6</v>
      </c>
      <c r="CV74" s="7">
        <f t="shared" si="79"/>
        <v>5.7675108981721313E-6</v>
      </c>
      <c r="CW74" s="7">
        <f t="shared" si="80"/>
        <v>4.1113399294331483E-6</v>
      </c>
    </row>
    <row r="75" spans="1:101" x14ac:dyDescent="0.2">
      <c r="A75" t="str">
        <f t="shared" si="1"/>
        <v>Scooter, gasoline, 4-11kW, EURO-5 - 2040 - CH</v>
      </c>
      <c r="B75" t="s">
        <v>347</v>
      </c>
      <c r="D75" s="18">
        <v>2040</v>
      </c>
      <c r="E75" t="s">
        <v>37</v>
      </c>
      <c r="F75" t="s">
        <v>141</v>
      </c>
      <c r="G75" t="s">
        <v>39</v>
      </c>
      <c r="H75" t="s">
        <v>35</v>
      </c>
      <c r="J75">
        <v>30000</v>
      </c>
      <c r="K75">
        <v>1870</v>
      </c>
      <c r="L75" s="2">
        <f t="shared" si="2"/>
        <v>16.042780748663102</v>
      </c>
      <c r="M75">
        <v>1</v>
      </c>
      <c r="N75">
        <v>75</v>
      </c>
      <c r="O75">
        <v>4</v>
      </c>
      <c r="P75" s="2">
        <f t="shared" si="64"/>
        <v>124.2625</v>
      </c>
      <c r="Q75" s="2">
        <f t="shared" si="3"/>
        <v>203.26249999999999</v>
      </c>
      <c r="R75">
        <v>8.8000000000000007</v>
      </c>
      <c r="S75" s="2">
        <v>70</v>
      </c>
      <c r="T75" s="1">
        <v>0.05</v>
      </c>
      <c r="U75" s="2">
        <f t="shared" si="4"/>
        <v>66.5</v>
      </c>
      <c r="V75">
        <v>50</v>
      </c>
      <c r="W75">
        <v>0</v>
      </c>
      <c r="X75" s="3">
        <v>0</v>
      </c>
      <c r="Y75" s="1">
        <v>0.8</v>
      </c>
      <c r="Z75" s="3">
        <f t="shared" si="5"/>
        <v>0</v>
      </c>
      <c r="AA75" s="3" t="str">
        <f>IF(I75&lt;&gt;"",X75/INDEX('energy battery'!$B$3:$D$6,MATCH('vehicles specifications'!$D75,'energy battery'!$A$3:$A$6,0),MATCH('vehicles specifications'!$I75,'energy battery'!$B$2:$D$2,0)),"")</f>
        <v/>
      </c>
      <c r="AB75" s="3" t="str">
        <f t="shared" si="6"/>
        <v/>
      </c>
      <c r="AC75" s="3" t="str">
        <f t="shared" si="7"/>
        <v/>
      </c>
      <c r="AD75" s="3">
        <v>0</v>
      </c>
      <c r="AE75" s="3">
        <v>9</v>
      </c>
      <c r="AF75">
        <f>AE75*'fuels and tailpipe emissions'!$B$3</f>
        <v>6.75</v>
      </c>
      <c r="AG75" s="2">
        <f>AF75*'fuels and tailpipe emissions'!$C$3</f>
        <v>79.875</v>
      </c>
      <c r="AH75" s="3">
        <f t="shared" si="66"/>
        <v>1.0125</v>
      </c>
      <c r="AI75">
        <v>0</v>
      </c>
      <c r="AJ75">
        <v>0</v>
      </c>
      <c r="AK75">
        <f t="shared" si="67"/>
        <v>1.2</v>
      </c>
      <c r="AL75">
        <f t="shared" si="65"/>
        <v>1.0915196249999999E-4</v>
      </c>
      <c r="AM75">
        <v>1.2899999999999999E-3</v>
      </c>
      <c r="AN75" s="2">
        <f t="shared" si="9"/>
        <v>66.5</v>
      </c>
      <c r="AO75" s="2">
        <f t="shared" si="10"/>
        <v>50</v>
      </c>
      <c r="AP75" s="2" t="str">
        <f t="shared" si="11"/>
        <v/>
      </c>
      <c r="AQ75" s="6">
        <v>1.0165663300589343</v>
      </c>
      <c r="AR75" s="20">
        <v>1.2E-2</v>
      </c>
      <c r="AS75" s="6" t="str">
        <f>IF($H75="BEV",SUMPRODUCT(#REF!,#REF!),"")</f>
        <v/>
      </c>
      <c r="AT75" s="2">
        <f t="shared" si="78"/>
        <v>282.86398191383108</v>
      </c>
      <c r="AU75" s="5">
        <f>IF($H75="ICEV-p",$AQ75/('fuels and tailpipe emissions'!$C$3*3.6)*'fuels and tailpipe emissions'!$D$3,"")*(1-AR75)</f>
        <v>7.4030846410057125E-2</v>
      </c>
      <c r="AV75" s="5">
        <f>IF($H75="ICEV-p",$AQ75/('fuels and tailpipe emissions'!$C$3*3.6)*'fuels and tailpipe emissions'!$D$3,"")*AR75</f>
        <v>8.991600778549448E-4</v>
      </c>
      <c r="AW75" s="7">
        <f>IF($H75="ICEV-p",$AQ75/('fuels and tailpipe emissions'!$C$3*3.6)*'fuels and tailpipe emissions'!$E$3,"")</f>
        <v>3.8180895025687672E-7</v>
      </c>
      <c r="AX75" s="7">
        <f>SUMIFS('fuels and tailpipe emissions'!$D$10:$D$126,'fuels and tailpipe emissions'!$A$10:$A$126,'vehicles specifications'!$F75,'fuels and tailpipe emissions'!$B$10:$B$126,'vehicles specifications'!AX$2)/1000*$AQ75</f>
        <v>3.668181278591987E-5</v>
      </c>
      <c r="AY75" s="7">
        <f>SUMIFS('fuels and tailpipe emissions'!$D$10:$D$126,'fuels and tailpipe emissions'!$A$10:$A$126,'vehicles specifications'!$F75,'fuels and tailpipe emissions'!$B$10:$B$126,'vehicles specifications'!AY$2)/1000*$AQ75</f>
        <v>2.8026235219950081E-5</v>
      </c>
      <c r="AZ75" s="7">
        <f>SUMIFS('fuels and tailpipe emissions'!$D$10:$D$126,'fuels and tailpipe emissions'!$A$10:$A$126,'vehicles specifications'!$F75,'fuels and tailpipe emissions'!$B$10:$B$126,'vehicles specifications'!AZ$2)/1000*$AQ75</f>
        <v>3.2834237305290693E-3</v>
      </c>
      <c r="BA75" s="7">
        <f>SUMIFS('fuels and tailpipe emissions'!$D$10:$D$126,'fuels and tailpipe emissions'!$A$10:$A$126,'vehicles specifications'!$F75,'fuels and tailpipe emissions'!$B$10:$B$126,'vehicles specifications'!BA$2)/1000*$AQ75</f>
        <v>1.4219297422602786E-6</v>
      </c>
      <c r="BB75" s="7">
        <f>SUMIFS('fuels and tailpipe emissions'!$D$10:$D$126,'fuels and tailpipe emissions'!$A$10:$A$126,'vehicles specifications'!$F75,'fuels and tailpipe emissions'!$B$10:$B$126,'vehicles specifications'!BB$2)/1000*$AQ75</f>
        <v>1.4219297422602786E-6</v>
      </c>
      <c r="BC75" s="7">
        <f>SUMIFS('fuels and tailpipe emissions'!$D$10:$D$126,'fuels and tailpipe emissions'!$A$10:$A$126,'vehicles specifications'!$F75,'fuels and tailpipe emissions'!$B$10:$B$126,'vehicles specifications'!BC$2)/1000*$AQ75</f>
        <v>1.066315193212154E-4</v>
      </c>
      <c r="BD75" s="7">
        <f>SUMIFS('fuels and tailpipe emissions'!$D$10:$D$126,'fuels and tailpipe emissions'!$A$10:$A$126,'vehicles specifications'!$F75,'fuels and tailpipe emissions'!$B$10:$B$126,'vehicles specifications'!BD$2)/1000*$AQ75</f>
        <v>3.189388411889805E-6</v>
      </c>
      <c r="BE75" s="7">
        <f>SUMIFS('fuels and tailpipe emissions'!$D$10:$D$126,'fuels and tailpipe emissions'!$A$10:$A$126,'vehicles specifications'!$F75,'fuels and tailpipe emissions'!$B$10:$B$126,'vehicles specifications'!BE$2)/1000*$AQ75</f>
        <v>2.9580841540731114E-4</v>
      </c>
      <c r="BF75" s="7">
        <f>SUMIFS('fuels and tailpipe emissions'!$D$10:$D$126,'fuels and tailpipe emissions'!$A$10:$A$126,'vehicles specifications'!$F75,'fuels and tailpipe emissions'!$B$10:$B$126,'vehicles specifications'!BF$2)/1000*$AQ75</f>
        <v>2.0858285701797573E-5</v>
      </c>
      <c r="BG75" s="7">
        <f>SUMIFS('fuels and tailpipe emissions'!$D$10:$D$126,'fuels and tailpipe emissions'!$A$10:$A$126,'vehicles specifications'!$F75,'fuels and tailpipe emissions'!$B$10:$B$126,'vehicles specifications'!BG$2)/1000*$AQ75</f>
        <v>4.2501209110245846E-6</v>
      </c>
      <c r="BH75" s="7">
        <f>SUMIFS('fuels and tailpipe emissions'!$D$10:$D$126,'fuels and tailpipe emissions'!$A$10:$A$126,'vehicles specifications'!$F75,'fuels and tailpipe emissions'!$B$10:$B$126,'vehicles specifications'!BH$2)/1000*$AQ75</f>
        <v>3.4262513190413571E-5</v>
      </c>
      <c r="BI75" s="7">
        <f>SUMIFS('fuels and tailpipe emissions'!$D$10:$D$126,'fuels and tailpipe emissions'!$A$10:$A$126,'vehicles specifications'!$F75,'fuels and tailpipe emissions'!$B$10:$B$126,'vehicles specifications'!BI$2)/1000*$AQ75</f>
        <v>1.405809224415824E-5</v>
      </c>
      <c r="BJ75" s="7">
        <f>SUMIFS('fuels and tailpipe emissions'!$D$10:$D$126,'fuels and tailpipe emissions'!$A$10:$A$126,'vehicles specifications'!$F75,'fuels and tailpipe emissions'!$B$10:$B$126,'vehicles specifications'!BJ$2)/1000*$AQ75</f>
        <v>1.0527222564230125E-5</v>
      </c>
      <c r="BK75" s="7">
        <f>SUMIFS('fuels and tailpipe emissions'!$D$10:$D$126,'fuels and tailpipe emissions'!$A$10:$A$126,'vehicles specifications'!$F75,'fuels and tailpipe emissions'!$B$10:$B$126,'vehicles specifications'!BK$2)/1000*$AQ75</f>
        <v>7.4540582131815796E-6</v>
      </c>
      <c r="BL75" s="7">
        <f>SUMIFS('fuels and tailpipe emissions'!$D$10:$D$126,'fuels and tailpipe emissions'!$A$10:$A$126,'vehicles specifications'!$F75,'fuels and tailpipe emissions'!$B$10:$B$126,'vehicles specifications'!BL$2)/1000*$AQ75</f>
        <v>4.8385991910126046E-6</v>
      </c>
      <c r="BM75" s="7">
        <f>SUMIFS('fuels and tailpipe emissions'!$D$10:$D$126,'fuels and tailpipe emissions'!$A$10:$A$126,'vehicles specifications'!$F75,'fuels and tailpipe emissions'!$B$10:$B$126,'vehicles specifications'!BM$2)/1000*$AQ75</f>
        <v>4.7732127154583795E-5</v>
      </c>
      <c r="BN75" s="7">
        <f>SUMIFS('fuels and tailpipe emissions'!$D$10:$D$126,'fuels and tailpipe emissions'!$A$10:$A$126,'vehicles specifications'!$F75,'fuels and tailpipe emissions'!$B$10:$B$126,'vehicles specifications'!BN$2)/1000*$AQ75</f>
        <v>2.4977633661713712E-5</v>
      </c>
      <c r="BO75" s="7">
        <f>SUMIFS('fuels and tailpipe emissions'!$D$10:$D$126,'fuels and tailpipe emissions'!$A$10:$A$126,'vehicles specifications'!$F75,'fuels and tailpipe emissions'!$B$10:$B$126,'vehicles specifications'!BO$2)/1000*$AQ75</f>
        <v>7.1925123109646811E-7</v>
      </c>
      <c r="BP75" s="7">
        <f>SUMIFS('fuels and tailpipe emissions'!$D$10:$D$126,'fuels and tailpipe emissions'!$A$10:$A$126,'vehicles specifications'!$F75,'fuels and tailpipe emissions'!$B$10:$B$126,'vehicles specifications'!BP$2)/1000*$AQ75</f>
        <v>3.668181278591987E-5</v>
      </c>
      <c r="BQ75" s="7">
        <f>SUMIFS('fuels and tailpipe emissions'!$D$10:$D$126,'fuels and tailpipe emissions'!$A$10:$A$126,'vehicles specifications'!$F75,'fuels and tailpipe emissions'!$B$10:$B$126,'vehicles specifications'!BQ$2)/1000*$AQ75</f>
        <v>7.1794350158538352E-5</v>
      </c>
      <c r="BR75" s="7">
        <f>SUMIFS('fuels and tailpipe emissions'!$D$10:$D$126,'fuels and tailpipe emissions'!$A$10:$A$126,'vehicles specifications'!$F75,'fuels and tailpipe emissions'!$B$10:$B$126,'vehicles specifications'!BR$2)/1000*$AQ75</f>
        <v>3.5504856225943842E-5</v>
      </c>
      <c r="BS75" s="7">
        <f>SUMIFS('fuels and tailpipe emissions'!$D$10:$D$126,'fuels and tailpipe emissions'!$A$10:$A$126,'vehicles specifications'!$F75,'fuels and tailpipe emissions'!$B$10:$B$126,'vehicles specifications'!BS$2)/1000*$AQ75</f>
        <v>1.4777343475254709E-5</v>
      </c>
      <c r="BT75" s="7">
        <f>SUMIFS('fuels and tailpipe emissions'!$D$10:$D$126,'fuels and tailpipe emissions'!$A$10:$A$126,'vehicles specifications'!$F75,'fuels and tailpipe emissions'!$B$10:$B$126,'vehicles specifications'!BT$2)/1000*$AQ75</f>
        <v>1.1115700844218144E-5</v>
      </c>
      <c r="BU75" s="7">
        <f>SUMIFS('fuels and tailpipe emissions'!$D$10:$D$126,'fuels and tailpipe emissions'!$A$10:$A$126,'vehicles specifications'!$F75,'fuels and tailpipe emissions'!$B$10:$B$126,'vehicles specifications'!BU$2)/1000*$AQ75</f>
        <v>4.903985666566828E-6</v>
      </c>
      <c r="BV75" s="7">
        <f>SUMIFS('fuels and tailpipe emissions'!$D$10:$D$126,'fuels and tailpipe emissions'!$A$10:$A$126,'vehicles specifications'!$F75,'fuels and tailpipe emissions'!$B$10:$B$126,'vehicles specifications'!BV$2)/1000*$AQ75</f>
        <v>1.4385024621929362E-6</v>
      </c>
      <c r="BW75" s="7">
        <f>SUMIFS('fuels and tailpipe emissions'!$D$10:$D$126,'fuels and tailpipe emissions'!$A$10:$A$126,'vehicles specifications'!$F75,'fuels and tailpipe emissions'!$B$10:$B$126,'vehicles specifications'!BW$2)/1000*$AQ75</f>
        <v>3.9885750088076876E-6</v>
      </c>
      <c r="BX75" s="7">
        <f>SUMIFS('fuels and tailpipe emissions'!$D$10:$D$126,'fuels and tailpipe emissions'!$A$10:$A$126,'vehicles specifications'!$F75,'fuels and tailpipe emissions'!$B$10:$B$126,'vehicles specifications'!BX$2)/1000*$AQ75</f>
        <v>0</v>
      </c>
      <c r="BY75" s="7">
        <f>SUMIFS('fuels and tailpipe emissions'!$D$10:$D$126,'fuels and tailpipe emissions'!$A$10:$A$126,'vehicles specifications'!$F75,'fuels and tailpipe emissions'!$B$10:$B$126,'vehicles specifications'!BY$2)/1000*$AQ75</f>
        <v>1.2423430355302631E-6</v>
      </c>
      <c r="BZ75" s="7">
        <f>SUMIFS('fuels and tailpipe emissions'!$D$10:$D$126,'fuels and tailpipe emissions'!$A$10:$A$126,'vehicles specifications'!$F75,'fuels and tailpipe emissions'!$B$10:$B$126,'vehicles specifications'!BZ$2)/1000*$AQ75</f>
        <v>6.6040340309766626E-6</v>
      </c>
      <c r="CA75" s="7">
        <f>SUMIFS('fuels and tailpipe emissions'!$D$10:$D$126,'fuels and tailpipe emissions'!$A$10:$A$126,'vehicles specifications'!$F75,'fuels and tailpipe emissions'!$B$10:$B$126,'vehicles specifications'!CA$2)/1000*$AQ75</f>
        <v>8.3238843026002153E-10</v>
      </c>
      <c r="CB75" s="7">
        <f>SUMIFS('fuels and tailpipe emissions'!$D$10:$D$126,'fuels and tailpipe emissions'!$A$10:$A$126,'vehicles specifications'!$F75,'fuels and tailpipe emissions'!$B$10:$B$126,'vehicles specifications'!CB$2)/1000*$AQ75</f>
        <v>7.1757623298277712E-12</v>
      </c>
      <c r="CC75" s="7">
        <f>SUMIFS('fuels and tailpipe emissions'!$D$10:$D$126,'fuels and tailpipe emissions'!$A$10:$A$126,'vehicles specifications'!$F75,'fuels and tailpipe emissions'!$B$10:$B$126,'vehicles specifications'!CC$2)/1000*$AQ75</f>
        <v>4.7838415532185142E-12</v>
      </c>
      <c r="CD75" s="7">
        <f>SUMIFS('fuels and tailpipe emissions'!$D$10:$D$126,'fuels and tailpipe emissions'!$A$10:$A$126,'vehicles specifications'!$F75,'fuels and tailpipe emissions'!$B$10:$B$126,'vehicles specifications'!CD$2)/1000*$AQ75</f>
        <v>5.1665488774759957E-8</v>
      </c>
      <c r="CE75" s="7">
        <f>SUMIFS('fuels and tailpipe emissions'!$D$10:$D$126,'fuels and tailpipe emissions'!$A$10:$A$126,'vehicles specifications'!$F75,'fuels and tailpipe emissions'!$B$10:$B$126,'vehicles specifications'!CE$2)/1000*$AQ75</f>
        <v>1.0046067261758878E-9</v>
      </c>
      <c r="CF75" s="7">
        <f>SUMIFS('fuels and tailpipe emissions'!$D$10:$D$126,'fuels and tailpipe emissions'!$A$10:$A$126,'vehicles specifications'!$F75,'fuels and tailpipe emissions'!$B$10:$B$126,'vehicles specifications'!CF$2)/1000*$AQ75</f>
        <v>3.1094970095920345E-10</v>
      </c>
      <c r="CG75" s="7">
        <f>SUMIFS('fuels and tailpipe emissions'!$D$10:$D$126,'fuels and tailpipe emissions'!$A$10:$A$126,'vehicles specifications'!$F75,'fuels and tailpipe emissions'!$B$10:$B$126,'vehicles specifications'!CG$2)/1000*$AQ75</f>
        <v>3.8270732425748116E-10</v>
      </c>
      <c r="CH75" s="7">
        <f>SUMIFS('fuels and tailpipe emissions'!$D$10:$D$126,'fuels and tailpipe emissions'!$A$10:$A$126,'vehicles specifications'!$F75,'fuels and tailpipe emissions'!$B$10:$B$126,'vehicles specifications'!CH$2)/1000*$AQ75</f>
        <v>7.6541464851496223E-13</v>
      </c>
      <c r="CI75" s="7">
        <f>SUMIFS('fuels and tailpipe emissions'!$D$10:$D$126,'fuels and tailpipe emissions'!$A$10:$A$126,'vehicles specifications'!$F75,'fuels and tailpipe emissions'!$B$10:$B$126,'vehicles specifications'!CI$2)/1000*$AQ75</f>
        <v>2.0809710756500538E-10</v>
      </c>
      <c r="CJ75" s="7">
        <f>SUMIFS('fuels and tailpipe emissions'!$D$10:$D$126,'fuels and tailpipe emissions'!$A$10:$A$126,'vehicles specifications'!$F75,'fuels and tailpipe emissions'!$B$10:$B$126,'vehicles specifications'!CJ$2)/1000*$AQ75</f>
        <v>2.5832744387379982E-10</v>
      </c>
      <c r="CK75" s="38">
        <f>VLOOKUP($B75,'abrasion emissions'!$O$7:$R$36,2,FALSE)</f>
        <v>0.5</v>
      </c>
      <c r="CL75" s="38">
        <f>VLOOKUP($B75,'abrasion emissions'!$O$7:$R$36,3,FALSE)</f>
        <v>0.5</v>
      </c>
      <c r="CM75" s="38">
        <f>VLOOKUP($B75,'abrasion emissions'!$O$7:$R$36,4,FALSE)</f>
        <v>0</v>
      </c>
      <c r="CN75" s="7">
        <f>((SUMIFS('abrasion emissions'!$M$7:$M$34,'abrasion emissions'!$I$7:$I$34,"PM 2.5",'abrasion emissions'!$J$7:$J$34,"urban",'abrasion emissions'!$K$7:$K$34,"Tyre",'abrasion emissions'!$L$7:$L$34,"b")*POWER(('vehicles specifications'!$Q75/1000),(1/SUMIFS('abrasion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specifications'!$P75/1000),(1/SUMIFS('abrasion emissions'!$M$7:$M$34,'abrasion emissions'!$I$7:$I$34,"PM 10",'abrasion emissions'!$J$7:$J$34,"urban",'abrasion emissions'!$K$7:$K$34,"Tyre",'abrasion emissions'!$L$7:$L$34,"c")))))/1000000</f>
        <v>6.4441594375396093E-6</v>
      </c>
      <c r="CO75" s="7">
        <f>((SUMIFS('abrasion emissions'!$M$7:$M$34,'abrasion emissions'!$I$7:$I$34,"PM 2.5",'abrasion emissions'!$J$7:$J$34,"rural",'abrasion emissions'!$K$7:$K$34,"Tyre",'abrasion emissions'!$L$7:$L$34,"b")*POWER(('vehicles specifications'!$Q75/1000),(1/SUMIFS('abrasion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specifications'!$P75/1000),(1/SUMIFS('abrasion emissions'!$M$7:$M$34,'abrasion emissions'!$I$7:$I$34,"PM 10",'abrasion emissions'!$J$7:$J$34,"rural",'abrasion emissions'!$K$7:$K$34,"Tyre",'abrasion emissions'!$L$7:$L$34,"c")))))/1000000</f>
        <v>5.0187524861135117E-6</v>
      </c>
      <c r="CP75" s="7">
        <f>((SUMIFS('abrasion emissions'!$M$7:$M$34,'abrasion emissions'!$I$7:$I$34,"PM 2.5",'abrasion emissions'!$J$7:$J$34,"motorway",'abrasion emissions'!$K$7:$K$34,"Tyre",'abrasion emissions'!$L$7:$L$34,"b")*POWER(('vehicles specifications'!$Q75/1000),(1/SUMIFS('abrasion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specifications'!$P75/1000),(1/SUMIFS('abrasion emissions'!$M$7:$M$34,'abrasion emissions'!$I$7:$I$34,"PM 10",'abrasion emissions'!$J$7:$J$34,"motorway",'abrasion emissions'!$K$7:$K$34,"Tyre",'abrasion emissions'!$L$7:$L$34,"c")))))/1000000</f>
        <v>4.2858558253725726E-6</v>
      </c>
      <c r="CQ75" s="7">
        <f>((SUMIFS('abrasion emissions'!$M$7:$M$34,'abrasion emissions'!$I$7:$I$34,"PM 2.5",'abrasion emissions'!$J$7:$J$34,"urban",'abrasion emissions'!$K$7:$K$34,"Brake",'abrasion emissions'!$L$7:$L$34,"b")*POWER(('vehicles specifications'!$Q75/1000),(1/SUMIFS('abrasion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specifications'!$P75/1000),(1/SUMIFS('abrasion emissions'!$M$7:$M$34,'abrasion emissions'!$I$7:$I$34,"PM 10",'abrasion emissions'!$J$7:$J$34,"urban",'abrasion emissions'!$K$7:$K$34,"Brake",'abrasion emissions'!$L$7:$L$34,"c")))))/1000000</f>
        <v>6.1571540757855236E-6</v>
      </c>
      <c r="CR75" s="7">
        <f>((SUMIFS('abrasion emissions'!$M$7:$M$34,'abrasion emissions'!$I$7:$I$34,"PM 2.5",'abrasion emissions'!$J$7:$J$34,"rural",'abrasion emissions'!$K$7:$K$34,"Brake",'abrasion emissions'!$L$7:$L$34,"b")*POWER(('vehicles specifications'!$Q75/1000),(1/SUMIFS('abrasion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specifications'!$P75/1000),(1/SUMIFS('abrasion emissions'!$M$7:$M$34,'abrasion emissions'!$I$7:$I$34,"PM 10",'abrasion emissions'!$J$7:$J$34,"rural",'abrasion emissions'!$K$7:$K$34,"Brake",'abrasion emissions'!$L$7:$L$34,"c")))))/1000000</f>
        <v>2.0038978212327732E-6</v>
      </c>
      <c r="CS75" s="7">
        <f>((SUMIFS('abrasion emissions'!$M$7:$M$34,'abrasion emissions'!$I$7:$I$34,"PM 2.5",'abrasion emissions'!$J$7:$J$34,"motorway",'abrasion emissions'!$K$7:$K$34,"Brake",'abrasion emissions'!$L$7:$L$34,"b")*POWER(('vehicles specifications'!$Q75/1000),(1/SUMIFS('abrasion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specifications'!$P75/1000),(1/SUMIFS('abrasion emissions'!$M$7:$M$34,'abrasion emissions'!$I$7:$I$34,"PM 10",'abrasion emissions'!$J$7:$J$34,"motorway",'abrasion emissions'!$K$7:$K$34,"Brake",'abrasion emissions'!$L$7:$L$34,"c")))))/1000000</f>
        <v>3.7401306521619346E-7</v>
      </c>
      <c r="CT75" s="7">
        <f>((SUMIFS('abrasion emissions'!$M$7:$M$38,'abrasion emissions'!$I$7:$I$38,"PM 2.5",'abrasion emissions'!$K$7:$K$38,"Re-susp.",'abrasion emissions'!$L$7:$L$38,"b")*POWER(('vehicles specifications'!$Q75/1000),(1/SUMIFS('abrasion emissions'!$M$7:$M$38,'abrasion emissions'!$I$7:$I$38,"PM 2.5",'abrasion emissions'!$K$7:$K$38,"Re-susp.",'abrasion emissions'!$L$7:$L$38,"c"))))+
(SUMIFS('abrasion emissions'!$M$7:$M$38,'abrasion emissions'!$I$7:$I$38,"PM 10",'abrasion emissions'!$K$7:$K$38,"Re-susp.",'abrasion emissions'!$L$7:$L$38,"b")*POWER(('vehicles specifications'!$Q75/1000),(1/SUMIFS('abrasion emissions'!$M$7:$M$38,'abrasion emissions'!$I$7:$I$38,"PM 10",'abrasion emissions'!$K$7:$K$38,"Re-susp.",'abrasion emissions'!$L$7:$L$38,"c")))))/1000000</f>
        <v>3.8530531166838082E-6</v>
      </c>
      <c r="CU75" s="7">
        <f>((SUMIFS('abrasion emissions'!$M$7:$M$38,'abrasion emissions'!$I$7:$I$38,"PM 2.5",'abrasion emissions'!$K$7:$K$38,"Road",'abrasion emissions'!$L$7:$L$38,"b")*POWER(('vehicles specifications'!$Q75/1000),(1/SUMIFS('abrasion emissions'!$M$7:$M$38,'abrasion emissions'!$I$7:$I$38,"PM 2.5",'abrasion emissions'!$K$7:$K$38,"Road",'abrasion emissions'!$L$7:$L$38,"c"))))+
(SUMIFS('abrasion emissions'!$M$7:$M$38,'abrasion emissions'!$I$7:$I$38,"PM 10",'abrasion emissions'!$K$7:$K$38,"Road",'abrasion emissions'!$L$7:$L$38,"b")*POWER(('vehicles specifications'!$Q75/1000),(1/SUMIFS('abrasion emissions'!$M$7:$M$38,'abrasion emissions'!$I$7:$I$38,"PM 10",'abrasion emissions'!$K$7:$K$38,"Road",'abrasion emissions'!$L$7:$L$38,"c")))))/1000000+CT75</f>
        <v>7.3792374669921879E-6</v>
      </c>
      <c r="CV75" s="7">
        <f t="shared" si="79"/>
        <v>5.7314559618265601E-6</v>
      </c>
      <c r="CW75" s="7">
        <f t="shared" si="80"/>
        <v>4.0805259485091488E-6</v>
      </c>
    </row>
    <row r="76" spans="1:101" x14ac:dyDescent="0.2">
      <c r="A76" t="str">
        <f t="shared" si="1"/>
        <v>Scooter, gasoline, 4-11kW, EURO-5 - 2050 - CH</v>
      </c>
      <c r="B76" t="s">
        <v>347</v>
      </c>
      <c r="D76" s="18">
        <v>2050</v>
      </c>
      <c r="E76" t="s">
        <v>37</v>
      </c>
      <c r="F76" t="s">
        <v>141</v>
      </c>
      <c r="G76" t="s">
        <v>39</v>
      </c>
      <c r="H76" t="s">
        <v>35</v>
      </c>
      <c r="J76">
        <v>30000</v>
      </c>
      <c r="K76">
        <v>1870</v>
      </c>
      <c r="L76" s="2">
        <f t="shared" si="2"/>
        <v>16.042780748663102</v>
      </c>
      <c r="M76">
        <v>1</v>
      </c>
      <c r="N76">
        <v>75</v>
      </c>
      <c r="O76">
        <v>4</v>
      </c>
      <c r="P76" s="2">
        <f t="shared" si="64"/>
        <v>122.8625</v>
      </c>
      <c r="Q76" s="2">
        <f t="shared" si="3"/>
        <v>201.86250000000001</v>
      </c>
      <c r="R76">
        <v>8.8000000000000007</v>
      </c>
      <c r="S76" s="2">
        <v>70</v>
      </c>
      <c r="T76" s="1">
        <v>7.0000000000000007E-2</v>
      </c>
      <c r="U76" s="2">
        <f t="shared" si="4"/>
        <v>65.099999999999994</v>
      </c>
      <c r="V76">
        <v>50</v>
      </c>
      <c r="W76">
        <v>0</v>
      </c>
      <c r="X76" s="3">
        <v>0</v>
      </c>
      <c r="Y76" s="1">
        <v>0.8</v>
      </c>
      <c r="Z76" s="3">
        <f t="shared" si="5"/>
        <v>0</v>
      </c>
      <c r="AA76" s="3" t="str">
        <f>IF(I76&lt;&gt;"",X76/INDEX('energy battery'!$B$3:$D$6,MATCH('vehicles specifications'!$D76,'energy battery'!$A$3:$A$6,0),MATCH('vehicles specifications'!$I76,'energy battery'!$B$2:$D$2,0)),"")</f>
        <v/>
      </c>
      <c r="AB76" s="3" t="str">
        <f t="shared" si="6"/>
        <v/>
      </c>
      <c r="AC76" s="3" t="str">
        <f t="shared" si="7"/>
        <v/>
      </c>
      <c r="AD76" s="3">
        <v>0</v>
      </c>
      <c r="AE76" s="3">
        <v>9</v>
      </c>
      <c r="AF76">
        <f>AE76*'fuels and tailpipe emissions'!$B$3</f>
        <v>6.75</v>
      </c>
      <c r="AG76" s="2">
        <f>AF76*'fuels and tailpipe emissions'!$C$3</f>
        <v>79.875</v>
      </c>
      <c r="AH76" s="3">
        <f t="shared" si="66"/>
        <v>1.0125</v>
      </c>
      <c r="AI76">
        <v>0</v>
      </c>
      <c r="AJ76">
        <v>0</v>
      </c>
      <c r="AK76">
        <f t="shared" si="67"/>
        <v>1.2</v>
      </c>
      <c r="AL76">
        <f t="shared" si="65"/>
        <v>1.0840016250000001E-4</v>
      </c>
      <c r="AM76">
        <v>1.2899999999999999E-3</v>
      </c>
      <c r="AN76" s="2">
        <f t="shared" si="9"/>
        <v>65.099999999999994</v>
      </c>
      <c r="AO76" s="2">
        <f t="shared" si="10"/>
        <v>50</v>
      </c>
      <c r="AP76" s="2" t="str">
        <f t="shared" si="11"/>
        <v/>
      </c>
      <c r="AQ76" s="6">
        <v>1.0064006667583449</v>
      </c>
      <c r="AR76" s="20">
        <v>1.2E-2</v>
      </c>
      <c r="AS76" s="6" t="str">
        <f>IF($H76="BEV",SUMPRODUCT(#REF!,#REF!),"")</f>
        <v/>
      </c>
      <c r="AT76" s="2">
        <f t="shared" si="78"/>
        <v>285.72119385235459</v>
      </c>
      <c r="AU76" s="5">
        <f>IF($H76="ICEV-p",$AQ76/('fuels and tailpipe emissions'!$C$3*3.6)*'fuels and tailpipe emissions'!$D$3,"")*(1-AR76)</f>
        <v>7.3290537945956538E-2</v>
      </c>
      <c r="AV76" s="5">
        <f>IF($H76="ICEV-p",$AQ76/('fuels and tailpipe emissions'!$C$3*3.6)*'fuels and tailpipe emissions'!$D$3,"")*AR76</f>
        <v>8.9016847707639531E-4</v>
      </c>
      <c r="AW76" s="7">
        <f>IF($H76="ICEV-p",$AQ76/('fuels and tailpipe emissions'!$C$3*3.6)*'fuels and tailpipe emissions'!$E$3,"")</f>
        <v>3.7799086075430794E-7</v>
      </c>
      <c r="AX76" s="7">
        <f>SUMIFS('fuels and tailpipe emissions'!$D$10:$D$126,'fuels and tailpipe emissions'!$A$10:$A$126,'vehicles specifications'!$F76,'fuels and tailpipe emissions'!$B$10:$B$126,'vehicles specifications'!AX$2)/1000*$AQ76</f>
        <v>3.6314994658060673E-5</v>
      </c>
      <c r="AY76" s="7">
        <f>SUMIFS('fuels and tailpipe emissions'!$D$10:$D$126,'fuels and tailpipe emissions'!$A$10:$A$126,'vehicles specifications'!$F76,'fuels and tailpipe emissions'!$B$10:$B$126,'vehicles specifications'!AY$2)/1000*$AQ76</f>
        <v>2.7745972867750582E-5</v>
      </c>
      <c r="AZ76" s="7">
        <f>SUMIFS('fuels and tailpipe emissions'!$D$10:$D$126,'fuels and tailpipe emissions'!$A$10:$A$126,'vehicles specifications'!$F76,'fuels and tailpipe emissions'!$B$10:$B$126,'vehicles specifications'!AZ$2)/1000*$AQ76</f>
        <v>3.2505894932237786E-3</v>
      </c>
      <c r="BA76" s="7">
        <f>SUMIFS('fuels and tailpipe emissions'!$D$10:$D$126,'fuels and tailpipe emissions'!$A$10:$A$126,'vehicles specifications'!$F76,'fuels and tailpipe emissions'!$B$10:$B$126,'vehicles specifications'!BA$2)/1000*$AQ76</f>
        <v>1.4077104448376758E-6</v>
      </c>
      <c r="BB76" s="7">
        <f>SUMIFS('fuels and tailpipe emissions'!$D$10:$D$126,'fuels and tailpipe emissions'!$A$10:$A$126,'vehicles specifications'!$F76,'fuels and tailpipe emissions'!$B$10:$B$126,'vehicles specifications'!BB$2)/1000*$AQ76</f>
        <v>1.4077104448376758E-6</v>
      </c>
      <c r="BC76" s="7">
        <f>SUMIFS('fuels and tailpipe emissions'!$D$10:$D$126,'fuels and tailpipe emissions'!$A$10:$A$126,'vehicles specifications'!$F76,'fuels and tailpipe emissions'!$B$10:$B$126,'vehicles specifications'!BC$2)/1000*$AQ76</f>
        <v>1.0556520412800326E-4</v>
      </c>
      <c r="BD76" s="7">
        <f>SUMIFS('fuels and tailpipe emissions'!$D$10:$D$126,'fuels and tailpipe emissions'!$A$10:$A$126,'vehicles specifications'!$F76,'fuels and tailpipe emissions'!$B$10:$B$126,'vehicles specifications'!BD$2)/1000*$AQ76</f>
        <v>3.1574945277709067E-6</v>
      </c>
      <c r="BE76" s="7">
        <f>SUMIFS('fuels and tailpipe emissions'!$D$10:$D$126,'fuels and tailpipe emissions'!$A$10:$A$126,'vehicles specifications'!$F76,'fuels and tailpipe emissions'!$B$10:$B$126,'vehicles specifications'!BE$2)/1000*$AQ76</f>
        <v>2.9285033125323805E-4</v>
      </c>
      <c r="BF76" s="7">
        <f>SUMIFS('fuels and tailpipe emissions'!$D$10:$D$126,'fuels and tailpipe emissions'!$A$10:$A$126,'vehicles specifications'!$F76,'fuels and tailpipe emissions'!$B$10:$B$126,'vehicles specifications'!BF$2)/1000*$AQ76</f>
        <v>2.0649702844779598E-5</v>
      </c>
      <c r="BG76" s="7">
        <f>SUMIFS('fuels and tailpipe emissions'!$D$10:$D$126,'fuels and tailpipe emissions'!$A$10:$A$126,'vehicles specifications'!$F76,'fuels and tailpipe emissions'!$B$10:$B$126,'vehicles specifications'!BG$2)/1000*$AQ76</f>
        <v>4.2076197019143386E-6</v>
      </c>
      <c r="BH76" s="7">
        <f>SUMIFS('fuels and tailpipe emissions'!$D$10:$D$126,'fuels and tailpipe emissions'!$A$10:$A$126,'vehicles specifications'!$F76,'fuels and tailpipe emissions'!$B$10:$B$126,'vehicles specifications'!BH$2)/1000*$AQ76</f>
        <v>3.3919888058509439E-5</v>
      </c>
      <c r="BI76" s="7">
        <f>SUMIFS('fuels and tailpipe emissions'!$D$10:$D$126,'fuels and tailpipe emissions'!$A$10:$A$126,'vehicles specifications'!$F76,'fuels and tailpipe emissions'!$B$10:$B$126,'vehicles specifications'!BI$2)/1000*$AQ76</f>
        <v>1.3917511321716658E-5</v>
      </c>
      <c r="BJ76" s="7">
        <f>SUMIFS('fuels and tailpipe emissions'!$D$10:$D$126,'fuels and tailpipe emissions'!$A$10:$A$126,'vehicles specifications'!$F76,'fuels and tailpipe emissions'!$B$10:$B$126,'vehicles specifications'!BJ$2)/1000*$AQ76</f>
        <v>1.0421950338587823E-5</v>
      </c>
      <c r="BK76" s="7">
        <f>SUMIFS('fuels and tailpipe emissions'!$D$10:$D$126,'fuels and tailpipe emissions'!$A$10:$A$126,'vehicles specifications'!$F76,'fuels and tailpipe emissions'!$B$10:$B$126,'vehicles specifications'!BK$2)/1000*$AQ76</f>
        <v>7.3795176310497644E-6</v>
      </c>
      <c r="BL76" s="7">
        <f>SUMIFS('fuels and tailpipe emissions'!$D$10:$D$126,'fuels and tailpipe emissions'!$A$10:$A$126,'vehicles specifications'!$F76,'fuels and tailpipe emissions'!$B$10:$B$126,'vehicles specifications'!BL$2)/1000*$AQ76</f>
        <v>4.7902131991024787E-6</v>
      </c>
      <c r="BM76" s="7">
        <f>SUMIFS('fuels and tailpipe emissions'!$D$10:$D$126,'fuels and tailpipe emissions'!$A$10:$A$126,'vehicles specifications'!$F76,'fuels and tailpipe emissions'!$B$10:$B$126,'vehicles specifications'!BM$2)/1000*$AQ76</f>
        <v>4.725480588303796E-5</v>
      </c>
      <c r="BN76" s="7">
        <f>SUMIFS('fuels and tailpipe emissions'!$D$10:$D$126,'fuels and tailpipe emissions'!$A$10:$A$126,'vehicles specifications'!$F76,'fuels and tailpipe emissions'!$B$10:$B$126,'vehicles specifications'!BN$2)/1000*$AQ76</f>
        <v>2.4727857325096575E-5</v>
      </c>
      <c r="BO76" s="7">
        <f>SUMIFS('fuels and tailpipe emissions'!$D$10:$D$126,'fuels and tailpipe emissions'!$A$10:$A$126,'vehicles specifications'!$F76,'fuels and tailpipe emissions'!$B$10:$B$126,'vehicles specifications'!BO$2)/1000*$AQ76</f>
        <v>7.1205871878550351E-7</v>
      </c>
      <c r="BP76" s="7">
        <f>SUMIFS('fuels and tailpipe emissions'!$D$10:$D$126,'fuels and tailpipe emissions'!$A$10:$A$126,'vehicles specifications'!$F76,'fuels and tailpipe emissions'!$B$10:$B$126,'vehicles specifications'!BP$2)/1000*$AQ76</f>
        <v>3.6314994658060673E-5</v>
      </c>
      <c r="BQ76" s="7">
        <f>SUMIFS('fuels and tailpipe emissions'!$D$10:$D$126,'fuels and tailpipe emissions'!$A$10:$A$126,'vehicles specifications'!$F76,'fuels and tailpipe emissions'!$B$10:$B$126,'vehicles specifications'!BQ$2)/1000*$AQ76</f>
        <v>7.107640665695298E-5</v>
      </c>
      <c r="BR76" s="7">
        <f>SUMIFS('fuels and tailpipe emissions'!$D$10:$D$126,'fuels and tailpipe emissions'!$A$10:$A$126,'vehicles specifications'!$F76,'fuels and tailpipe emissions'!$B$10:$B$126,'vehicles specifications'!BR$2)/1000*$AQ76</f>
        <v>3.5149807663684405E-5</v>
      </c>
      <c r="BS76" s="7">
        <f>SUMIFS('fuels and tailpipe emissions'!$D$10:$D$126,'fuels and tailpipe emissions'!$A$10:$A$126,'vehicles specifications'!$F76,'fuels and tailpipe emissions'!$B$10:$B$126,'vehicles specifications'!BS$2)/1000*$AQ76</f>
        <v>1.4629570040502162E-5</v>
      </c>
      <c r="BT76" s="7">
        <f>SUMIFS('fuels and tailpipe emissions'!$D$10:$D$126,'fuels and tailpipe emissions'!$A$10:$A$126,'vehicles specifications'!$F76,'fuels and tailpipe emissions'!$B$10:$B$126,'vehicles specifications'!BT$2)/1000*$AQ76</f>
        <v>1.1004543835775963E-5</v>
      </c>
      <c r="BU76" s="7">
        <f>SUMIFS('fuels and tailpipe emissions'!$D$10:$D$126,'fuels and tailpipe emissions'!$A$10:$A$126,'vehicles specifications'!$F76,'fuels and tailpipe emissions'!$B$10:$B$126,'vehicles specifications'!BU$2)/1000*$AQ76</f>
        <v>4.8549458099011596E-6</v>
      </c>
      <c r="BV76" s="7">
        <f>SUMIFS('fuels and tailpipe emissions'!$D$10:$D$126,'fuels and tailpipe emissions'!$A$10:$A$126,'vehicles specifications'!$F76,'fuels and tailpipe emissions'!$B$10:$B$126,'vehicles specifications'!BV$2)/1000*$AQ76</f>
        <v>1.424117437571007E-6</v>
      </c>
      <c r="BW76" s="7">
        <f>SUMIFS('fuels and tailpipe emissions'!$D$10:$D$126,'fuels and tailpipe emissions'!$A$10:$A$126,'vehicles specifications'!$F76,'fuels and tailpipe emissions'!$B$10:$B$126,'vehicles specifications'!BW$2)/1000*$AQ76</f>
        <v>3.9486892587196102E-6</v>
      </c>
      <c r="BX76" s="7">
        <f>SUMIFS('fuels and tailpipe emissions'!$D$10:$D$126,'fuels and tailpipe emissions'!$A$10:$A$126,'vehicles specifications'!$F76,'fuels and tailpipe emissions'!$B$10:$B$126,'vehicles specifications'!BX$2)/1000*$AQ76</f>
        <v>0</v>
      </c>
      <c r="BY76" s="7">
        <f>SUMIFS('fuels and tailpipe emissions'!$D$10:$D$126,'fuels and tailpipe emissions'!$A$10:$A$126,'vehicles specifications'!$F76,'fuels and tailpipe emissions'!$B$10:$B$126,'vehicles specifications'!BY$2)/1000*$AQ76</f>
        <v>1.2299196051749605E-6</v>
      </c>
      <c r="BZ76" s="7">
        <f>SUMIFS('fuels and tailpipe emissions'!$D$10:$D$126,'fuels and tailpipe emissions'!$A$10:$A$126,'vehicles specifications'!$F76,'fuels and tailpipe emissions'!$B$10:$B$126,'vehicles specifications'!BZ$2)/1000*$AQ76</f>
        <v>6.5379936906668958E-6</v>
      </c>
      <c r="CA76" s="7">
        <f>SUMIFS('fuels and tailpipe emissions'!$D$10:$D$126,'fuels and tailpipe emissions'!$A$10:$A$126,'vehicles specifications'!$F76,'fuels and tailpipe emissions'!$B$10:$B$126,'vehicles specifications'!CA$2)/1000*$AQ76</f>
        <v>8.2406454595742137E-10</v>
      </c>
      <c r="CB76" s="7">
        <f>SUMIFS('fuels and tailpipe emissions'!$D$10:$D$126,'fuels and tailpipe emissions'!$A$10:$A$126,'vehicles specifications'!$F76,'fuels and tailpipe emissions'!$B$10:$B$126,'vehicles specifications'!CB$2)/1000*$AQ76</f>
        <v>7.1040047065294939E-12</v>
      </c>
      <c r="CC76" s="7">
        <f>SUMIFS('fuels and tailpipe emissions'!$D$10:$D$126,'fuels and tailpipe emissions'!$A$10:$A$126,'vehicles specifications'!$F76,'fuels and tailpipe emissions'!$B$10:$B$126,'vehicles specifications'!CC$2)/1000*$AQ76</f>
        <v>4.7360031376863295E-12</v>
      </c>
      <c r="CD76" s="7">
        <f>SUMIFS('fuels and tailpipe emissions'!$D$10:$D$126,'fuels and tailpipe emissions'!$A$10:$A$126,'vehicles specifications'!$F76,'fuels and tailpipe emissions'!$B$10:$B$126,'vehicles specifications'!CD$2)/1000*$AQ76</f>
        <v>5.114883388701236E-8</v>
      </c>
      <c r="CE76" s="7">
        <f>SUMIFS('fuels and tailpipe emissions'!$D$10:$D$126,'fuels and tailpipe emissions'!$A$10:$A$126,'vehicles specifications'!$F76,'fuels and tailpipe emissions'!$B$10:$B$126,'vehicles specifications'!CE$2)/1000*$AQ76</f>
        <v>9.9456065891412896E-10</v>
      </c>
      <c r="CF76" s="7">
        <f>SUMIFS('fuels and tailpipe emissions'!$D$10:$D$126,'fuels and tailpipe emissions'!$A$10:$A$126,'vehicles specifications'!$F76,'fuels and tailpipe emissions'!$B$10:$B$126,'vehicles specifications'!CF$2)/1000*$AQ76</f>
        <v>3.078402039496114E-10</v>
      </c>
      <c r="CG76" s="7">
        <f>SUMIFS('fuels and tailpipe emissions'!$D$10:$D$126,'fuels and tailpipe emissions'!$A$10:$A$126,'vehicles specifications'!$F76,'fuels and tailpipe emissions'!$B$10:$B$126,'vehicles specifications'!CG$2)/1000*$AQ76</f>
        <v>3.7888025101490637E-10</v>
      </c>
      <c r="CH76" s="7">
        <f>SUMIFS('fuels and tailpipe emissions'!$D$10:$D$126,'fuels and tailpipe emissions'!$A$10:$A$126,'vehicles specifications'!$F76,'fuels and tailpipe emissions'!$B$10:$B$126,'vehicles specifications'!CH$2)/1000*$AQ76</f>
        <v>7.5776050202981265E-13</v>
      </c>
      <c r="CI76" s="7">
        <f>SUMIFS('fuels and tailpipe emissions'!$D$10:$D$126,'fuels and tailpipe emissions'!$A$10:$A$126,'vehicles specifications'!$F76,'fuels and tailpipe emissions'!$B$10:$B$126,'vehicles specifications'!CI$2)/1000*$AQ76</f>
        <v>2.0601613648935534E-10</v>
      </c>
      <c r="CJ76" s="7">
        <f>SUMIFS('fuels and tailpipe emissions'!$D$10:$D$126,'fuels and tailpipe emissions'!$A$10:$A$126,'vehicles specifications'!$F76,'fuels and tailpipe emissions'!$B$10:$B$126,'vehicles specifications'!CJ$2)/1000*$AQ76</f>
        <v>2.5574416943506186E-10</v>
      </c>
      <c r="CK76" s="38">
        <f>VLOOKUP($B76,'abrasion emissions'!$O$7:$R$36,2,FALSE)</f>
        <v>0.5</v>
      </c>
      <c r="CL76" s="38">
        <f>VLOOKUP($B76,'abrasion emissions'!$O$7:$R$36,3,FALSE)</f>
        <v>0.5</v>
      </c>
      <c r="CM76" s="38">
        <f>VLOOKUP($B76,'abrasion emissions'!$O$7:$R$36,4,FALSE)</f>
        <v>0</v>
      </c>
      <c r="CN76" s="7">
        <f>((SUMIFS('abrasion emissions'!$M$7:$M$34,'abrasion emissions'!$I$7:$I$34,"PM 2.5",'abrasion emissions'!$J$7:$J$34,"urban",'abrasion emissions'!$K$7:$K$34,"Tyre",'abrasion emissions'!$L$7:$L$34,"b")*POWER(('vehicles specifications'!$Q76/1000),(1/SUMIFS('abrasion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specifications'!$P76/1000),(1/SUMIFS('abrasion emissions'!$M$7:$M$34,'abrasion emissions'!$I$7:$I$34,"PM 10",'abrasion emissions'!$J$7:$J$34,"urban",'abrasion emissions'!$K$7:$K$34,"Tyre",'abrasion emissions'!$L$7:$L$34,"c")))))/1000000</f>
        <v>6.4203412611969028E-6</v>
      </c>
      <c r="CO76" s="7">
        <f>((SUMIFS('abrasion emissions'!$M$7:$M$34,'abrasion emissions'!$I$7:$I$34,"PM 2.5",'abrasion emissions'!$J$7:$J$34,"rural",'abrasion emissions'!$K$7:$K$34,"Tyre",'abrasion emissions'!$L$7:$L$34,"b")*POWER(('vehicles specifications'!$Q76/1000),(1/SUMIFS('abrasion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specifications'!$P76/1000),(1/SUMIFS('abrasion emissions'!$M$7:$M$34,'abrasion emissions'!$I$7:$I$34,"PM 10",'abrasion emissions'!$J$7:$J$34,"rural",'abrasion emissions'!$K$7:$K$34,"Tyre",'abrasion emissions'!$L$7:$L$34,"c")))))/1000000</f>
        <v>5.0002159366220172E-6</v>
      </c>
      <c r="CP76" s="7">
        <f>((SUMIFS('abrasion emissions'!$M$7:$M$34,'abrasion emissions'!$I$7:$I$34,"PM 2.5",'abrasion emissions'!$J$7:$J$34,"motorway",'abrasion emissions'!$K$7:$K$34,"Tyre",'abrasion emissions'!$L$7:$L$34,"b")*POWER(('vehicles specifications'!$Q76/1000),(1/SUMIFS('abrasion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specifications'!$P76/1000),(1/SUMIFS('abrasion emissions'!$M$7:$M$34,'abrasion emissions'!$I$7:$I$34,"PM 10",'abrasion emissions'!$J$7:$J$34,"motorway",'abrasion emissions'!$K$7:$K$34,"Tyre",'abrasion emissions'!$L$7:$L$34,"c")))))/1000000</f>
        <v>4.2700593217528354E-6</v>
      </c>
      <c r="CQ76" s="7">
        <f>((SUMIFS('abrasion emissions'!$M$7:$M$34,'abrasion emissions'!$I$7:$I$34,"PM 2.5",'abrasion emissions'!$J$7:$J$34,"urban",'abrasion emissions'!$K$7:$K$34,"Brake",'abrasion emissions'!$L$7:$L$34,"b")*POWER(('vehicles specifications'!$Q76/1000),(1/SUMIFS('abrasion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specifications'!$P76/1000),(1/SUMIFS('abrasion emissions'!$M$7:$M$34,'abrasion emissions'!$I$7:$I$34,"PM 10",'abrasion emissions'!$J$7:$J$34,"urban",'abrasion emissions'!$K$7:$K$34,"Brake",'abrasion emissions'!$L$7:$L$34,"c")))))/1000000</f>
        <v>6.1315534947624727E-6</v>
      </c>
      <c r="CR76" s="7">
        <f>((SUMIFS('abrasion emissions'!$M$7:$M$34,'abrasion emissions'!$I$7:$I$34,"PM 2.5",'abrasion emissions'!$J$7:$J$34,"rural",'abrasion emissions'!$K$7:$K$34,"Brake",'abrasion emissions'!$L$7:$L$34,"b")*POWER(('vehicles specifications'!$Q76/1000),(1/SUMIFS('abrasion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specifications'!$P76/1000),(1/SUMIFS('abrasion emissions'!$M$7:$M$34,'abrasion emissions'!$I$7:$I$34,"PM 10",'abrasion emissions'!$J$7:$J$34,"rural",'abrasion emissions'!$K$7:$K$34,"Brake",'abrasion emissions'!$L$7:$L$34,"c")))))/1000000</f>
        <v>1.9933733415542221E-6</v>
      </c>
      <c r="CS76" s="7">
        <f>((SUMIFS('abrasion emissions'!$M$7:$M$34,'abrasion emissions'!$I$7:$I$34,"PM 2.5",'abrasion emissions'!$J$7:$J$34,"motorway",'abrasion emissions'!$K$7:$K$34,"Brake",'abrasion emissions'!$L$7:$L$34,"b")*POWER(('vehicles specifications'!$Q76/1000),(1/SUMIFS('abrasion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specifications'!$P76/1000),(1/SUMIFS('abrasion emissions'!$M$7:$M$34,'abrasion emissions'!$I$7:$I$34,"PM 10",'abrasion emissions'!$J$7:$J$34,"motorway",'abrasion emissions'!$K$7:$K$34,"Brake",'abrasion emissions'!$L$7:$L$34,"c")))))/1000000</f>
        <v>3.7175842096053772E-7</v>
      </c>
      <c r="CT76" s="7">
        <f>((SUMIFS('abrasion emissions'!$M$7:$M$38,'abrasion emissions'!$I$7:$I$38,"PM 2.5",'abrasion emissions'!$K$7:$K$38,"Re-susp.",'abrasion emissions'!$L$7:$L$38,"b")*POWER(('vehicles specifications'!$Q76/1000),(1/SUMIFS('abrasion emissions'!$M$7:$M$38,'abrasion emissions'!$I$7:$I$38,"PM 2.5",'abrasion emissions'!$K$7:$K$38,"Re-susp.",'abrasion emissions'!$L$7:$L$38,"c"))))+
(SUMIFS('abrasion emissions'!$M$7:$M$38,'abrasion emissions'!$I$7:$I$38,"PM 10",'abrasion emissions'!$K$7:$K$38,"Re-susp.",'abrasion emissions'!$L$7:$L$38,"b")*POWER(('vehicles specifications'!$Q76/1000),(1/SUMIFS('abrasion emissions'!$M$7:$M$38,'abrasion emissions'!$I$7:$I$38,"PM 10",'abrasion emissions'!$K$7:$K$38,"Re-susp.",'abrasion emissions'!$L$7:$L$38,"c")))))/1000000</f>
        <v>3.8289196689153695E-6</v>
      </c>
      <c r="CU76" s="7">
        <f>((SUMIFS('abrasion emissions'!$M$7:$M$38,'abrasion emissions'!$I$7:$I$38,"PM 2.5",'abrasion emissions'!$K$7:$K$38,"Road",'abrasion emissions'!$L$7:$L$38,"b")*POWER(('vehicles specifications'!$Q76/1000),(1/SUMIFS('abrasion emissions'!$M$7:$M$38,'abrasion emissions'!$I$7:$I$38,"PM 2.5",'abrasion emissions'!$K$7:$K$38,"Road",'abrasion emissions'!$L$7:$L$38,"c"))))+
(SUMIFS('abrasion emissions'!$M$7:$M$38,'abrasion emissions'!$I$7:$I$38,"PM 10",'abrasion emissions'!$K$7:$K$38,"Road",'abrasion emissions'!$L$7:$L$38,"b")*POWER(('vehicles specifications'!$Q76/1000),(1/SUMIFS('abrasion emissions'!$M$7:$M$38,'abrasion emissions'!$I$7:$I$38,"PM 10",'abrasion emissions'!$K$7:$K$38,"Road",'abrasion emissions'!$L$7:$L$38,"c")))))/1000000+CT76</f>
        <v>7.3388939706420807E-6</v>
      </c>
      <c r="CV76" s="7">
        <f t="shared" si="79"/>
        <v>5.71027859890946E-6</v>
      </c>
      <c r="CW76" s="7">
        <f t="shared" si="80"/>
        <v>4.0624634181583474E-6</v>
      </c>
    </row>
    <row r="77" spans="1:101" x14ac:dyDescent="0.2">
      <c r="A77" t="str">
        <f t="shared" si="1"/>
        <v>Scooter, electric, &lt;4kW - 2020 - NMC - CH</v>
      </c>
      <c r="B77" t="s">
        <v>383</v>
      </c>
      <c r="D77" s="18">
        <v>2020</v>
      </c>
      <c r="E77" t="s">
        <v>37</v>
      </c>
      <c r="F77" t="s">
        <v>138</v>
      </c>
      <c r="G77" t="s">
        <v>39</v>
      </c>
      <c r="H77" t="s">
        <v>32</v>
      </c>
      <c r="I77" t="s">
        <v>43</v>
      </c>
      <c r="J77">
        <v>25000</v>
      </c>
      <c r="K77">
        <v>1570</v>
      </c>
      <c r="L77" s="2">
        <f>J77/K77</f>
        <v>15.923566878980891</v>
      </c>
      <c r="M77">
        <v>1</v>
      </c>
      <c r="N77">
        <v>75</v>
      </c>
      <c r="O77">
        <v>4</v>
      </c>
      <c r="P77" s="2">
        <f>SUM(U77,V77,W77,AC77,AF77,AH77)</f>
        <v>100.95</v>
      </c>
      <c r="Q77" s="2">
        <f>P77+(M77*N77)+O77</f>
        <v>179.95</v>
      </c>
      <c r="R77">
        <v>2.6</v>
      </c>
      <c r="S77" s="2">
        <v>73</v>
      </c>
      <c r="T77" s="1">
        <v>0</v>
      </c>
      <c r="U77" s="2">
        <f>S77*(1-T77)</f>
        <v>73</v>
      </c>
      <c r="V77">
        <v>5</v>
      </c>
      <c r="W77">
        <v>8</v>
      </c>
      <c r="X77" s="3">
        <v>2.2999999999999998</v>
      </c>
      <c r="Y77" s="1">
        <v>0.8</v>
      </c>
      <c r="Z77" s="3">
        <f>Y77*X77</f>
        <v>1.8399999999999999</v>
      </c>
      <c r="AA77" s="3">
        <f>IF(I77&lt;&gt;"",X77/INDEX('energy battery'!$B$3:$D$6,MATCH('vehicles specifications'!$D77,'energy battery'!$A$3:$A$6,0),MATCH('vehicles specifications'!$I77,'energy battery'!$B$2:$D$2,0)),"")</f>
        <v>11.499999999999998</v>
      </c>
      <c r="AB77" s="3">
        <f t="shared" si="6"/>
        <v>3.4499999999999993</v>
      </c>
      <c r="AC77" s="3">
        <f t="shared" si="7"/>
        <v>14.949999999999998</v>
      </c>
      <c r="AD77" s="3">
        <v>1</v>
      </c>
      <c r="AE77" s="3">
        <v>0</v>
      </c>
      <c r="AF77">
        <f>AE77*'fuels and tailpipe emissions'!$B$3</f>
        <v>0</v>
      </c>
      <c r="AG77">
        <v>0</v>
      </c>
      <c r="AH77" s="3">
        <v>0</v>
      </c>
      <c r="AI77" s="3">
        <v>3</v>
      </c>
      <c r="AJ77" s="3">
        <v>1</v>
      </c>
      <c r="AK77">
        <f t="shared" si="67"/>
        <v>1</v>
      </c>
      <c r="AL77">
        <f>0.000537/1000*Q77</f>
        <v>9.6633149999999991E-5</v>
      </c>
      <c r="AM77">
        <v>1.2899999999999999E-3</v>
      </c>
      <c r="AN77" s="2">
        <f>U77</f>
        <v>73</v>
      </c>
      <c r="AO77" s="2">
        <f>SUM(V77:W77)</f>
        <v>13</v>
      </c>
      <c r="AP77" s="2">
        <f>AC77</f>
        <v>14.949999999999998</v>
      </c>
      <c r="AQ77" s="6" t="s">
        <v>85</v>
      </c>
      <c r="AR77" s="20"/>
      <c r="AS77" s="5">
        <v>0.13343610710814707</v>
      </c>
      <c r="AT77" s="2">
        <f t="shared" si="78"/>
        <v>49.641735985533444</v>
      </c>
      <c r="AU77" s="5">
        <v>0</v>
      </c>
      <c r="AV77" s="5">
        <v>0</v>
      </c>
      <c r="AW77" s="7">
        <v>0</v>
      </c>
      <c r="AX77" s="7">
        <v>0</v>
      </c>
      <c r="AY77" s="7">
        <v>0</v>
      </c>
      <c r="AZ77" s="7">
        <v>0</v>
      </c>
      <c r="BA77" s="7">
        <v>0</v>
      </c>
      <c r="BB77" s="7">
        <v>0</v>
      </c>
      <c r="BC77" s="7">
        <v>0</v>
      </c>
      <c r="BD77" s="7">
        <v>0</v>
      </c>
      <c r="BE77" s="7">
        <v>0</v>
      </c>
      <c r="BF77" s="7">
        <v>0</v>
      </c>
      <c r="BG77" s="7">
        <v>0</v>
      </c>
      <c r="BH77" s="7">
        <v>0</v>
      </c>
      <c r="BI77" s="7">
        <v>0</v>
      </c>
      <c r="BJ77" s="7">
        <v>0</v>
      </c>
      <c r="BK77" s="7">
        <v>0</v>
      </c>
      <c r="BL77" s="7">
        <v>0</v>
      </c>
      <c r="BM77" s="7">
        <v>0</v>
      </c>
      <c r="BN77" s="7">
        <v>0</v>
      </c>
      <c r="BO77" s="7">
        <v>0</v>
      </c>
      <c r="BP77" s="7">
        <v>0</v>
      </c>
      <c r="BQ77" s="7">
        <v>0</v>
      </c>
      <c r="BR77" s="7">
        <v>0</v>
      </c>
      <c r="BS77" s="7">
        <v>0</v>
      </c>
      <c r="BT77" s="7">
        <v>0</v>
      </c>
      <c r="BU77" s="7">
        <v>0</v>
      </c>
      <c r="BV77" s="7">
        <v>0</v>
      </c>
      <c r="BW77" s="7">
        <v>0</v>
      </c>
      <c r="BX77" s="7">
        <v>0</v>
      </c>
      <c r="BY77" s="7">
        <v>0</v>
      </c>
      <c r="BZ77" s="7">
        <v>0</v>
      </c>
      <c r="CA77" s="7">
        <v>0</v>
      </c>
      <c r="CB77" s="7">
        <v>0</v>
      </c>
      <c r="CC77" s="7">
        <v>0</v>
      </c>
      <c r="CD77" s="7">
        <v>0</v>
      </c>
      <c r="CE77" s="7">
        <v>0</v>
      </c>
      <c r="CF77" s="7">
        <v>0</v>
      </c>
      <c r="CG77" s="7">
        <v>0</v>
      </c>
      <c r="CH77" s="7">
        <v>0</v>
      </c>
      <c r="CI77" s="7">
        <v>0</v>
      </c>
      <c r="CJ77" s="7">
        <v>0</v>
      </c>
      <c r="CK77" s="38">
        <f>VLOOKUP($B77,'abrasion emissions'!$O$7:$R$36,2,FALSE)</f>
        <v>0.5</v>
      </c>
      <c r="CL77" s="38">
        <f>VLOOKUP($B77,'abrasion emissions'!$O$7:$R$36,3,FALSE)</f>
        <v>0.5</v>
      </c>
      <c r="CM77" s="38">
        <f>VLOOKUP($B77,'abrasion emissions'!$O$7:$R$36,4,FALSE)</f>
        <v>0</v>
      </c>
      <c r="CN77" s="7">
        <f>((SUMIFS('abrasion emissions'!$M$7:$M$34,'abrasion emissions'!$I$7:$I$34,"PM 2.5",'abrasion emissions'!$J$7:$J$34,"urban",'abrasion emissions'!$K$7:$K$34,"Tyre",'abrasion emissions'!$L$7:$L$34,"b")*POWER(('vehicles specifications'!$Q77/1000),(1/SUMIFS('abrasion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specifications'!$P77/1000),(1/SUMIFS('abrasion emissions'!$M$7:$M$34,'abrasion emissions'!$I$7:$I$34,"PM 10",'abrasion emissions'!$J$7:$J$34,"urban",'abrasion emissions'!$K$7:$K$34,"Tyre",'abrasion emissions'!$L$7:$L$34,"c")))))/1000000</f>
        <v>6.0302379501077978E-6</v>
      </c>
      <c r="CO77" s="7">
        <f>((SUMIFS('abrasion emissions'!$M$7:$M$34,'abrasion emissions'!$I$7:$I$34,"PM 2.5",'abrasion emissions'!$J$7:$J$34,"rural",'abrasion emissions'!$K$7:$K$34,"Tyre",'abrasion emissions'!$L$7:$L$34,"b")*POWER(('vehicles specifications'!$Q77/1000),(1/SUMIFS('abrasion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specifications'!$P77/1000),(1/SUMIFS('abrasion emissions'!$M$7:$M$34,'abrasion emissions'!$I$7:$I$34,"PM 10",'abrasion emissions'!$J$7:$J$34,"rural",'abrasion emissions'!$K$7:$K$34,"Tyre",'abrasion emissions'!$L$7:$L$34,"c")))))/1000000</f>
        <v>4.6966277189186894E-6</v>
      </c>
      <c r="CP77" s="7">
        <f>((SUMIFS('abrasion emissions'!$M$7:$M$34,'abrasion emissions'!$I$7:$I$34,"PM 2.5",'abrasion emissions'!$J$7:$J$34,"motorway",'abrasion emissions'!$K$7:$K$34,"Tyre",'abrasion emissions'!$L$7:$L$34,"b")*POWER(('vehicles specifications'!$Q77/1000),(1/SUMIFS('abrasion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specifications'!$P77/1000),(1/SUMIFS('abrasion emissions'!$M$7:$M$34,'abrasion emissions'!$I$7:$I$34,"PM 10",'abrasion emissions'!$J$7:$J$34,"motorway",'abrasion emissions'!$K$7:$K$34,"Tyre",'abrasion emissions'!$L$7:$L$34,"c")))))/1000000</f>
        <v>4.0113736066067123E-6</v>
      </c>
      <c r="CQ77" s="7">
        <f>((SUMIFS('abrasion emissions'!$M$7:$M$34,'abrasion emissions'!$I$7:$I$34,"PM 2.5",'abrasion emissions'!$J$7:$J$34,"urban",'abrasion emissions'!$K$7:$K$34,"Brake",'abrasion emissions'!$L$7:$L$34,"b")*POWER(('vehicles specifications'!$Q77/1000),(1/SUMIFS('abrasion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specifications'!$P77/1000),(1/SUMIFS('abrasion emissions'!$M$7:$M$34,'abrasion emissions'!$I$7:$I$34,"PM 10",'abrasion emissions'!$J$7:$J$34,"urban",'abrasion emissions'!$K$7:$K$34,"Brake",'abrasion emissions'!$L$7:$L$34,"c")))))/1000000</f>
        <v>5.7166375622164958E-6</v>
      </c>
      <c r="CR77" s="7">
        <f>((SUMIFS('abrasion emissions'!$M$7:$M$34,'abrasion emissions'!$I$7:$I$34,"PM 2.5",'abrasion emissions'!$J$7:$J$34,"rural",'abrasion emissions'!$K$7:$K$34,"Brake",'abrasion emissions'!$L$7:$L$34,"b")*POWER(('vehicles specifications'!$Q77/1000),(1/SUMIFS('abrasion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specifications'!$P77/1000),(1/SUMIFS('abrasion emissions'!$M$7:$M$34,'abrasion emissions'!$I$7:$I$34,"PM 10",'abrasion emissions'!$J$7:$J$34,"rural",'abrasion emissions'!$K$7:$K$34,"Brake",'abrasion emissions'!$L$7:$L$34,"c")))))/1000000</f>
        <v>1.8245738187799504E-6</v>
      </c>
      <c r="CS77" s="7">
        <f>((SUMIFS('abrasion emissions'!$M$7:$M$34,'abrasion emissions'!$I$7:$I$34,"PM 2.5",'abrasion emissions'!$J$7:$J$34,"motorway",'abrasion emissions'!$K$7:$K$34,"Brake",'abrasion emissions'!$L$7:$L$34,"b")*POWER(('vehicles specifications'!$Q77/1000),(1/SUMIFS('abrasion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specifications'!$P77/1000),(1/SUMIFS('abrasion emissions'!$M$7:$M$34,'abrasion emissions'!$I$7:$I$34,"PM 10",'abrasion emissions'!$J$7:$J$34,"motorway",'abrasion emissions'!$K$7:$K$34,"Brake",'abrasion emissions'!$L$7:$L$34,"c")))))/1000000</f>
        <v>3.3587210865745027E-7</v>
      </c>
      <c r="CT77" s="7">
        <f>((SUMIFS('abrasion emissions'!$M$7:$M$38,'abrasion emissions'!$I$7:$I$38,"PM 2.5",'abrasion emissions'!$K$7:$K$38,"Re-susp.",'abrasion emissions'!$L$7:$L$38,"b")*POWER(('vehicles specifications'!$Q77/1000),(1/SUMIFS('abrasion emissions'!$M$7:$M$38,'abrasion emissions'!$I$7:$I$38,"PM 2.5",'abrasion emissions'!$K$7:$K$38,"Re-susp.",'abrasion emissions'!$L$7:$L$38,"c"))))+
(SUMIFS('abrasion emissions'!$M$7:$M$38,'abrasion emissions'!$I$7:$I$38,"PM 10",'abrasion emissions'!$K$7:$K$38,"Re-susp.",'abrasion emissions'!$L$7:$L$38,"b")*POWER(('vehicles specifications'!$Q77/1000),(1/SUMIFS('abrasion emissions'!$M$7:$M$38,'abrasion emissions'!$I$7:$I$38,"PM 10",'abrasion emissions'!$K$7:$K$38,"Re-susp.",'abrasion emissions'!$L$7:$L$38,"c")))))/1000000</f>
        <v>3.4491268518680117E-6</v>
      </c>
      <c r="CU77" s="7">
        <f>((SUMIFS('abrasion emissions'!$M$7:$M$38,'abrasion emissions'!$I$7:$I$38,"PM 2.5",'abrasion emissions'!$K$7:$K$38,"Road",'abrasion emissions'!$L$7:$L$38,"b")*POWER(('vehicles specifications'!$Q77/1000),(1/SUMIFS('abrasion emissions'!$M$7:$M$38,'abrasion emissions'!$I$7:$I$38,"PM 2.5",'abrasion emissions'!$K$7:$K$38,"Road",'abrasion emissions'!$L$7:$L$38,"c"))))+
(SUMIFS('abrasion emissions'!$M$7:$M$38,'abrasion emissions'!$I$7:$I$38,"PM 10",'abrasion emissions'!$K$7:$K$38,"Road",'abrasion emissions'!$L$7:$L$38,"b")*POWER(('vehicles specifications'!$Q77/1000),(1/SUMIFS('abrasion emissions'!$M$7:$M$38,'abrasion emissions'!$I$7:$I$38,"PM 10",'abrasion emissions'!$K$7:$K$38,"Road",'abrasion emissions'!$L$7:$L$38,"c")))))/1000000+CT77</f>
        <v>6.7002598724957677E-6</v>
      </c>
      <c r="CV77" s="7">
        <f t="shared" si="79"/>
        <v>5.363432834513244E-6</v>
      </c>
      <c r="CW77" s="7">
        <f t="shared" si="80"/>
        <v>3.7706056904982231E-6</v>
      </c>
    </row>
    <row r="78" spans="1:101" x14ac:dyDescent="0.2">
      <c r="A78" t="str">
        <f t="shared" si="1"/>
        <v>Scooter, electric, &lt;4kW - 2030 - NMC - CH</v>
      </c>
      <c r="B78" t="s">
        <v>383</v>
      </c>
      <c r="D78" s="18">
        <v>2030</v>
      </c>
      <c r="E78" t="s">
        <v>37</v>
      </c>
      <c r="F78" t="s">
        <v>138</v>
      </c>
      <c r="G78" t="s">
        <v>39</v>
      </c>
      <c r="H78" t="s">
        <v>32</v>
      </c>
      <c r="I78" t="s">
        <v>43</v>
      </c>
      <c r="J78">
        <v>25000</v>
      </c>
      <c r="K78">
        <v>1570</v>
      </c>
      <c r="L78" s="2">
        <f>J78/K78</f>
        <v>15.923566878980891</v>
      </c>
      <c r="M78">
        <v>1</v>
      </c>
      <c r="N78">
        <v>75</v>
      </c>
      <c r="O78">
        <v>4</v>
      </c>
      <c r="P78" s="2">
        <f>SUM(U78,V78,W78,AC78,AF78,AH78)</f>
        <v>101.14333333333335</v>
      </c>
      <c r="Q78" s="2">
        <f>P78+(M78*N78)+O78</f>
        <v>180.14333333333335</v>
      </c>
      <c r="R78">
        <v>2.6</v>
      </c>
      <c r="S78" s="2">
        <v>73</v>
      </c>
      <c r="T78" s="1">
        <v>0.03</v>
      </c>
      <c r="U78" s="2">
        <f>S78*(1-T78)</f>
        <v>70.81</v>
      </c>
      <c r="V78">
        <v>5</v>
      </c>
      <c r="W78">
        <v>8</v>
      </c>
      <c r="X78" s="3">
        <v>4</v>
      </c>
      <c r="Y78" s="1">
        <v>0.8</v>
      </c>
      <c r="Z78" s="3">
        <f>Y78*X78</f>
        <v>3.2</v>
      </c>
      <c r="AA78" s="3">
        <f>IF(I78&lt;&gt;"",X78/INDEX('energy battery'!$B$3:$D$6,MATCH('vehicles specifications'!$D78,'energy battery'!$A$3:$A$6,0),MATCH('vehicles specifications'!$I78,'energy battery'!$B$2:$D$2,0)),"")</f>
        <v>13.333333333333334</v>
      </c>
      <c r="AB78" s="3">
        <f t="shared" si="6"/>
        <v>4</v>
      </c>
      <c r="AC78" s="3">
        <f t="shared" si="7"/>
        <v>17.333333333333336</v>
      </c>
      <c r="AD78" s="3">
        <v>0.5</v>
      </c>
      <c r="AE78" s="3">
        <v>0</v>
      </c>
      <c r="AF78">
        <f>AE78*'fuels and tailpipe emissions'!$B$3</f>
        <v>0</v>
      </c>
      <c r="AG78">
        <v>0</v>
      </c>
      <c r="AH78" s="3">
        <v>0</v>
      </c>
      <c r="AI78" s="3">
        <v>3</v>
      </c>
      <c r="AJ78" s="3">
        <v>1</v>
      </c>
      <c r="AK78">
        <f t="shared" si="67"/>
        <v>1</v>
      </c>
      <c r="AL78">
        <f>0.000537/1000*Q78</f>
        <v>9.6736970000000004E-5</v>
      </c>
      <c r="AM78">
        <v>1.2899999999999999E-3</v>
      </c>
      <c r="AN78" s="2">
        <f>U78</f>
        <v>70.81</v>
      </c>
      <c r="AO78" s="2">
        <f>SUM(V78:W78)</f>
        <v>13</v>
      </c>
      <c r="AP78" s="2">
        <f>AC78</f>
        <v>17.333333333333336</v>
      </c>
      <c r="AQ78" s="6" t="s">
        <v>85</v>
      </c>
      <c r="AR78" s="20"/>
      <c r="AS78" s="5">
        <v>0.13343610710814707</v>
      </c>
      <c r="AT78" s="2">
        <f t="shared" si="78"/>
        <v>86.333453887884261</v>
      </c>
      <c r="AU78" s="5">
        <v>0</v>
      </c>
      <c r="AV78" s="5">
        <v>0</v>
      </c>
      <c r="AW78" s="7">
        <v>0</v>
      </c>
      <c r="AX78" s="7">
        <v>0</v>
      </c>
      <c r="AY78" s="7">
        <v>0</v>
      </c>
      <c r="AZ78" s="7">
        <v>0</v>
      </c>
      <c r="BA78" s="7">
        <v>0</v>
      </c>
      <c r="BB78" s="7">
        <v>0</v>
      </c>
      <c r="BC78" s="7">
        <v>0</v>
      </c>
      <c r="BD78" s="7">
        <v>0</v>
      </c>
      <c r="BE78" s="7">
        <v>0</v>
      </c>
      <c r="BF78" s="7">
        <v>0</v>
      </c>
      <c r="BG78" s="7">
        <v>0</v>
      </c>
      <c r="BH78" s="7">
        <v>0</v>
      </c>
      <c r="BI78" s="7">
        <v>0</v>
      </c>
      <c r="BJ78" s="7">
        <v>0</v>
      </c>
      <c r="BK78" s="7">
        <v>0</v>
      </c>
      <c r="BL78" s="7">
        <v>0</v>
      </c>
      <c r="BM78" s="7">
        <v>0</v>
      </c>
      <c r="BN78" s="7">
        <v>0</v>
      </c>
      <c r="BO78" s="7">
        <v>0</v>
      </c>
      <c r="BP78" s="7">
        <v>0</v>
      </c>
      <c r="BQ78" s="7">
        <v>0</v>
      </c>
      <c r="BR78" s="7">
        <v>0</v>
      </c>
      <c r="BS78" s="7">
        <v>0</v>
      </c>
      <c r="BT78" s="7">
        <v>0</v>
      </c>
      <c r="BU78" s="7">
        <v>0</v>
      </c>
      <c r="BV78" s="7">
        <v>0</v>
      </c>
      <c r="BW78" s="7">
        <v>0</v>
      </c>
      <c r="BX78" s="7">
        <v>0</v>
      </c>
      <c r="BY78" s="7">
        <v>0</v>
      </c>
      <c r="BZ78" s="7">
        <v>0</v>
      </c>
      <c r="CA78" s="7">
        <v>0</v>
      </c>
      <c r="CB78" s="7">
        <v>0</v>
      </c>
      <c r="CC78" s="7">
        <v>0</v>
      </c>
      <c r="CD78" s="7">
        <v>0</v>
      </c>
      <c r="CE78" s="7">
        <v>0</v>
      </c>
      <c r="CF78" s="7">
        <v>0</v>
      </c>
      <c r="CG78" s="7">
        <v>0</v>
      </c>
      <c r="CH78" s="7">
        <v>0</v>
      </c>
      <c r="CI78" s="7">
        <v>0</v>
      </c>
      <c r="CJ78" s="7">
        <v>0</v>
      </c>
      <c r="CK78" s="38">
        <f>VLOOKUP($B78,'abrasion emissions'!$O$7:$R$36,2,FALSE)</f>
        <v>0.5</v>
      </c>
      <c r="CL78" s="38">
        <f>VLOOKUP($B78,'abrasion emissions'!$O$7:$R$36,3,FALSE)</f>
        <v>0.5</v>
      </c>
      <c r="CM78" s="38">
        <f>VLOOKUP($B78,'abrasion emissions'!$O$7:$R$36,4,FALSE)</f>
        <v>0</v>
      </c>
      <c r="CN78" s="7">
        <f>((SUMIFS('abrasion emissions'!$M$7:$M$34,'abrasion emissions'!$I$7:$I$34,"PM 2.5",'abrasion emissions'!$J$7:$J$34,"urban",'abrasion emissions'!$K$7:$K$34,"Tyre",'abrasion emissions'!$L$7:$L$34,"b")*POWER(('vehicles specifications'!$Q78/1000),(1/SUMIFS('abrasion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specifications'!$P78/1000),(1/SUMIFS('abrasion emissions'!$M$7:$M$34,'abrasion emissions'!$I$7:$I$34,"PM 10",'abrasion emissions'!$J$7:$J$34,"urban",'abrasion emissions'!$K$7:$K$34,"Tyre",'abrasion emissions'!$L$7:$L$34,"c")))))/1000000</f>
        <v>6.0338355801970296E-6</v>
      </c>
      <c r="CO78" s="7">
        <f>((SUMIFS('abrasion emissions'!$M$7:$M$34,'abrasion emissions'!$I$7:$I$34,"PM 2.5",'abrasion emissions'!$J$7:$J$34,"rural",'abrasion emissions'!$K$7:$K$34,"Tyre",'abrasion emissions'!$L$7:$L$34,"b")*POWER(('vehicles specifications'!$Q78/1000),(1/SUMIFS('abrasion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specifications'!$P78/1000),(1/SUMIFS('abrasion emissions'!$M$7:$M$34,'abrasion emissions'!$I$7:$I$34,"PM 10",'abrasion emissions'!$J$7:$J$34,"rural",'abrasion emissions'!$K$7:$K$34,"Tyre",'abrasion emissions'!$L$7:$L$34,"c")))))/1000000</f>
        <v>4.6994273868084212E-6</v>
      </c>
      <c r="CP78" s="7">
        <f>((SUMIFS('abrasion emissions'!$M$7:$M$34,'abrasion emissions'!$I$7:$I$34,"PM 2.5",'abrasion emissions'!$J$7:$J$34,"motorway",'abrasion emissions'!$K$7:$K$34,"Tyre",'abrasion emissions'!$L$7:$L$34,"b")*POWER(('vehicles specifications'!$Q78/1000),(1/SUMIFS('abrasion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specifications'!$P78/1000),(1/SUMIFS('abrasion emissions'!$M$7:$M$34,'abrasion emissions'!$I$7:$I$34,"PM 10",'abrasion emissions'!$J$7:$J$34,"motorway",'abrasion emissions'!$K$7:$K$34,"Tyre",'abrasion emissions'!$L$7:$L$34,"c")))))/1000000</f>
        <v>4.0137589397886747E-6</v>
      </c>
      <c r="CQ78" s="7">
        <f>((SUMIFS('abrasion emissions'!$M$7:$M$34,'abrasion emissions'!$I$7:$I$34,"PM 2.5",'abrasion emissions'!$J$7:$J$34,"urban",'abrasion emissions'!$K$7:$K$34,"Brake",'abrasion emissions'!$L$7:$L$34,"b")*POWER(('vehicles specifications'!$Q78/1000),(1/SUMIFS('abrasion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specifications'!$P78/1000),(1/SUMIFS('abrasion emissions'!$M$7:$M$34,'abrasion emissions'!$I$7:$I$34,"PM 10",'abrasion emissions'!$J$7:$J$34,"urban",'abrasion emissions'!$K$7:$K$34,"Brake",'abrasion emissions'!$L$7:$L$34,"c")))))/1000000</f>
        <v>5.7204247980683114E-6</v>
      </c>
      <c r="CR78" s="7">
        <f>((SUMIFS('abrasion emissions'!$M$7:$M$34,'abrasion emissions'!$I$7:$I$34,"PM 2.5",'abrasion emissions'!$J$7:$J$34,"rural",'abrasion emissions'!$K$7:$K$34,"Brake",'abrasion emissions'!$L$7:$L$34,"b")*POWER(('vehicles specifications'!$Q78/1000),(1/SUMIFS('abrasion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specifications'!$P78/1000),(1/SUMIFS('abrasion emissions'!$M$7:$M$34,'abrasion emissions'!$I$7:$I$34,"PM 10",'abrasion emissions'!$J$7:$J$34,"rural",'abrasion emissions'!$K$7:$K$34,"Brake",'abrasion emissions'!$L$7:$L$34,"c")))))/1000000</f>
        <v>1.8260990637650822E-6</v>
      </c>
      <c r="CS78" s="7">
        <f>((SUMIFS('abrasion emissions'!$M$7:$M$34,'abrasion emissions'!$I$7:$I$34,"PM 2.5",'abrasion emissions'!$J$7:$J$34,"motorway",'abrasion emissions'!$K$7:$K$34,"Brake",'abrasion emissions'!$L$7:$L$34,"b")*POWER(('vehicles specifications'!$Q78/1000),(1/SUMIFS('abrasion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specifications'!$P78/1000),(1/SUMIFS('abrasion emissions'!$M$7:$M$34,'abrasion emissions'!$I$7:$I$34,"PM 10",'abrasion emissions'!$J$7:$J$34,"motorway",'abrasion emissions'!$K$7:$K$34,"Brake",'abrasion emissions'!$L$7:$L$34,"c")))))/1000000</f>
        <v>3.3619396955925133E-7</v>
      </c>
      <c r="CT78" s="7">
        <f>((SUMIFS('abrasion emissions'!$M$7:$M$38,'abrasion emissions'!$I$7:$I$38,"PM 2.5",'abrasion emissions'!$K$7:$K$38,"Re-susp.",'abrasion emissions'!$L$7:$L$38,"b")*POWER(('vehicles specifications'!$Q78/1000),(1/SUMIFS('abrasion emissions'!$M$7:$M$38,'abrasion emissions'!$I$7:$I$38,"PM 2.5",'abrasion emissions'!$K$7:$K$38,"Re-susp.",'abrasion emissions'!$L$7:$L$38,"c"))))+
(SUMIFS('abrasion emissions'!$M$7:$M$38,'abrasion emissions'!$I$7:$I$38,"PM 10",'abrasion emissions'!$K$7:$K$38,"Re-susp.",'abrasion emissions'!$L$7:$L$38,"b")*POWER(('vehicles specifications'!$Q78/1000),(1/SUMIFS('abrasion emissions'!$M$7:$M$38,'abrasion emissions'!$I$7:$I$38,"PM 10",'abrasion emissions'!$K$7:$K$38,"Re-susp.",'abrasion emissions'!$L$7:$L$38,"c")))))/1000000</f>
        <v>3.4524954574872454E-6</v>
      </c>
      <c r="CU78" s="7">
        <f>((SUMIFS('abrasion emissions'!$M$7:$M$38,'abrasion emissions'!$I$7:$I$38,"PM 2.5",'abrasion emissions'!$K$7:$K$38,"Road",'abrasion emissions'!$L$7:$L$38,"b")*POWER(('vehicles specifications'!$Q78/1000),(1/SUMIFS('abrasion emissions'!$M$7:$M$38,'abrasion emissions'!$I$7:$I$38,"PM 2.5",'abrasion emissions'!$K$7:$K$38,"Road",'abrasion emissions'!$L$7:$L$38,"c"))))+
(SUMIFS('abrasion emissions'!$M$7:$M$38,'abrasion emissions'!$I$7:$I$38,"PM 10",'abrasion emissions'!$K$7:$K$38,"Road",'abrasion emissions'!$L$7:$L$38,"b")*POWER(('vehicles specifications'!$Q78/1000),(1/SUMIFS('abrasion emissions'!$M$7:$M$38,'abrasion emissions'!$I$7:$I$38,"PM 10",'abrasion emissions'!$K$7:$K$38,"Road",'abrasion emissions'!$L$7:$L$38,"c")))))/1000000+CT78</f>
        <v>6.7059566799777275E-6</v>
      </c>
      <c r="CV78" s="7">
        <f t="shared" si="79"/>
        <v>5.3666314835027254E-6</v>
      </c>
      <c r="CW78" s="7">
        <f t="shared" si="80"/>
        <v>3.7732619309166969E-6</v>
      </c>
    </row>
    <row r="79" spans="1:101" x14ac:dyDescent="0.2">
      <c r="A79" t="str">
        <f t="shared" si="1"/>
        <v>Scooter, electric, &lt;4kW - 2040 - NMC - CH</v>
      </c>
      <c r="B79" t="s">
        <v>383</v>
      </c>
      <c r="D79" s="18">
        <v>2040</v>
      </c>
      <c r="E79" t="s">
        <v>37</v>
      </c>
      <c r="F79" t="s">
        <v>138</v>
      </c>
      <c r="G79" t="s">
        <v>39</v>
      </c>
      <c r="H79" t="s">
        <v>32</v>
      </c>
      <c r="I79" t="s">
        <v>43</v>
      </c>
      <c r="J79">
        <v>25000</v>
      </c>
      <c r="K79">
        <v>1570</v>
      </c>
      <c r="L79" s="2">
        <f>J79/K79</f>
        <v>15.923566878980891</v>
      </c>
      <c r="M79">
        <v>1</v>
      </c>
      <c r="N79">
        <v>75</v>
      </c>
      <c r="O79">
        <v>4</v>
      </c>
      <c r="P79" s="2">
        <f>SUM(U79,V79,W79,AC79,AF79,AH79)</f>
        <v>101.19999999999999</v>
      </c>
      <c r="Q79" s="2">
        <f>P79+(M79*N79)+O79</f>
        <v>180.2</v>
      </c>
      <c r="R79">
        <v>2.6</v>
      </c>
      <c r="S79" s="2">
        <v>73</v>
      </c>
      <c r="T79" s="1">
        <v>0.05</v>
      </c>
      <c r="U79" s="2">
        <f>S79*(1-T79)</f>
        <v>69.349999999999994</v>
      </c>
      <c r="V79">
        <v>5</v>
      </c>
      <c r="W79">
        <v>8</v>
      </c>
      <c r="X79" s="3">
        <v>5.8</v>
      </c>
      <c r="Y79" s="1">
        <v>0.8</v>
      </c>
      <c r="Z79" s="3">
        <f>Y79*X79</f>
        <v>4.6399999999999997</v>
      </c>
      <c r="AA79" s="3">
        <f>IF(I79&lt;&gt;"",X79/INDEX('energy battery'!$B$3:$D$6,MATCH('vehicles specifications'!$D79,'energy battery'!$A$3:$A$6,0),MATCH('vehicles specifications'!$I79,'energy battery'!$B$2:$D$2,0)),"")</f>
        <v>14.499999999999998</v>
      </c>
      <c r="AB79" s="3">
        <f t="shared" si="6"/>
        <v>4.3499999999999996</v>
      </c>
      <c r="AC79" s="3">
        <f t="shared" si="7"/>
        <v>18.849999999999998</v>
      </c>
      <c r="AD79" s="3">
        <v>0.25</v>
      </c>
      <c r="AE79" s="3">
        <v>0</v>
      </c>
      <c r="AF79">
        <f>AE79*'fuels and tailpipe emissions'!$B$3</f>
        <v>0</v>
      </c>
      <c r="AG79">
        <v>0</v>
      </c>
      <c r="AH79" s="3">
        <v>0</v>
      </c>
      <c r="AI79" s="3">
        <v>3</v>
      </c>
      <c r="AJ79" s="3">
        <v>1</v>
      </c>
      <c r="AK79">
        <f t="shared" si="67"/>
        <v>1</v>
      </c>
      <c r="AL79">
        <f>0.000537/1000*Q79</f>
        <v>9.6767399999999991E-5</v>
      </c>
      <c r="AM79">
        <v>1.2899999999999999E-3</v>
      </c>
      <c r="AN79" s="2">
        <f>U79</f>
        <v>69.349999999999994</v>
      </c>
      <c r="AO79" s="2">
        <f>SUM(V79:W79)</f>
        <v>13</v>
      </c>
      <c r="AP79" s="2">
        <f>AC79</f>
        <v>18.849999999999998</v>
      </c>
      <c r="AQ79" s="6" t="s">
        <v>85</v>
      </c>
      <c r="AR79" s="20"/>
      <c r="AS79" s="5">
        <v>0.13343610710814707</v>
      </c>
      <c r="AT79" s="2">
        <f t="shared" si="78"/>
        <v>125.18350813743217</v>
      </c>
      <c r="AU79" s="5">
        <v>0</v>
      </c>
      <c r="AV79" s="5">
        <v>0</v>
      </c>
      <c r="AW79" s="7">
        <v>0</v>
      </c>
      <c r="AX79" s="7">
        <v>0</v>
      </c>
      <c r="AY79" s="7">
        <v>0</v>
      </c>
      <c r="AZ79" s="7">
        <v>0</v>
      </c>
      <c r="BA79" s="7">
        <v>0</v>
      </c>
      <c r="BB79" s="7">
        <v>0</v>
      </c>
      <c r="BC79" s="7">
        <v>0</v>
      </c>
      <c r="BD79" s="7">
        <v>0</v>
      </c>
      <c r="BE79" s="7">
        <v>0</v>
      </c>
      <c r="BF79" s="7">
        <v>0</v>
      </c>
      <c r="BG79" s="7">
        <v>0</v>
      </c>
      <c r="BH79" s="7">
        <v>0</v>
      </c>
      <c r="BI79" s="7">
        <v>0</v>
      </c>
      <c r="BJ79" s="7">
        <v>0</v>
      </c>
      <c r="BK79" s="7">
        <v>0</v>
      </c>
      <c r="BL79" s="7">
        <v>0</v>
      </c>
      <c r="BM79" s="7">
        <v>0</v>
      </c>
      <c r="BN79" s="7">
        <v>0</v>
      </c>
      <c r="BO79" s="7">
        <v>0</v>
      </c>
      <c r="BP79" s="7">
        <v>0</v>
      </c>
      <c r="BQ79" s="7">
        <v>0</v>
      </c>
      <c r="BR79" s="7">
        <v>0</v>
      </c>
      <c r="BS79" s="7">
        <v>0</v>
      </c>
      <c r="BT79" s="7">
        <v>0</v>
      </c>
      <c r="BU79" s="7">
        <v>0</v>
      </c>
      <c r="BV79" s="7">
        <v>0</v>
      </c>
      <c r="BW79" s="7">
        <v>0</v>
      </c>
      <c r="BX79" s="7">
        <v>0</v>
      </c>
      <c r="BY79" s="7">
        <v>0</v>
      </c>
      <c r="BZ79" s="7">
        <v>0</v>
      </c>
      <c r="CA79" s="7">
        <v>0</v>
      </c>
      <c r="CB79" s="7">
        <v>0</v>
      </c>
      <c r="CC79" s="7">
        <v>0</v>
      </c>
      <c r="CD79" s="7">
        <v>0</v>
      </c>
      <c r="CE79" s="7">
        <v>0</v>
      </c>
      <c r="CF79" s="7">
        <v>0</v>
      </c>
      <c r="CG79" s="7">
        <v>0</v>
      </c>
      <c r="CH79" s="7">
        <v>0</v>
      </c>
      <c r="CI79" s="7">
        <v>0</v>
      </c>
      <c r="CJ79" s="7">
        <v>0</v>
      </c>
      <c r="CK79" s="38">
        <f>VLOOKUP($B79,'abrasion emissions'!$O$7:$R$36,2,FALSE)</f>
        <v>0.5</v>
      </c>
      <c r="CL79" s="38">
        <f>VLOOKUP($B79,'abrasion emissions'!$O$7:$R$36,3,FALSE)</f>
        <v>0.5</v>
      </c>
      <c r="CM79" s="38">
        <f>VLOOKUP($B79,'abrasion emissions'!$O$7:$R$36,4,FALSE)</f>
        <v>0</v>
      </c>
      <c r="CN79" s="7">
        <f>((SUMIFS('abrasion emissions'!$M$7:$M$34,'abrasion emissions'!$I$7:$I$34,"PM 2.5",'abrasion emissions'!$J$7:$J$34,"urban",'abrasion emissions'!$K$7:$K$34,"Tyre",'abrasion emissions'!$L$7:$L$34,"b")*POWER(('vehicles specifications'!$Q79/1000),(1/SUMIFS('abrasion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specifications'!$P79/1000),(1/SUMIFS('abrasion emissions'!$M$7:$M$34,'abrasion emissions'!$I$7:$I$34,"PM 10",'abrasion emissions'!$J$7:$J$34,"urban",'abrasion emissions'!$K$7:$K$34,"Tyre",'abrasion emissions'!$L$7:$L$34,"c")))))/1000000</f>
        <v>6.0348894844222866E-6</v>
      </c>
      <c r="CO79" s="7">
        <f>((SUMIFS('abrasion emissions'!$M$7:$M$34,'abrasion emissions'!$I$7:$I$34,"PM 2.5",'abrasion emissions'!$J$7:$J$34,"rural",'abrasion emissions'!$K$7:$K$34,"Tyre",'abrasion emissions'!$L$7:$L$34,"b")*POWER(('vehicles specifications'!$Q79/1000),(1/SUMIFS('abrasion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specifications'!$P79/1000),(1/SUMIFS('abrasion emissions'!$M$7:$M$34,'abrasion emissions'!$I$7:$I$34,"PM 10",'abrasion emissions'!$J$7:$J$34,"rural",'abrasion emissions'!$K$7:$K$34,"Tyre",'abrasion emissions'!$L$7:$L$34,"c")))))/1000000</f>
        <v>4.700247533151778E-6</v>
      </c>
      <c r="CP79" s="7">
        <f>((SUMIFS('abrasion emissions'!$M$7:$M$34,'abrasion emissions'!$I$7:$I$34,"PM 2.5",'abrasion emissions'!$J$7:$J$34,"motorway",'abrasion emissions'!$K$7:$K$34,"Tyre",'abrasion emissions'!$L$7:$L$34,"b")*POWER(('vehicles specifications'!$Q79/1000),(1/SUMIFS('abrasion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specifications'!$P79/1000),(1/SUMIFS('abrasion emissions'!$M$7:$M$34,'abrasion emissions'!$I$7:$I$34,"PM 10",'abrasion emissions'!$J$7:$J$34,"motorway",'abrasion emissions'!$K$7:$K$34,"Tyre",'abrasion emissions'!$L$7:$L$34,"c")))))/1000000</f>
        <v>4.0144577101396914E-6</v>
      </c>
      <c r="CQ79" s="7">
        <f>((SUMIFS('abrasion emissions'!$M$7:$M$34,'abrasion emissions'!$I$7:$I$34,"PM 2.5",'abrasion emissions'!$J$7:$J$34,"urban",'abrasion emissions'!$K$7:$K$34,"Brake",'abrasion emissions'!$L$7:$L$34,"b")*POWER(('vehicles specifications'!$Q79/1000),(1/SUMIFS('abrasion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specifications'!$P79/1000),(1/SUMIFS('abrasion emissions'!$M$7:$M$34,'abrasion emissions'!$I$7:$I$34,"PM 10",'abrasion emissions'!$J$7:$J$34,"urban",'abrasion emissions'!$K$7:$K$34,"Brake",'abrasion emissions'!$L$7:$L$34,"c")))))/1000000</f>
        <v>5.7215343897793968E-6</v>
      </c>
      <c r="CR79" s="7">
        <f>((SUMIFS('abrasion emissions'!$M$7:$M$34,'abrasion emissions'!$I$7:$I$34,"PM 2.5",'abrasion emissions'!$J$7:$J$34,"rural",'abrasion emissions'!$K$7:$K$34,"Brake",'abrasion emissions'!$L$7:$L$34,"b")*POWER(('vehicles specifications'!$Q79/1000),(1/SUMIFS('abrasion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specifications'!$P79/1000),(1/SUMIFS('abrasion emissions'!$M$7:$M$34,'abrasion emissions'!$I$7:$I$34,"PM 10",'abrasion emissions'!$J$7:$J$34,"rural",'abrasion emissions'!$K$7:$K$34,"Brake",'abrasion emissions'!$L$7:$L$34,"c")))))/1000000</f>
        <v>1.8265459885239875E-6</v>
      </c>
      <c r="CS79" s="7">
        <f>((SUMIFS('abrasion emissions'!$M$7:$M$34,'abrasion emissions'!$I$7:$I$34,"PM 2.5",'abrasion emissions'!$J$7:$J$34,"motorway",'abrasion emissions'!$K$7:$K$34,"Brake",'abrasion emissions'!$L$7:$L$34,"b")*POWER(('vehicles specifications'!$Q79/1000),(1/SUMIFS('abrasion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specifications'!$P79/1000),(1/SUMIFS('abrasion emissions'!$M$7:$M$34,'abrasion emissions'!$I$7:$I$34,"PM 10",'abrasion emissions'!$J$7:$J$34,"motorway",'abrasion emissions'!$K$7:$K$34,"Brake",'abrasion emissions'!$L$7:$L$34,"c")))))/1000000</f>
        <v>3.3628828928725343E-7</v>
      </c>
      <c r="CT79" s="7">
        <f>((SUMIFS('abrasion emissions'!$M$7:$M$38,'abrasion emissions'!$I$7:$I$38,"PM 2.5",'abrasion emissions'!$K$7:$K$38,"Re-susp.",'abrasion emissions'!$L$7:$L$38,"b")*POWER(('vehicles specifications'!$Q79/1000),(1/SUMIFS('abrasion emissions'!$M$7:$M$38,'abrasion emissions'!$I$7:$I$38,"PM 2.5",'abrasion emissions'!$K$7:$K$38,"Re-susp.",'abrasion emissions'!$L$7:$L$38,"c"))))+
(SUMIFS('abrasion emissions'!$M$7:$M$38,'abrasion emissions'!$I$7:$I$38,"PM 10",'abrasion emissions'!$K$7:$K$38,"Re-susp.",'abrasion emissions'!$L$7:$L$38,"b")*POWER(('vehicles specifications'!$Q79/1000),(1/SUMIFS('abrasion emissions'!$M$7:$M$38,'abrasion emissions'!$I$7:$I$38,"PM 10",'abrasion emissions'!$K$7:$K$38,"Re-susp.",'abrasion emissions'!$L$7:$L$38,"c")))))/1000000</f>
        <v>3.4534827451128693E-6</v>
      </c>
      <c r="CU79" s="7">
        <f>((SUMIFS('abrasion emissions'!$M$7:$M$38,'abrasion emissions'!$I$7:$I$38,"PM 2.5",'abrasion emissions'!$K$7:$K$38,"Road",'abrasion emissions'!$L$7:$L$38,"b")*POWER(('vehicles specifications'!$Q79/1000),(1/SUMIFS('abrasion emissions'!$M$7:$M$38,'abrasion emissions'!$I$7:$I$38,"PM 2.5",'abrasion emissions'!$K$7:$K$38,"Road",'abrasion emissions'!$L$7:$L$38,"c"))))+
(SUMIFS('abrasion emissions'!$M$7:$M$38,'abrasion emissions'!$I$7:$I$38,"PM 10",'abrasion emissions'!$K$7:$K$38,"Road",'abrasion emissions'!$L$7:$L$38,"b")*POWER(('vehicles specifications'!$Q79/1000),(1/SUMIFS('abrasion emissions'!$M$7:$M$38,'abrasion emissions'!$I$7:$I$38,"PM 10",'abrasion emissions'!$K$7:$K$38,"Road",'abrasion emissions'!$L$7:$L$38,"c")))))/1000000+CT79</f>
        <v>6.7076262137343895E-6</v>
      </c>
      <c r="CV79" s="7">
        <f t="shared" si="79"/>
        <v>5.3675685087870323E-6</v>
      </c>
      <c r="CW79" s="7">
        <f t="shared" si="80"/>
        <v>3.7740401891516924E-6</v>
      </c>
    </row>
    <row r="80" spans="1:101" x14ac:dyDescent="0.2">
      <c r="A80" t="str">
        <f t="shared" si="1"/>
        <v>Scooter, electric, &lt;4kW - 2050 - NMC - CH</v>
      </c>
      <c r="B80" t="s">
        <v>383</v>
      </c>
      <c r="D80" s="18">
        <v>2050</v>
      </c>
      <c r="E80" t="s">
        <v>37</v>
      </c>
      <c r="F80" t="s">
        <v>138</v>
      </c>
      <c r="G80" t="s">
        <v>39</v>
      </c>
      <c r="H80" t="s">
        <v>32</v>
      </c>
      <c r="I80" t="s">
        <v>43</v>
      </c>
      <c r="J80">
        <v>25000</v>
      </c>
      <c r="K80">
        <v>1570</v>
      </c>
      <c r="L80" s="2">
        <f>J80/K80</f>
        <v>15.923566878980891</v>
      </c>
      <c r="M80">
        <v>1</v>
      </c>
      <c r="N80">
        <v>75</v>
      </c>
      <c r="O80">
        <v>4</v>
      </c>
      <c r="P80" s="2">
        <f>SUM(U80,V80,W80,AC80,AF80,AH80)</f>
        <v>101.69</v>
      </c>
      <c r="Q80" s="2">
        <f>P80+(M80*N80)+O80</f>
        <v>180.69</v>
      </c>
      <c r="R80">
        <v>2.6</v>
      </c>
      <c r="S80" s="2">
        <v>73</v>
      </c>
      <c r="T80" s="1">
        <v>7.0000000000000007E-2</v>
      </c>
      <c r="U80" s="2">
        <f>S80*(1-T80)</f>
        <v>67.89</v>
      </c>
      <c r="V80">
        <v>5</v>
      </c>
      <c r="W80">
        <v>8</v>
      </c>
      <c r="X80" s="3">
        <v>8</v>
      </c>
      <c r="Y80" s="1">
        <v>0.8</v>
      </c>
      <c r="Z80" s="3">
        <f>Y80*X80</f>
        <v>6.4</v>
      </c>
      <c r="AA80" s="3">
        <f>IF(I80&lt;&gt;"",X80/INDEX('energy battery'!$B$3:$D$6,MATCH('vehicles specifications'!$D80,'energy battery'!$A$3:$A$6,0),MATCH('vehicles specifications'!$I80,'energy battery'!$B$2:$D$2,0)),"")</f>
        <v>16</v>
      </c>
      <c r="AB80" s="3">
        <f t="shared" si="6"/>
        <v>4.8</v>
      </c>
      <c r="AC80" s="3">
        <f t="shared" si="7"/>
        <v>20.8</v>
      </c>
      <c r="AD80" s="3">
        <v>0</v>
      </c>
      <c r="AE80" s="3">
        <v>0</v>
      </c>
      <c r="AF80">
        <f>AE80*'fuels and tailpipe emissions'!$B$3</f>
        <v>0</v>
      </c>
      <c r="AG80">
        <v>0</v>
      </c>
      <c r="AH80" s="3">
        <v>0</v>
      </c>
      <c r="AI80" s="3">
        <v>3</v>
      </c>
      <c r="AJ80" s="3">
        <v>1</v>
      </c>
      <c r="AK80">
        <f t="shared" si="67"/>
        <v>1</v>
      </c>
      <c r="AL80">
        <f>0.000537/1000*Q80</f>
        <v>9.7030529999999994E-5</v>
      </c>
      <c r="AM80">
        <v>1.2899999999999999E-3</v>
      </c>
      <c r="AN80" s="2">
        <f>U80</f>
        <v>67.89</v>
      </c>
      <c r="AO80" s="2">
        <f>SUM(V80:W80)</f>
        <v>13</v>
      </c>
      <c r="AP80" s="2">
        <f>AC80</f>
        <v>20.8</v>
      </c>
      <c r="AQ80" s="6" t="s">
        <v>85</v>
      </c>
      <c r="AR80" s="20"/>
      <c r="AS80" s="5">
        <v>0.13343610710814707</v>
      </c>
      <c r="AT80" s="2">
        <f t="shared" si="78"/>
        <v>172.66690777576852</v>
      </c>
      <c r="AU80" s="5">
        <v>0</v>
      </c>
      <c r="AV80" s="5">
        <v>0</v>
      </c>
      <c r="AW80" s="7">
        <v>0</v>
      </c>
      <c r="AX80" s="7">
        <v>0</v>
      </c>
      <c r="AY80" s="7">
        <v>0</v>
      </c>
      <c r="AZ80" s="7">
        <v>0</v>
      </c>
      <c r="BA80" s="7">
        <v>0</v>
      </c>
      <c r="BB80" s="7">
        <v>0</v>
      </c>
      <c r="BC80" s="7">
        <v>0</v>
      </c>
      <c r="BD80" s="7">
        <v>0</v>
      </c>
      <c r="BE80" s="7">
        <v>0</v>
      </c>
      <c r="BF80" s="7">
        <v>0</v>
      </c>
      <c r="BG80" s="7">
        <v>0</v>
      </c>
      <c r="BH80" s="7">
        <v>0</v>
      </c>
      <c r="BI80" s="7">
        <v>0</v>
      </c>
      <c r="BJ80" s="7">
        <v>0</v>
      </c>
      <c r="BK80" s="7">
        <v>0</v>
      </c>
      <c r="BL80" s="7">
        <v>0</v>
      </c>
      <c r="BM80" s="7">
        <v>0</v>
      </c>
      <c r="BN80" s="7">
        <v>0</v>
      </c>
      <c r="BO80" s="7">
        <v>0</v>
      </c>
      <c r="BP80" s="7">
        <v>0</v>
      </c>
      <c r="BQ80" s="7">
        <v>0</v>
      </c>
      <c r="BR80" s="7">
        <v>0</v>
      </c>
      <c r="BS80" s="7">
        <v>0</v>
      </c>
      <c r="BT80" s="7">
        <v>0</v>
      </c>
      <c r="BU80" s="7">
        <v>0</v>
      </c>
      <c r="BV80" s="7">
        <v>0</v>
      </c>
      <c r="BW80" s="7">
        <v>0</v>
      </c>
      <c r="BX80" s="7">
        <v>0</v>
      </c>
      <c r="BY80" s="7">
        <v>0</v>
      </c>
      <c r="BZ80" s="7">
        <v>0</v>
      </c>
      <c r="CA80" s="7">
        <v>0</v>
      </c>
      <c r="CB80" s="7">
        <v>0</v>
      </c>
      <c r="CC80" s="7">
        <v>0</v>
      </c>
      <c r="CD80" s="7">
        <v>0</v>
      </c>
      <c r="CE80" s="7">
        <v>0</v>
      </c>
      <c r="CF80" s="7">
        <v>0</v>
      </c>
      <c r="CG80" s="7">
        <v>0</v>
      </c>
      <c r="CH80" s="7">
        <v>0</v>
      </c>
      <c r="CI80" s="7">
        <v>0</v>
      </c>
      <c r="CJ80" s="7">
        <v>0</v>
      </c>
      <c r="CK80" s="38">
        <f>VLOOKUP($B80,'abrasion emissions'!$O$7:$R$36,2,FALSE)</f>
        <v>0.5</v>
      </c>
      <c r="CL80" s="38">
        <f>VLOOKUP($B80,'abrasion emissions'!$O$7:$R$36,3,FALSE)</f>
        <v>0.5</v>
      </c>
      <c r="CM80" s="38">
        <f>VLOOKUP($B80,'abrasion emissions'!$O$7:$R$36,4,FALSE)</f>
        <v>0</v>
      </c>
      <c r="CN80" s="7">
        <f>((SUMIFS('abrasion emissions'!$M$7:$M$34,'abrasion emissions'!$I$7:$I$34,"PM 2.5",'abrasion emissions'!$J$7:$J$34,"urban",'abrasion emissions'!$K$7:$K$34,"Tyre",'abrasion emissions'!$L$7:$L$34,"b")*POWER(('vehicles specifications'!$Q80/1000),(1/SUMIFS('abrasion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specifications'!$P80/1000),(1/SUMIFS('abrasion emissions'!$M$7:$M$34,'abrasion emissions'!$I$7:$I$34,"PM 10",'abrasion emissions'!$J$7:$J$34,"urban",'abrasion emissions'!$K$7:$K$34,"Tyre",'abrasion emissions'!$L$7:$L$34,"c")))))/1000000</f>
        <v>6.0439918459390894E-6</v>
      </c>
      <c r="CO80" s="7">
        <f>((SUMIFS('abrasion emissions'!$M$7:$M$34,'abrasion emissions'!$I$7:$I$34,"PM 2.5",'abrasion emissions'!$J$7:$J$34,"rural",'abrasion emissions'!$K$7:$K$34,"Tyre",'abrasion emissions'!$L$7:$L$34,"b")*POWER(('vehicles specifications'!$Q80/1000),(1/SUMIFS('abrasion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specifications'!$P80/1000),(1/SUMIFS('abrasion emissions'!$M$7:$M$34,'abrasion emissions'!$I$7:$I$34,"PM 10",'abrasion emissions'!$J$7:$J$34,"rural",'abrasion emissions'!$K$7:$K$34,"Tyre",'abrasion emissions'!$L$7:$L$34,"c")))))/1000000</f>
        <v>4.7073309812868793E-6</v>
      </c>
      <c r="CP80" s="7">
        <f>((SUMIFS('abrasion emissions'!$M$7:$M$34,'abrasion emissions'!$I$7:$I$34,"PM 2.5",'abrasion emissions'!$J$7:$J$34,"motorway",'abrasion emissions'!$K$7:$K$34,"Tyre",'abrasion emissions'!$L$7:$L$34,"b")*POWER(('vehicles specifications'!$Q80/1000),(1/SUMIFS('abrasion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specifications'!$P80/1000),(1/SUMIFS('abrasion emissions'!$M$7:$M$34,'abrasion emissions'!$I$7:$I$34,"PM 10",'abrasion emissions'!$J$7:$J$34,"motorway",'abrasion emissions'!$K$7:$K$34,"Tyre",'abrasion emissions'!$L$7:$L$34,"c")))))/1000000</f>
        <v>4.0204928745385546E-6</v>
      </c>
      <c r="CQ80" s="7">
        <f>((SUMIFS('abrasion emissions'!$M$7:$M$34,'abrasion emissions'!$I$7:$I$34,"PM 2.5",'abrasion emissions'!$J$7:$J$34,"urban",'abrasion emissions'!$K$7:$K$34,"Brake",'abrasion emissions'!$L$7:$L$34,"b")*POWER(('vehicles specifications'!$Q80/1000),(1/SUMIFS('abrasion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specifications'!$P80/1000),(1/SUMIFS('abrasion emissions'!$M$7:$M$34,'abrasion emissions'!$I$7:$I$34,"PM 10",'abrasion emissions'!$J$7:$J$34,"urban",'abrasion emissions'!$K$7:$K$34,"Brake",'abrasion emissions'!$L$7:$L$34,"c")))))/1000000</f>
        <v>5.7311204174179531E-6</v>
      </c>
      <c r="CR80" s="7">
        <f>((SUMIFS('abrasion emissions'!$M$7:$M$34,'abrasion emissions'!$I$7:$I$34,"PM 2.5",'abrasion emissions'!$J$7:$J$34,"rural",'abrasion emissions'!$K$7:$K$34,"Brake",'abrasion emissions'!$L$7:$L$34,"b")*POWER(('vehicles specifications'!$Q80/1000),(1/SUMIFS('abrasion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specifications'!$P80/1000),(1/SUMIFS('abrasion emissions'!$M$7:$M$34,'abrasion emissions'!$I$7:$I$34,"PM 10",'abrasion emissions'!$J$7:$J$34,"rural",'abrasion emissions'!$K$7:$K$34,"Brake",'abrasion emissions'!$L$7:$L$34,"c")))))/1000000</f>
        <v>1.8304081248953728E-6</v>
      </c>
      <c r="CS80" s="7">
        <f>((SUMIFS('abrasion emissions'!$M$7:$M$34,'abrasion emissions'!$I$7:$I$34,"PM 2.5",'abrasion emissions'!$J$7:$J$34,"motorway",'abrasion emissions'!$K$7:$K$34,"Brake",'abrasion emissions'!$L$7:$L$34,"b")*POWER(('vehicles specifications'!$Q80/1000),(1/SUMIFS('abrasion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specifications'!$P80/1000),(1/SUMIFS('abrasion emissions'!$M$7:$M$34,'abrasion emissions'!$I$7:$I$34,"PM 10",'abrasion emissions'!$J$7:$J$34,"motorway",'abrasion emissions'!$K$7:$K$34,"Brake",'abrasion emissions'!$L$7:$L$34,"c")))))/1000000</f>
        <v>3.3710352262607904E-7</v>
      </c>
      <c r="CT80" s="7">
        <f>((SUMIFS('abrasion emissions'!$M$7:$M$38,'abrasion emissions'!$I$7:$I$38,"PM 2.5",'abrasion emissions'!$K$7:$K$38,"Re-susp.",'abrasion emissions'!$L$7:$L$38,"b")*POWER(('vehicles specifications'!$Q80/1000),(1/SUMIFS('abrasion emissions'!$M$7:$M$38,'abrasion emissions'!$I$7:$I$38,"PM 2.5",'abrasion emissions'!$K$7:$K$38,"Re-susp.",'abrasion emissions'!$L$7:$L$38,"c"))))+
(SUMIFS('abrasion emissions'!$M$7:$M$38,'abrasion emissions'!$I$7:$I$38,"PM 10",'abrasion emissions'!$K$7:$K$38,"Re-susp.",'abrasion emissions'!$L$7:$L$38,"b")*POWER(('vehicles specifications'!$Q80/1000),(1/SUMIFS('abrasion emissions'!$M$7:$M$38,'abrasion emissions'!$I$7:$I$38,"PM 10",'abrasion emissions'!$K$7:$K$38,"Re-susp.",'abrasion emissions'!$L$7:$L$38,"c")))))/1000000</f>
        <v>3.4620187031132159E-6</v>
      </c>
      <c r="CU80" s="7">
        <f>((SUMIFS('abrasion emissions'!$M$7:$M$38,'abrasion emissions'!$I$7:$I$38,"PM 2.5",'abrasion emissions'!$K$7:$K$38,"Road",'abrasion emissions'!$L$7:$L$38,"b")*POWER(('vehicles specifications'!$Q80/1000),(1/SUMIFS('abrasion emissions'!$M$7:$M$38,'abrasion emissions'!$I$7:$I$38,"PM 2.5",'abrasion emissions'!$K$7:$K$38,"Road",'abrasion emissions'!$L$7:$L$38,"c"))))+
(SUMIFS('abrasion emissions'!$M$7:$M$38,'abrasion emissions'!$I$7:$I$38,"PM 10",'abrasion emissions'!$K$7:$K$38,"Road",'abrasion emissions'!$L$7:$L$38,"b")*POWER(('vehicles specifications'!$Q80/1000),(1/SUMIFS('abrasion emissions'!$M$7:$M$38,'abrasion emissions'!$I$7:$I$38,"PM 10",'abrasion emissions'!$K$7:$K$38,"Road",'abrasion emissions'!$L$7:$L$38,"c")))))/1000000+CT80</f>
        <v>6.7220586146877895E-6</v>
      </c>
      <c r="CV80" s="7">
        <f t="shared" si="79"/>
        <v>5.3756614136129848E-6</v>
      </c>
      <c r="CW80" s="7">
        <f t="shared" si="80"/>
        <v>3.7807642711566629E-6</v>
      </c>
    </row>
    <row r="81" spans="1:101" x14ac:dyDescent="0.2">
      <c r="A81" t="str">
        <f t="shared" si="1"/>
        <v>Scooter, electric, 4-11kW - 2020 - NMC - CH</v>
      </c>
      <c r="B81" t="s">
        <v>344</v>
      </c>
      <c r="D81" s="18">
        <v>2020</v>
      </c>
      <c r="E81" t="s">
        <v>37</v>
      </c>
      <c r="F81" t="s">
        <v>138</v>
      </c>
      <c r="G81" t="s">
        <v>39</v>
      </c>
      <c r="H81" t="s">
        <v>32</v>
      </c>
      <c r="I81" t="s">
        <v>43</v>
      </c>
      <c r="J81">
        <v>25000</v>
      </c>
      <c r="K81">
        <v>1570</v>
      </c>
      <c r="L81" s="2">
        <f t="shared" si="2"/>
        <v>15.923566878980891</v>
      </c>
      <c r="M81">
        <v>1</v>
      </c>
      <c r="N81">
        <v>75</v>
      </c>
      <c r="O81">
        <v>4</v>
      </c>
      <c r="P81" s="2">
        <f t="shared" si="64"/>
        <v>131.44999999999999</v>
      </c>
      <c r="Q81" s="2">
        <f t="shared" si="3"/>
        <v>210.45</v>
      </c>
      <c r="R81">
        <v>6.1</v>
      </c>
      <c r="S81" s="2">
        <v>84</v>
      </c>
      <c r="T81" s="1">
        <v>0</v>
      </c>
      <c r="U81" s="2">
        <f t="shared" si="4"/>
        <v>84</v>
      </c>
      <c r="V81">
        <v>10</v>
      </c>
      <c r="W81">
        <v>16</v>
      </c>
      <c r="X81" s="3">
        <v>3.3</v>
      </c>
      <c r="Y81" s="1">
        <v>0.8</v>
      </c>
      <c r="Z81" s="3">
        <f t="shared" si="5"/>
        <v>2.64</v>
      </c>
      <c r="AA81" s="3">
        <f>IF(I81&lt;&gt;"",X81/INDEX('energy battery'!$B$3:$D$6,MATCH('vehicles specifications'!$D81,'energy battery'!$A$3:$A$6,0),MATCH('vehicles specifications'!$I81,'energy battery'!$B$2:$D$2,0)),"")</f>
        <v>16.499999999999996</v>
      </c>
      <c r="AB81" s="3">
        <f t="shared" si="6"/>
        <v>4.9499999999999984</v>
      </c>
      <c r="AC81" s="3">
        <f t="shared" si="7"/>
        <v>21.449999999999996</v>
      </c>
      <c r="AD81" s="3">
        <v>1</v>
      </c>
      <c r="AE81" s="3">
        <v>0</v>
      </c>
      <c r="AF81">
        <f>AE81*'fuels and tailpipe emissions'!$B$3</f>
        <v>0</v>
      </c>
      <c r="AG81">
        <v>0</v>
      </c>
      <c r="AH81" s="3">
        <v>0</v>
      </c>
      <c r="AI81" s="3">
        <v>3</v>
      </c>
      <c r="AJ81" s="3">
        <v>1</v>
      </c>
      <c r="AK81">
        <f t="shared" si="67"/>
        <v>1</v>
      </c>
      <c r="AL81">
        <f t="shared" si="65"/>
        <v>1.1301165E-4</v>
      </c>
      <c r="AM81">
        <v>1.2899999999999999E-3</v>
      </c>
      <c r="AN81" s="2">
        <f t="shared" si="9"/>
        <v>84</v>
      </c>
      <c r="AO81" s="2">
        <f t="shared" si="10"/>
        <v>26</v>
      </c>
      <c r="AP81" s="2">
        <f t="shared" si="11"/>
        <v>21.449999999999996</v>
      </c>
      <c r="AQ81" s="6" t="s">
        <v>85</v>
      </c>
      <c r="AR81" s="20"/>
      <c r="AS81" s="5">
        <v>0.18941496155676324</v>
      </c>
      <c r="AT81" s="2">
        <f t="shared" si="78"/>
        <v>50.175550663414057</v>
      </c>
      <c r="AU81" s="5">
        <v>0</v>
      </c>
      <c r="AV81" s="5">
        <v>0</v>
      </c>
      <c r="AW81" s="7">
        <v>0</v>
      </c>
      <c r="AX81" s="7">
        <v>0</v>
      </c>
      <c r="AY81" s="7">
        <v>0</v>
      </c>
      <c r="AZ81" s="7">
        <v>0</v>
      </c>
      <c r="BA81" s="7">
        <v>0</v>
      </c>
      <c r="BB81" s="7">
        <v>0</v>
      </c>
      <c r="BC81" s="7">
        <v>0</v>
      </c>
      <c r="BD81" s="7">
        <v>0</v>
      </c>
      <c r="BE81" s="7">
        <v>0</v>
      </c>
      <c r="BF81" s="7">
        <v>0</v>
      </c>
      <c r="BG81" s="7">
        <v>0</v>
      </c>
      <c r="BH81" s="7">
        <v>0</v>
      </c>
      <c r="BI81" s="7">
        <v>0</v>
      </c>
      <c r="BJ81" s="7">
        <v>0</v>
      </c>
      <c r="BK81" s="7">
        <v>0</v>
      </c>
      <c r="BL81" s="7">
        <v>0</v>
      </c>
      <c r="BM81" s="7">
        <v>0</v>
      </c>
      <c r="BN81" s="7">
        <v>0</v>
      </c>
      <c r="BO81" s="7">
        <v>0</v>
      </c>
      <c r="BP81" s="7">
        <v>0</v>
      </c>
      <c r="BQ81" s="7">
        <v>0</v>
      </c>
      <c r="BR81" s="7">
        <v>0</v>
      </c>
      <c r="BS81" s="7">
        <v>0</v>
      </c>
      <c r="BT81" s="7">
        <v>0</v>
      </c>
      <c r="BU81" s="7">
        <v>0</v>
      </c>
      <c r="BV81" s="7">
        <v>0</v>
      </c>
      <c r="BW81" s="7">
        <v>0</v>
      </c>
      <c r="BX81" s="7">
        <v>0</v>
      </c>
      <c r="BY81" s="7">
        <v>0</v>
      </c>
      <c r="BZ81" s="7">
        <v>0</v>
      </c>
      <c r="CA81" s="7">
        <v>0</v>
      </c>
      <c r="CB81" s="7">
        <v>0</v>
      </c>
      <c r="CC81" s="7">
        <v>0</v>
      </c>
      <c r="CD81" s="7">
        <v>0</v>
      </c>
      <c r="CE81" s="7">
        <v>0</v>
      </c>
      <c r="CF81" s="7">
        <v>0</v>
      </c>
      <c r="CG81" s="7">
        <v>0</v>
      </c>
      <c r="CH81" s="7">
        <v>0</v>
      </c>
      <c r="CI81" s="7">
        <v>0</v>
      </c>
      <c r="CJ81" s="7">
        <v>0</v>
      </c>
      <c r="CK81" s="38">
        <f>VLOOKUP($B81,'abrasion emissions'!$O$7:$R$36,2,FALSE)</f>
        <v>0.5</v>
      </c>
      <c r="CL81" s="38">
        <f>VLOOKUP($B81,'abrasion emissions'!$O$7:$R$36,3,FALSE)</f>
        <v>0.5</v>
      </c>
      <c r="CM81" s="38">
        <f>VLOOKUP($B81,'abrasion emissions'!$O$7:$R$36,4,FALSE)</f>
        <v>0</v>
      </c>
      <c r="CN81" s="7">
        <f>((SUMIFS('abrasion emissions'!$M$7:$M$34,'abrasion emissions'!$I$7:$I$34,"PM 2.5",'abrasion emissions'!$J$7:$J$34,"urban",'abrasion emissions'!$K$7:$K$34,"Tyre",'abrasion emissions'!$L$7:$L$34,"b")*POWER(('vehicles specifications'!$Q81/1000),(1/SUMIFS('abrasion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specifications'!$P81/1000),(1/SUMIFS('abrasion emissions'!$M$7:$M$34,'abrasion emissions'!$I$7:$I$34,"PM 10",'abrasion emissions'!$J$7:$J$34,"urban",'abrasion emissions'!$K$7:$K$34,"Tyre",'abrasion emissions'!$L$7:$L$34,"c")))))/1000000</f>
        <v>6.5645746636105573E-6</v>
      </c>
      <c r="CO81" s="7">
        <f>((SUMIFS('abrasion emissions'!$M$7:$M$34,'abrasion emissions'!$I$7:$I$34,"PM 2.5",'abrasion emissions'!$J$7:$J$34,"rural",'abrasion emissions'!$K$7:$K$34,"Tyre",'abrasion emissions'!$L$7:$L$34,"b")*POWER(('vehicles specifications'!$Q81/1000),(1/SUMIFS('abrasion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specifications'!$P81/1000),(1/SUMIFS('abrasion emissions'!$M$7:$M$34,'abrasion emissions'!$I$7:$I$34,"PM 10",'abrasion emissions'!$J$7:$J$34,"rural",'abrasion emissions'!$K$7:$K$34,"Tyre",'abrasion emissions'!$L$7:$L$34,"c")))))/1000000</f>
        <v>5.1124669343333323E-6</v>
      </c>
      <c r="CP81" s="7">
        <f>((SUMIFS('abrasion emissions'!$M$7:$M$34,'abrasion emissions'!$I$7:$I$34,"PM 2.5",'abrasion emissions'!$J$7:$J$34,"motorway",'abrasion emissions'!$K$7:$K$34,"Tyre",'abrasion emissions'!$L$7:$L$34,"b")*POWER(('vehicles specifications'!$Q81/1000),(1/SUMIFS('abrasion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specifications'!$P81/1000),(1/SUMIFS('abrasion emissions'!$M$7:$M$34,'abrasion emissions'!$I$7:$I$34,"PM 10",'abrasion emissions'!$J$7:$J$34,"motorway",'abrasion emissions'!$K$7:$K$34,"Tyre",'abrasion emissions'!$L$7:$L$34,"c")))))/1000000</f>
        <v>4.3657201184278439E-6</v>
      </c>
      <c r="CQ81" s="7">
        <f>((SUMIFS('abrasion emissions'!$M$7:$M$34,'abrasion emissions'!$I$7:$I$34,"PM 2.5",'abrasion emissions'!$J$7:$J$34,"urban",'abrasion emissions'!$K$7:$K$34,"Brake",'abrasion emissions'!$L$7:$L$34,"b")*POWER(('vehicles specifications'!$Q81/1000),(1/SUMIFS('abrasion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specifications'!$P81/1000),(1/SUMIFS('abrasion emissions'!$M$7:$M$34,'abrasion emissions'!$I$7:$I$34,"PM 10",'abrasion emissions'!$J$7:$J$34,"urban",'abrasion emissions'!$K$7:$K$34,"Brake",'abrasion emissions'!$L$7:$L$34,"c")))))/1000000</f>
        <v>6.2870291985460774E-6</v>
      </c>
      <c r="CR81" s="7">
        <f>((SUMIFS('abrasion emissions'!$M$7:$M$34,'abrasion emissions'!$I$7:$I$34,"PM 2.5",'abrasion emissions'!$J$7:$J$34,"rural",'abrasion emissions'!$K$7:$K$34,"Brake",'abrasion emissions'!$L$7:$L$34,"b")*POWER(('vehicles specifications'!$Q81/1000),(1/SUMIFS('abrasion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specifications'!$P81/1000),(1/SUMIFS('abrasion emissions'!$M$7:$M$34,'abrasion emissions'!$I$7:$I$34,"PM 10",'abrasion emissions'!$J$7:$J$34,"rural",'abrasion emissions'!$K$7:$K$34,"Brake",'abrasion emissions'!$L$7:$L$34,"c")))))/1000000</f>
        <v>2.0574796216311868E-6</v>
      </c>
      <c r="CS81" s="7">
        <f>((SUMIFS('abrasion emissions'!$M$7:$M$34,'abrasion emissions'!$I$7:$I$34,"PM 2.5",'abrasion emissions'!$J$7:$J$34,"motorway",'abrasion emissions'!$K$7:$K$34,"Brake",'abrasion emissions'!$L$7:$L$34,"b")*POWER(('vehicles specifications'!$Q81/1000),(1/SUMIFS('abrasion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specifications'!$P81/1000),(1/SUMIFS('abrasion emissions'!$M$7:$M$34,'abrasion emissions'!$I$7:$I$34,"PM 10",'abrasion emissions'!$J$7:$J$34,"motorway",'abrasion emissions'!$K$7:$K$34,"Brake",'abrasion emissions'!$L$7:$L$34,"c")))))/1000000</f>
        <v>3.8552175767810757E-7</v>
      </c>
      <c r="CT81" s="7">
        <f>((SUMIFS('abrasion emissions'!$M$7:$M$38,'abrasion emissions'!$I$7:$I$38,"PM 2.5",'abrasion emissions'!$K$7:$K$38,"Re-susp.",'abrasion emissions'!$L$7:$L$38,"b")*POWER(('vehicles specifications'!$Q81/1000),(1/SUMIFS('abrasion emissions'!$M$7:$M$38,'abrasion emissions'!$I$7:$I$38,"PM 2.5",'abrasion emissions'!$K$7:$K$38,"Re-susp.",'abrasion emissions'!$L$7:$L$38,"c"))))+
(SUMIFS('abrasion emissions'!$M$7:$M$38,'abrasion emissions'!$I$7:$I$38,"PM 10",'abrasion emissions'!$K$7:$K$38,"Re-susp.",'abrasion emissions'!$L$7:$L$38,"b")*POWER(('vehicles specifications'!$Q81/1000),(1/SUMIFS('abrasion emissions'!$M$7:$M$38,'abrasion emissions'!$I$7:$I$38,"PM 10",'abrasion emissions'!$K$7:$K$38,"Re-susp.",'abrasion emissions'!$L$7:$L$38,"c")))))/1000000</f>
        <v>3.9767170707362104E-6</v>
      </c>
      <c r="CU81" s="7">
        <f>((SUMIFS('abrasion emissions'!$M$7:$M$38,'abrasion emissions'!$I$7:$I$38,"PM 2.5",'abrasion emissions'!$K$7:$K$38,"Road",'abrasion emissions'!$L$7:$L$38,"b")*POWER(('vehicles specifications'!$Q81/1000),(1/SUMIFS('abrasion emissions'!$M$7:$M$38,'abrasion emissions'!$I$7:$I$38,"PM 2.5",'abrasion emissions'!$K$7:$K$38,"Road",'abrasion emissions'!$L$7:$L$38,"c"))))+
(SUMIFS('abrasion emissions'!$M$7:$M$38,'abrasion emissions'!$I$7:$I$38,"PM 10",'abrasion emissions'!$K$7:$K$38,"Road",'abrasion emissions'!$L$7:$L$38,"b")*POWER(('vehicles specifications'!$Q81/1000),(1/SUMIFS('abrasion emissions'!$M$7:$M$38,'abrasion emissions'!$I$7:$I$38,"PM 10",'abrasion emissions'!$K$7:$K$38,"Road",'abrasion emissions'!$L$7:$L$38,"c")))))/1000000+CT81</f>
        <v>7.5855445843363987E-6</v>
      </c>
      <c r="CV81" s="7">
        <f t="shared" si="79"/>
        <v>5.8385207989719453E-6</v>
      </c>
      <c r="CW81" s="7">
        <f t="shared" si="80"/>
        <v>4.1722544100886321E-6</v>
      </c>
    </row>
    <row r="82" spans="1:101" x14ac:dyDescent="0.2">
      <c r="A82" t="str">
        <f t="shared" si="1"/>
        <v>Scooter, electric, 4-11kW - 2030 - NMC - CH</v>
      </c>
      <c r="B82" t="s">
        <v>344</v>
      </c>
      <c r="D82" s="18">
        <v>2030</v>
      </c>
      <c r="E82" t="s">
        <v>37</v>
      </c>
      <c r="F82" t="s">
        <v>138</v>
      </c>
      <c r="G82" t="s">
        <v>39</v>
      </c>
      <c r="H82" t="s">
        <v>32</v>
      </c>
      <c r="I82" t="s">
        <v>43</v>
      </c>
      <c r="J82">
        <v>25000</v>
      </c>
      <c r="K82">
        <v>1570</v>
      </c>
      <c r="L82" s="2">
        <f t="shared" si="2"/>
        <v>15.923566878980891</v>
      </c>
      <c r="M82">
        <v>1</v>
      </c>
      <c r="N82">
        <v>75</v>
      </c>
      <c r="O82">
        <v>4</v>
      </c>
      <c r="P82" s="2">
        <f t="shared" si="64"/>
        <v>132.18</v>
      </c>
      <c r="Q82" s="2">
        <f t="shared" si="3"/>
        <v>211.18</v>
      </c>
      <c r="R82">
        <v>6.1</v>
      </c>
      <c r="S82" s="2">
        <v>84</v>
      </c>
      <c r="T82" s="1">
        <v>0.03</v>
      </c>
      <c r="U82" s="2">
        <f t="shared" si="4"/>
        <v>81.48</v>
      </c>
      <c r="V82">
        <v>10</v>
      </c>
      <c r="W82">
        <v>16</v>
      </c>
      <c r="X82" s="3">
        <v>5.7</v>
      </c>
      <c r="Y82" s="1">
        <v>0.8</v>
      </c>
      <c r="Z82" s="3">
        <f t="shared" si="5"/>
        <v>4.5600000000000005</v>
      </c>
      <c r="AA82" s="3">
        <f>IF(I82&lt;&gt;"",X82/INDEX('energy battery'!$B$3:$D$6,MATCH('vehicles specifications'!$D82,'energy battery'!$A$3:$A$6,0),MATCH('vehicles specifications'!$I82,'energy battery'!$B$2:$D$2,0)),"")</f>
        <v>19</v>
      </c>
      <c r="AB82" s="3">
        <f t="shared" si="6"/>
        <v>5.7</v>
      </c>
      <c r="AC82" s="3">
        <f t="shared" si="7"/>
        <v>24.7</v>
      </c>
      <c r="AD82" s="3">
        <v>0.5</v>
      </c>
      <c r="AE82" s="3">
        <v>0</v>
      </c>
      <c r="AF82">
        <f>AE82*'fuels and tailpipe emissions'!$B$3</f>
        <v>0</v>
      </c>
      <c r="AG82">
        <v>0</v>
      </c>
      <c r="AH82" s="3">
        <v>0</v>
      </c>
      <c r="AI82" s="3">
        <v>3</v>
      </c>
      <c r="AJ82" s="3">
        <v>1</v>
      </c>
      <c r="AK82">
        <f t="shared" si="67"/>
        <v>1</v>
      </c>
      <c r="AL82">
        <f t="shared" si="65"/>
        <v>1.1340366E-4</v>
      </c>
      <c r="AM82">
        <v>1.2899999999999999E-3</v>
      </c>
      <c r="AN82" s="2">
        <f t="shared" si="9"/>
        <v>81.48</v>
      </c>
      <c r="AO82" s="2">
        <f t="shared" si="10"/>
        <v>26</v>
      </c>
      <c r="AP82" s="2">
        <f t="shared" si="11"/>
        <v>24.7</v>
      </c>
      <c r="AQ82" s="6" t="s">
        <v>85</v>
      </c>
      <c r="AR82" s="20"/>
      <c r="AS82" s="5">
        <v>0.18941496155676324</v>
      </c>
      <c r="AT82" s="2">
        <f t="shared" si="78"/>
        <v>86.666860236806102</v>
      </c>
      <c r="AU82" s="5">
        <v>0</v>
      </c>
      <c r="AV82" s="5">
        <v>0</v>
      </c>
      <c r="AW82" s="7">
        <v>0</v>
      </c>
      <c r="AX82" s="7">
        <v>0</v>
      </c>
      <c r="AY82" s="7">
        <v>0</v>
      </c>
      <c r="AZ82" s="7">
        <v>0</v>
      </c>
      <c r="BA82" s="7">
        <v>0</v>
      </c>
      <c r="BB82" s="7">
        <v>0</v>
      </c>
      <c r="BC82" s="7">
        <v>0</v>
      </c>
      <c r="BD82" s="7">
        <v>0</v>
      </c>
      <c r="BE82" s="7">
        <v>0</v>
      </c>
      <c r="BF82" s="7">
        <v>0</v>
      </c>
      <c r="BG82" s="7">
        <v>0</v>
      </c>
      <c r="BH82" s="7">
        <v>0</v>
      </c>
      <c r="BI82" s="7">
        <v>0</v>
      </c>
      <c r="BJ82" s="7">
        <v>0</v>
      </c>
      <c r="BK82" s="7">
        <v>0</v>
      </c>
      <c r="BL82" s="7">
        <v>0</v>
      </c>
      <c r="BM82" s="7">
        <v>0</v>
      </c>
      <c r="BN82" s="7">
        <v>0</v>
      </c>
      <c r="BO82" s="7">
        <v>0</v>
      </c>
      <c r="BP82" s="7">
        <v>0</v>
      </c>
      <c r="BQ82" s="7">
        <v>0</v>
      </c>
      <c r="BR82" s="7">
        <v>0</v>
      </c>
      <c r="BS82" s="7">
        <v>0</v>
      </c>
      <c r="BT82" s="7">
        <v>0</v>
      </c>
      <c r="BU82" s="7">
        <v>0</v>
      </c>
      <c r="BV82" s="7">
        <v>0</v>
      </c>
      <c r="BW82" s="7">
        <v>0</v>
      </c>
      <c r="BX82" s="7">
        <v>0</v>
      </c>
      <c r="BY82" s="7">
        <v>0</v>
      </c>
      <c r="BZ82" s="7">
        <v>0</v>
      </c>
      <c r="CA82" s="7">
        <v>0</v>
      </c>
      <c r="CB82" s="7">
        <v>0</v>
      </c>
      <c r="CC82" s="7">
        <v>0</v>
      </c>
      <c r="CD82" s="7">
        <v>0</v>
      </c>
      <c r="CE82" s="7">
        <v>0</v>
      </c>
      <c r="CF82" s="7">
        <v>0</v>
      </c>
      <c r="CG82" s="7">
        <v>0</v>
      </c>
      <c r="CH82" s="7">
        <v>0</v>
      </c>
      <c r="CI82" s="7">
        <v>0</v>
      </c>
      <c r="CJ82" s="7">
        <v>0</v>
      </c>
      <c r="CK82" s="38">
        <f>VLOOKUP($B82,'abrasion emissions'!$O$7:$R$36,2,FALSE)</f>
        <v>0.5</v>
      </c>
      <c r="CL82" s="38">
        <f>VLOOKUP($B82,'abrasion emissions'!$O$7:$R$36,3,FALSE)</f>
        <v>0.5</v>
      </c>
      <c r="CM82" s="38">
        <f>VLOOKUP($B82,'abrasion emissions'!$O$7:$R$36,4,FALSE)</f>
        <v>0</v>
      </c>
      <c r="CN82" s="7">
        <f>((SUMIFS('abrasion emissions'!$M$7:$M$34,'abrasion emissions'!$I$7:$I$34,"PM 2.5",'abrasion emissions'!$J$7:$J$34,"urban",'abrasion emissions'!$K$7:$K$34,"Tyre",'abrasion emissions'!$L$7:$L$34,"b")*POWER(('vehicles specifications'!$Q82/1000),(1/SUMIFS('abrasion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specifications'!$P82/1000),(1/SUMIFS('abrasion emissions'!$M$7:$M$34,'abrasion emissions'!$I$7:$I$34,"PM 10",'abrasion emissions'!$J$7:$J$34,"urban",'abrasion emissions'!$K$7:$K$34,"Tyre",'abrasion emissions'!$L$7:$L$34,"c")))))/1000000</f>
        <v>6.5766355169193657E-6</v>
      </c>
      <c r="CO82" s="7">
        <f>((SUMIFS('abrasion emissions'!$M$7:$M$34,'abrasion emissions'!$I$7:$I$34,"PM 2.5",'abrasion emissions'!$J$7:$J$34,"rural",'abrasion emissions'!$K$7:$K$34,"Tyre",'abrasion emissions'!$L$7:$L$34,"b")*POWER(('vehicles specifications'!$Q82/1000),(1/SUMIFS('abrasion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specifications'!$P82/1000),(1/SUMIFS('abrasion emissions'!$M$7:$M$34,'abrasion emissions'!$I$7:$I$34,"PM 10",'abrasion emissions'!$J$7:$J$34,"rural",'abrasion emissions'!$K$7:$K$34,"Tyre",'abrasion emissions'!$L$7:$L$34,"c")))))/1000000</f>
        <v>5.1218535152818901E-6</v>
      </c>
      <c r="CP82" s="7">
        <f>((SUMIFS('abrasion emissions'!$M$7:$M$34,'abrasion emissions'!$I$7:$I$34,"PM 2.5",'abrasion emissions'!$J$7:$J$34,"motorway",'abrasion emissions'!$K$7:$K$34,"Tyre",'abrasion emissions'!$L$7:$L$34,"b")*POWER(('vehicles specifications'!$Q82/1000),(1/SUMIFS('abrasion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specifications'!$P82/1000),(1/SUMIFS('abrasion emissions'!$M$7:$M$34,'abrasion emissions'!$I$7:$I$34,"PM 10",'abrasion emissions'!$J$7:$J$34,"motorway",'abrasion emissions'!$K$7:$K$34,"Tyre",'abrasion emissions'!$L$7:$L$34,"c")))))/1000000</f>
        <v>4.3737196774239597E-6</v>
      </c>
      <c r="CQ82" s="7">
        <f>((SUMIFS('abrasion emissions'!$M$7:$M$34,'abrasion emissions'!$I$7:$I$34,"PM 2.5",'abrasion emissions'!$J$7:$J$34,"urban",'abrasion emissions'!$K$7:$K$34,"Brake",'abrasion emissions'!$L$7:$L$34,"b")*POWER(('vehicles specifications'!$Q82/1000),(1/SUMIFS('abrasion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specifications'!$P82/1000),(1/SUMIFS('abrasion emissions'!$M$7:$M$34,'abrasion emissions'!$I$7:$I$34,"PM 10",'abrasion emissions'!$J$7:$J$34,"urban",'abrasion emissions'!$K$7:$K$34,"Brake",'abrasion emissions'!$L$7:$L$34,"c")))))/1000000</f>
        <v>6.3000782940442976E-6</v>
      </c>
      <c r="CR82" s="7">
        <f>((SUMIFS('abrasion emissions'!$M$7:$M$34,'abrasion emissions'!$I$7:$I$34,"PM 2.5",'abrasion emissions'!$J$7:$J$34,"rural",'abrasion emissions'!$K$7:$K$34,"Brake",'abrasion emissions'!$L$7:$L$34,"b")*POWER(('vehicles specifications'!$Q82/1000),(1/SUMIFS('abrasion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specifications'!$P82/1000),(1/SUMIFS('abrasion emissions'!$M$7:$M$34,'abrasion emissions'!$I$7:$I$34,"PM 10",'abrasion emissions'!$J$7:$J$34,"rural",'abrasion emissions'!$K$7:$K$34,"Brake",'abrasion emissions'!$L$7:$L$34,"c")))))/1000000</f>
        <v>2.0628805759853273E-6</v>
      </c>
      <c r="CS82" s="7">
        <f>((SUMIFS('abrasion emissions'!$M$7:$M$34,'abrasion emissions'!$I$7:$I$34,"PM 2.5",'abrasion emissions'!$J$7:$J$34,"motorway",'abrasion emissions'!$K$7:$K$34,"Brake",'abrasion emissions'!$L$7:$L$34,"b")*POWER(('vehicles specifications'!$Q82/1000),(1/SUMIFS('abrasion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specifications'!$P82/1000),(1/SUMIFS('abrasion emissions'!$M$7:$M$34,'abrasion emissions'!$I$7:$I$34,"PM 10",'abrasion emissions'!$J$7:$J$34,"motorway",'abrasion emissions'!$K$7:$K$34,"Brake",'abrasion emissions'!$L$7:$L$34,"c")))))/1000000</f>
        <v>3.8668455780672078E-7</v>
      </c>
      <c r="CT82" s="7">
        <f>((SUMIFS('abrasion emissions'!$M$7:$M$38,'abrasion emissions'!$I$7:$I$38,"PM 2.5",'abrasion emissions'!$K$7:$K$38,"Re-susp.",'abrasion emissions'!$L$7:$L$38,"b")*POWER(('vehicles specifications'!$Q82/1000),(1/SUMIFS('abrasion emissions'!$M$7:$M$38,'abrasion emissions'!$I$7:$I$38,"PM 2.5",'abrasion emissions'!$K$7:$K$38,"Re-susp.",'abrasion emissions'!$L$7:$L$38,"c"))))+
(SUMIFS('abrasion emissions'!$M$7:$M$38,'abrasion emissions'!$I$7:$I$38,"PM 10",'abrasion emissions'!$K$7:$K$38,"Re-susp.",'abrasion emissions'!$L$7:$L$38,"b")*POWER(('vehicles specifications'!$Q82/1000),(1/SUMIFS('abrasion emissions'!$M$7:$M$38,'abrasion emissions'!$I$7:$I$38,"PM 10",'abrasion emissions'!$K$7:$K$38,"Re-susp.",'abrasion emissions'!$L$7:$L$38,"c")))))/1000000</f>
        <v>3.9892553385998303E-6</v>
      </c>
      <c r="CU82" s="7">
        <f>((SUMIFS('abrasion emissions'!$M$7:$M$38,'abrasion emissions'!$I$7:$I$38,"PM 2.5",'abrasion emissions'!$K$7:$K$38,"Road",'abrasion emissions'!$L$7:$L$38,"b")*POWER(('vehicles specifications'!$Q82/1000),(1/SUMIFS('abrasion emissions'!$M$7:$M$38,'abrasion emissions'!$I$7:$I$38,"PM 2.5",'abrasion emissions'!$K$7:$K$38,"Road",'abrasion emissions'!$L$7:$L$38,"c"))))+
(SUMIFS('abrasion emissions'!$M$7:$M$38,'abrasion emissions'!$I$7:$I$38,"PM 10",'abrasion emissions'!$K$7:$K$38,"Road",'abrasion emissions'!$L$7:$L$38,"b")*POWER(('vehicles specifications'!$Q82/1000),(1/SUMIFS('abrasion emissions'!$M$7:$M$38,'abrasion emissions'!$I$7:$I$38,"PM 10",'abrasion emissions'!$K$7:$K$38,"Road",'abrasion emissions'!$L$7:$L$38,"c")))))/1000000+CT82</f>
        <v>7.6064234663980656E-6</v>
      </c>
      <c r="CV82" s="7">
        <f t="shared" si="79"/>
        <v>5.8492445161006275E-6</v>
      </c>
      <c r="CW82" s="7">
        <f t="shared" si="80"/>
        <v>4.1814794350148126E-6</v>
      </c>
    </row>
    <row r="83" spans="1:101" x14ac:dyDescent="0.2">
      <c r="A83" t="str">
        <f t="shared" si="1"/>
        <v>Scooter, electric, 4-11kW - 2040 - NMC - CH</v>
      </c>
      <c r="B83" t="s">
        <v>344</v>
      </c>
      <c r="D83" s="18">
        <v>2040</v>
      </c>
      <c r="E83" t="s">
        <v>37</v>
      </c>
      <c r="F83" t="s">
        <v>138</v>
      </c>
      <c r="G83" t="s">
        <v>39</v>
      </c>
      <c r="H83" t="s">
        <v>32</v>
      </c>
      <c r="I83" t="s">
        <v>43</v>
      </c>
      <c r="J83">
        <v>25000</v>
      </c>
      <c r="K83">
        <v>1570</v>
      </c>
      <c r="L83" s="2">
        <f t="shared" si="2"/>
        <v>15.923566878980891</v>
      </c>
      <c r="M83">
        <v>1</v>
      </c>
      <c r="N83">
        <v>75</v>
      </c>
      <c r="O83">
        <v>4</v>
      </c>
      <c r="P83" s="2">
        <f t="shared" si="64"/>
        <v>132.44999999999999</v>
      </c>
      <c r="Q83" s="2">
        <f t="shared" si="3"/>
        <v>211.45</v>
      </c>
      <c r="R83">
        <v>6.1</v>
      </c>
      <c r="S83" s="2">
        <v>84</v>
      </c>
      <c r="T83" s="1">
        <v>0.05</v>
      </c>
      <c r="U83" s="2">
        <f t="shared" si="4"/>
        <v>79.8</v>
      </c>
      <c r="V83">
        <v>10</v>
      </c>
      <c r="W83">
        <v>16</v>
      </c>
      <c r="X83" s="3">
        <v>8.1999999999999993</v>
      </c>
      <c r="Y83" s="1">
        <v>0.8</v>
      </c>
      <c r="Z83" s="3">
        <f t="shared" si="5"/>
        <v>6.56</v>
      </c>
      <c r="AA83" s="3">
        <f>IF(I83&lt;&gt;"",X83/INDEX('energy battery'!$B$3:$D$6,MATCH('vehicles specifications'!$D83,'energy battery'!$A$3:$A$6,0),MATCH('vehicles specifications'!$I83,'energy battery'!$B$2:$D$2,0)),"")</f>
        <v>20.499999999999996</v>
      </c>
      <c r="AB83" s="3">
        <f t="shared" si="6"/>
        <v>6.1499999999999986</v>
      </c>
      <c r="AC83" s="3">
        <f t="shared" si="7"/>
        <v>26.649999999999995</v>
      </c>
      <c r="AD83" s="3">
        <v>0.25</v>
      </c>
      <c r="AE83" s="3">
        <v>0</v>
      </c>
      <c r="AF83">
        <f>AE83*'fuels and tailpipe emissions'!$B$3</f>
        <v>0</v>
      </c>
      <c r="AG83">
        <v>0</v>
      </c>
      <c r="AH83" s="3">
        <v>0</v>
      </c>
      <c r="AI83" s="3">
        <v>3</v>
      </c>
      <c r="AJ83" s="3">
        <v>1</v>
      </c>
      <c r="AK83">
        <f t="shared" si="67"/>
        <v>1</v>
      </c>
      <c r="AL83">
        <f t="shared" si="65"/>
        <v>1.1354865E-4</v>
      </c>
      <c r="AM83">
        <v>1.2899999999999999E-3</v>
      </c>
      <c r="AN83" s="2">
        <f t="shared" si="9"/>
        <v>79.8</v>
      </c>
      <c r="AO83" s="2">
        <f t="shared" si="10"/>
        <v>26</v>
      </c>
      <c r="AP83" s="2">
        <f t="shared" si="11"/>
        <v>26.649999999999995</v>
      </c>
      <c r="AQ83" s="6" t="s">
        <v>85</v>
      </c>
      <c r="AR83" s="20"/>
      <c r="AS83" s="5">
        <v>0.18941496155676324</v>
      </c>
      <c r="AT83" s="2">
        <f t="shared" si="78"/>
        <v>124.6786410424228</v>
      </c>
      <c r="AU83" s="5">
        <v>0</v>
      </c>
      <c r="AV83" s="5">
        <v>0</v>
      </c>
      <c r="AW83" s="7">
        <v>0</v>
      </c>
      <c r="AX83" s="7">
        <v>0</v>
      </c>
      <c r="AY83" s="7">
        <v>0</v>
      </c>
      <c r="AZ83" s="7">
        <v>0</v>
      </c>
      <c r="BA83" s="7">
        <v>0</v>
      </c>
      <c r="BB83" s="7">
        <v>0</v>
      </c>
      <c r="BC83" s="7">
        <v>0</v>
      </c>
      <c r="BD83" s="7">
        <v>0</v>
      </c>
      <c r="BE83" s="7">
        <v>0</v>
      </c>
      <c r="BF83" s="7">
        <v>0</v>
      </c>
      <c r="BG83" s="7">
        <v>0</v>
      </c>
      <c r="BH83" s="7">
        <v>0</v>
      </c>
      <c r="BI83" s="7">
        <v>0</v>
      </c>
      <c r="BJ83" s="7">
        <v>0</v>
      </c>
      <c r="BK83" s="7">
        <v>0</v>
      </c>
      <c r="BL83" s="7">
        <v>0</v>
      </c>
      <c r="BM83" s="7">
        <v>0</v>
      </c>
      <c r="BN83" s="7">
        <v>0</v>
      </c>
      <c r="BO83" s="7">
        <v>0</v>
      </c>
      <c r="BP83" s="7">
        <v>0</v>
      </c>
      <c r="BQ83" s="7">
        <v>0</v>
      </c>
      <c r="BR83" s="7">
        <v>0</v>
      </c>
      <c r="BS83" s="7">
        <v>0</v>
      </c>
      <c r="BT83" s="7">
        <v>0</v>
      </c>
      <c r="BU83" s="7">
        <v>0</v>
      </c>
      <c r="BV83" s="7">
        <v>0</v>
      </c>
      <c r="BW83" s="7">
        <v>0</v>
      </c>
      <c r="BX83" s="7">
        <v>0</v>
      </c>
      <c r="BY83" s="7">
        <v>0</v>
      </c>
      <c r="BZ83" s="7">
        <v>0</v>
      </c>
      <c r="CA83" s="7">
        <v>0</v>
      </c>
      <c r="CB83" s="7">
        <v>0</v>
      </c>
      <c r="CC83" s="7">
        <v>0</v>
      </c>
      <c r="CD83" s="7">
        <v>0</v>
      </c>
      <c r="CE83" s="7">
        <v>0</v>
      </c>
      <c r="CF83" s="7">
        <v>0</v>
      </c>
      <c r="CG83" s="7">
        <v>0</v>
      </c>
      <c r="CH83" s="7">
        <v>0</v>
      </c>
      <c r="CI83" s="7">
        <v>0</v>
      </c>
      <c r="CJ83" s="7">
        <v>0</v>
      </c>
      <c r="CK83" s="38">
        <f>VLOOKUP($B83,'abrasion emissions'!$O$7:$R$36,2,FALSE)</f>
        <v>0.5</v>
      </c>
      <c r="CL83" s="38">
        <f>VLOOKUP($B83,'abrasion emissions'!$O$7:$R$36,3,FALSE)</f>
        <v>0.5</v>
      </c>
      <c r="CM83" s="38">
        <f>VLOOKUP($B83,'abrasion emissions'!$O$7:$R$36,4,FALSE)</f>
        <v>0</v>
      </c>
      <c r="CN83" s="7">
        <f>((SUMIFS('abrasion emissions'!$M$7:$M$34,'abrasion emissions'!$I$7:$I$34,"PM 2.5",'abrasion emissions'!$J$7:$J$34,"urban",'abrasion emissions'!$K$7:$K$34,"Tyre",'abrasion emissions'!$L$7:$L$34,"b")*POWER(('vehicles specifications'!$Q83/1000),(1/SUMIFS('abrasion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specifications'!$P83/1000),(1/SUMIFS('abrasion emissions'!$M$7:$M$34,'abrasion emissions'!$I$7:$I$34,"PM 10",'abrasion emissions'!$J$7:$J$34,"urban",'abrasion emissions'!$K$7:$K$34,"Tyre",'abrasion emissions'!$L$7:$L$34,"c")))))/1000000</f>
        <v>6.5810886972386748E-6</v>
      </c>
      <c r="CO83" s="7">
        <f>((SUMIFS('abrasion emissions'!$M$7:$M$34,'abrasion emissions'!$I$7:$I$34,"PM 2.5",'abrasion emissions'!$J$7:$J$34,"rural",'abrasion emissions'!$K$7:$K$34,"Tyre",'abrasion emissions'!$L$7:$L$34,"b")*POWER(('vehicles specifications'!$Q83/1000),(1/SUMIFS('abrasion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specifications'!$P83/1000),(1/SUMIFS('abrasion emissions'!$M$7:$M$34,'abrasion emissions'!$I$7:$I$34,"PM 10",'abrasion emissions'!$J$7:$J$34,"rural",'abrasion emissions'!$K$7:$K$34,"Tyre",'abrasion emissions'!$L$7:$L$34,"c")))))/1000000</f>
        <v>5.1253192889032687E-6</v>
      </c>
      <c r="CP83" s="7">
        <f>((SUMIFS('abrasion emissions'!$M$7:$M$34,'abrasion emissions'!$I$7:$I$34,"PM 2.5",'abrasion emissions'!$J$7:$J$34,"motorway",'abrasion emissions'!$K$7:$K$34,"Tyre",'abrasion emissions'!$L$7:$L$34,"b")*POWER(('vehicles specifications'!$Q83/1000),(1/SUMIFS('abrasion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specifications'!$P83/1000),(1/SUMIFS('abrasion emissions'!$M$7:$M$34,'abrasion emissions'!$I$7:$I$34,"PM 10",'abrasion emissions'!$J$7:$J$34,"motorway",'abrasion emissions'!$K$7:$K$34,"Tyre",'abrasion emissions'!$L$7:$L$34,"c")))))/1000000</f>
        <v>4.3766733362535794E-6</v>
      </c>
      <c r="CQ83" s="7">
        <f>((SUMIFS('abrasion emissions'!$M$7:$M$34,'abrasion emissions'!$I$7:$I$34,"PM 2.5",'abrasion emissions'!$J$7:$J$34,"urban",'abrasion emissions'!$K$7:$K$34,"Brake",'abrasion emissions'!$L$7:$L$34,"b")*POWER(('vehicles specifications'!$Q83/1000),(1/SUMIFS('abrasion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specifications'!$P83/1000),(1/SUMIFS('abrasion emissions'!$M$7:$M$34,'abrasion emissions'!$I$7:$I$34,"PM 10",'abrasion emissions'!$J$7:$J$34,"urban",'abrasion emissions'!$K$7:$K$34,"Brake",'abrasion emissions'!$L$7:$L$34,"c")))))/1000000</f>
        <v>6.3048982122214375E-6</v>
      </c>
      <c r="CR83" s="7">
        <f>((SUMIFS('abrasion emissions'!$M$7:$M$34,'abrasion emissions'!$I$7:$I$34,"PM 2.5",'abrasion emissions'!$J$7:$J$34,"rural",'abrasion emissions'!$K$7:$K$34,"Brake",'abrasion emissions'!$L$7:$L$34,"b")*POWER(('vehicles specifications'!$Q83/1000),(1/SUMIFS('abrasion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specifications'!$P83/1000),(1/SUMIFS('abrasion emissions'!$M$7:$M$34,'abrasion emissions'!$I$7:$I$34,"PM 10",'abrasion emissions'!$J$7:$J$34,"rural",'abrasion emissions'!$K$7:$K$34,"Brake",'abrasion emissions'!$L$7:$L$34,"c")))))/1000000</f>
        <v>2.0648763114685876E-6</v>
      </c>
      <c r="CS83" s="7">
        <f>((SUMIFS('abrasion emissions'!$M$7:$M$34,'abrasion emissions'!$I$7:$I$34,"PM 2.5",'abrasion emissions'!$J$7:$J$34,"motorway",'abrasion emissions'!$K$7:$K$34,"Brake",'abrasion emissions'!$L$7:$L$34,"b")*POWER(('vehicles specifications'!$Q83/1000),(1/SUMIFS('abrasion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specifications'!$P83/1000),(1/SUMIFS('abrasion emissions'!$M$7:$M$34,'abrasion emissions'!$I$7:$I$34,"PM 10",'abrasion emissions'!$J$7:$J$34,"motorway",'abrasion emissions'!$K$7:$K$34,"Brake",'abrasion emissions'!$L$7:$L$34,"c")))))/1000000</f>
        <v>3.871143561051602E-7</v>
      </c>
      <c r="CT83" s="7">
        <f>((SUMIFS('abrasion emissions'!$M$7:$M$38,'abrasion emissions'!$I$7:$I$38,"PM 2.5",'abrasion emissions'!$K$7:$K$38,"Re-susp.",'abrasion emissions'!$L$7:$L$38,"b")*POWER(('vehicles specifications'!$Q83/1000),(1/SUMIFS('abrasion emissions'!$M$7:$M$38,'abrasion emissions'!$I$7:$I$38,"PM 2.5",'abrasion emissions'!$K$7:$K$38,"Re-susp.",'abrasion emissions'!$L$7:$L$38,"c"))))+
(SUMIFS('abrasion emissions'!$M$7:$M$38,'abrasion emissions'!$I$7:$I$38,"PM 10",'abrasion emissions'!$K$7:$K$38,"Re-susp.",'abrasion emissions'!$L$7:$L$38,"b")*POWER(('vehicles specifications'!$Q83/1000),(1/SUMIFS('abrasion emissions'!$M$7:$M$38,'abrasion emissions'!$I$7:$I$38,"PM 10",'abrasion emissions'!$K$7:$K$38,"Re-susp.",'abrasion emissions'!$L$7:$L$38,"c")))))/1000000</f>
        <v>3.9938917813367097E-6</v>
      </c>
      <c r="CU83" s="7">
        <f>((SUMIFS('abrasion emissions'!$M$7:$M$38,'abrasion emissions'!$I$7:$I$38,"PM 2.5",'abrasion emissions'!$K$7:$K$38,"Road",'abrasion emissions'!$L$7:$L$38,"b")*POWER(('vehicles specifications'!$Q83/1000),(1/SUMIFS('abrasion emissions'!$M$7:$M$38,'abrasion emissions'!$I$7:$I$38,"PM 2.5",'abrasion emissions'!$K$7:$K$38,"Road",'abrasion emissions'!$L$7:$L$38,"c"))))+
(SUMIFS('abrasion emissions'!$M$7:$M$38,'abrasion emissions'!$I$7:$I$38,"PM 10",'abrasion emissions'!$K$7:$K$38,"Road",'abrasion emissions'!$L$7:$L$38,"b")*POWER(('vehicles specifications'!$Q83/1000),(1/SUMIFS('abrasion emissions'!$M$7:$M$38,'abrasion emissions'!$I$7:$I$38,"PM 10",'abrasion emissions'!$K$7:$K$38,"Road",'abrasion emissions'!$L$7:$L$38,"c")))))/1000000+CT83</f>
        <v>7.6141423582400934E-6</v>
      </c>
      <c r="CV83" s="7">
        <f t="shared" si="79"/>
        <v>5.8532039930709717E-6</v>
      </c>
      <c r="CW83" s="7">
        <f t="shared" si="80"/>
        <v>4.1848872618450126E-6</v>
      </c>
    </row>
    <row r="84" spans="1:101" x14ac:dyDescent="0.2">
      <c r="A84" t="str">
        <f t="shared" si="1"/>
        <v>Scooter, electric, 4-11kW - 2050 - NMC - CH</v>
      </c>
      <c r="B84" t="s">
        <v>344</v>
      </c>
      <c r="D84" s="18">
        <v>2050</v>
      </c>
      <c r="E84" t="s">
        <v>37</v>
      </c>
      <c r="F84" t="s">
        <v>138</v>
      </c>
      <c r="G84" t="s">
        <v>39</v>
      </c>
      <c r="H84" t="s">
        <v>32</v>
      </c>
      <c r="I84" t="s">
        <v>43</v>
      </c>
      <c r="J84">
        <v>25000</v>
      </c>
      <c r="K84">
        <v>1570</v>
      </c>
      <c r="L84" s="2">
        <f t="shared" si="2"/>
        <v>15.923566878980891</v>
      </c>
      <c r="M84">
        <v>1</v>
      </c>
      <c r="N84">
        <v>75</v>
      </c>
      <c r="O84">
        <v>4</v>
      </c>
      <c r="P84" s="2">
        <f t="shared" si="64"/>
        <v>132.19999999999999</v>
      </c>
      <c r="Q84" s="2">
        <f t="shared" si="3"/>
        <v>211.2</v>
      </c>
      <c r="R84">
        <v>6.1</v>
      </c>
      <c r="S84" s="2">
        <v>84</v>
      </c>
      <c r="T84" s="1">
        <v>7.0000000000000007E-2</v>
      </c>
      <c r="U84" s="2">
        <f t="shared" si="4"/>
        <v>78.11999999999999</v>
      </c>
      <c r="V84">
        <v>10</v>
      </c>
      <c r="W84">
        <v>16</v>
      </c>
      <c r="X84" s="3">
        <v>10.8</v>
      </c>
      <c r="Y84" s="1">
        <v>0.8</v>
      </c>
      <c r="Z84" s="3">
        <f t="shared" si="5"/>
        <v>8.64</v>
      </c>
      <c r="AA84" s="3">
        <f>IF(I84&lt;&gt;"",X84/INDEX('energy battery'!$B$3:$D$6,MATCH('vehicles specifications'!$D84,'energy battery'!$A$3:$A$6,0),MATCH('vehicles specifications'!$I84,'energy battery'!$B$2:$D$2,0)),"")</f>
        <v>21.6</v>
      </c>
      <c r="AB84" s="3">
        <f t="shared" si="6"/>
        <v>6.48</v>
      </c>
      <c r="AC84" s="3">
        <f t="shared" si="7"/>
        <v>28.080000000000002</v>
      </c>
      <c r="AD84" s="3">
        <v>0</v>
      </c>
      <c r="AE84" s="3">
        <v>0</v>
      </c>
      <c r="AF84">
        <f>AE84*'fuels and tailpipe emissions'!$B$3</f>
        <v>0</v>
      </c>
      <c r="AG84">
        <v>0</v>
      </c>
      <c r="AH84" s="3">
        <v>0</v>
      </c>
      <c r="AI84" s="3">
        <v>3</v>
      </c>
      <c r="AJ84" s="3">
        <v>1</v>
      </c>
      <c r="AK84">
        <f t="shared" si="67"/>
        <v>1</v>
      </c>
      <c r="AL84">
        <f t="shared" si="65"/>
        <v>1.134144E-4</v>
      </c>
      <c r="AM84">
        <v>1.2899999999999999E-3</v>
      </c>
      <c r="AN84" s="2">
        <f t="shared" si="9"/>
        <v>78.11999999999999</v>
      </c>
      <c r="AO84" s="2">
        <f t="shared" si="10"/>
        <v>26</v>
      </c>
      <c r="AP84" s="2">
        <f t="shared" si="11"/>
        <v>28.080000000000002</v>
      </c>
      <c r="AQ84" s="6" t="s">
        <v>85</v>
      </c>
      <c r="AR84" s="20"/>
      <c r="AS84" s="5">
        <v>0.18941496155676324</v>
      </c>
      <c r="AT84" s="2">
        <f t="shared" si="78"/>
        <v>164.21089308026419</v>
      </c>
      <c r="AU84" s="5">
        <v>0</v>
      </c>
      <c r="AV84" s="5">
        <v>0</v>
      </c>
      <c r="AW84" s="7">
        <v>0</v>
      </c>
      <c r="AX84" s="7">
        <v>0</v>
      </c>
      <c r="AY84" s="7">
        <v>0</v>
      </c>
      <c r="AZ84" s="7">
        <v>0</v>
      </c>
      <c r="BA84" s="7">
        <v>0</v>
      </c>
      <c r="BB84" s="7">
        <v>0</v>
      </c>
      <c r="BC84" s="7">
        <v>0</v>
      </c>
      <c r="BD84" s="7">
        <v>0</v>
      </c>
      <c r="BE84" s="7">
        <v>0</v>
      </c>
      <c r="BF84" s="7">
        <v>0</v>
      </c>
      <c r="BG84" s="7">
        <v>0</v>
      </c>
      <c r="BH84" s="7">
        <v>0</v>
      </c>
      <c r="BI84" s="7">
        <v>0</v>
      </c>
      <c r="BJ84" s="7">
        <v>0</v>
      </c>
      <c r="BK84" s="7">
        <v>0</v>
      </c>
      <c r="BL84" s="7">
        <v>0</v>
      </c>
      <c r="BM84" s="7">
        <v>0</v>
      </c>
      <c r="BN84" s="7">
        <v>0</v>
      </c>
      <c r="BO84" s="7">
        <v>0</v>
      </c>
      <c r="BP84" s="7">
        <v>0</v>
      </c>
      <c r="BQ84" s="7">
        <v>0</v>
      </c>
      <c r="BR84" s="7">
        <v>0</v>
      </c>
      <c r="BS84" s="7">
        <v>0</v>
      </c>
      <c r="BT84" s="7">
        <v>0</v>
      </c>
      <c r="BU84" s="7">
        <v>0</v>
      </c>
      <c r="BV84" s="7">
        <v>0</v>
      </c>
      <c r="BW84" s="7">
        <v>0</v>
      </c>
      <c r="BX84" s="7">
        <v>0</v>
      </c>
      <c r="BY84" s="7">
        <v>0</v>
      </c>
      <c r="BZ84" s="7">
        <v>0</v>
      </c>
      <c r="CA84" s="7">
        <v>0</v>
      </c>
      <c r="CB84" s="7">
        <v>0</v>
      </c>
      <c r="CC84" s="7">
        <v>0</v>
      </c>
      <c r="CD84" s="7">
        <v>0</v>
      </c>
      <c r="CE84" s="7">
        <v>0</v>
      </c>
      <c r="CF84" s="7">
        <v>0</v>
      </c>
      <c r="CG84" s="7">
        <v>0</v>
      </c>
      <c r="CH84" s="7">
        <v>0</v>
      </c>
      <c r="CI84" s="7">
        <v>0</v>
      </c>
      <c r="CJ84" s="7">
        <v>0</v>
      </c>
      <c r="CK84" s="38">
        <f>VLOOKUP($B84,'abrasion emissions'!$O$7:$R$36,2,FALSE)</f>
        <v>0.5</v>
      </c>
      <c r="CL84" s="38">
        <f>VLOOKUP($B84,'abrasion emissions'!$O$7:$R$36,3,FALSE)</f>
        <v>0.5</v>
      </c>
      <c r="CM84" s="38">
        <f>VLOOKUP($B84,'abrasion emissions'!$O$7:$R$36,4,FALSE)</f>
        <v>0</v>
      </c>
      <c r="CN84" s="7">
        <f>((SUMIFS('abrasion emissions'!$M$7:$M$34,'abrasion emissions'!$I$7:$I$34,"PM 2.5",'abrasion emissions'!$J$7:$J$34,"urban",'abrasion emissions'!$K$7:$K$34,"Tyre",'abrasion emissions'!$L$7:$L$34,"b")*POWER(('vehicles specifications'!$Q84/1000),(1/SUMIFS('abrasion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specifications'!$P84/1000),(1/SUMIFS('abrasion emissions'!$M$7:$M$34,'abrasion emissions'!$I$7:$I$34,"PM 10",'abrasion emissions'!$J$7:$J$34,"urban",'abrasion emissions'!$K$7:$K$34,"Tyre",'abrasion emissions'!$L$7:$L$34,"c")))))/1000000</f>
        <v>6.5769655240526869E-6</v>
      </c>
      <c r="CO84" s="7">
        <f>((SUMIFS('abrasion emissions'!$M$7:$M$34,'abrasion emissions'!$I$7:$I$34,"PM 2.5",'abrasion emissions'!$J$7:$J$34,"rural",'abrasion emissions'!$K$7:$K$34,"Tyre",'abrasion emissions'!$L$7:$L$34,"b")*POWER(('vehicles specifications'!$Q84/1000),(1/SUMIFS('abrasion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specifications'!$P84/1000),(1/SUMIFS('abrasion emissions'!$M$7:$M$34,'abrasion emissions'!$I$7:$I$34,"PM 10",'abrasion emissions'!$J$7:$J$34,"rural",'abrasion emissions'!$K$7:$K$34,"Tyre",'abrasion emissions'!$L$7:$L$34,"c")))))/1000000</f>
        <v>5.1221103496332357E-6</v>
      </c>
      <c r="CP84" s="7">
        <f>((SUMIFS('abrasion emissions'!$M$7:$M$34,'abrasion emissions'!$I$7:$I$34,"PM 2.5",'abrasion emissions'!$J$7:$J$34,"motorway",'abrasion emissions'!$K$7:$K$34,"Tyre",'abrasion emissions'!$L$7:$L$34,"b")*POWER(('vehicles specifications'!$Q84/1000),(1/SUMIFS('abrasion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specifications'!$P84/1000),(1/SUMIFS('abrasion emissions'!$M$7:$M$34,'abrasion emissions'!$I$7:$I$34,"PM 10",'abrasion emissions'!$J$7:$J$34,"motorway",'abrasion emissions'!$K$7:$K$34,"Tyre",'abrasion emissions'!$L$7:$L$34,"c")))))/1000000</f>
        <v>4.3739385608451761E-6</v>
      </c>
      <c r="CQ84" s="7">
        <f>((SUMIFS('abrasion emissions'!$M$7:$M$34,'abrasion emissions'!$I$7:$I$34,"PM 2.5",'abrasion emissions'!$J$7:$J$34,"urban",'abrasion emissions'!$K$7:$K$34,"Brake",'abrasion emissions'!$L$7:$L$34,"b")*POWER(('vehicles specifications'!$Q84/1000),(1/SUMIFS('abrasion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specifications'!$P84/1000),(1/SUMIFS('abrasion emissions'!$M$7:$M$34,'abrasion emissions'!$I$7:$I$34,"PM 10",'abrasion emissions'!$J$7:$J$34,"urban",'abrasion emissions'!$K$7:$K$34,"Brake",'abrasion emissions'!$L$7:$L$34,"c")))))/1000000</f>
        <v>6.3004354443800739E-6</v>
      </c>
      <c r="CR84" s="7">
        <f>((SUMIFS('abrasion emissions'!$M$7:$M$34,'abrasion emissions'!$I$7:$I$34,"PM 2.5",'abrasion emissions'!$J$7:$J$34,"rural",'abrasion emissions'!$K$7:$K$34,"Brake",'abrasion emissions'!$L$7:$L$34,"b")*POWER(('vehicles specifications'!$Q84/1000),(1/SUMIFS('abrasion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specifications'!$P84/1000),(1/SUMIFS('abrasion emissions'!$M$7:$M$34,'abrasion emissions'!$I$7:$I$34,"PM 10",'abrasion emissions'!$J$7:$J$34,"rural",'abrasion emissions'!$K$7:$K$34,"Brake",'abrasion emissions'!$L$7:$L$34,"c")))))/1000000</f>
        <v>2.0630284429479404E-6</v>
      </c>
      <c r="CS84" s="7">
        <f>((SUMIFS('abrasion emissions'!$M$7:$M$34,'abrasion emissions'!$I$7:$I$34,"PM 2.5",'abrasion emissions'!$J$7:$J$34,"motorway",'abrasion emissions'!$K$7:$K$34,"Brake",'abrasion emissions'!$L$7:$L$34,"b")*POWER(('vehicles specifications'!$Q84/1000),(1/SUMIFS('abrasion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specifications'!$P84/1000),(1/SUMIFS('abrasion emissions'!$M$7:$M$34,'abrasion emissions'!$I$7:$I$34,"PM 10",'abrasion emissions'!$J$7:$J$34,"motorway",'abrasion emissions'!$K$7:$K$34,"Brake",'abrasion emissions'!$L$7:$L$34,"c")))))/1000000</f>
        <v>3.8671639986502506E-7</v>
      </c>
      <c r="CT84" s="7">
        <f>((SUMIFS('abrasion emissions'!$M$7:$M$38,'abrasion emissions'!$I$7:$I$38,"PM 2.5",'abrasion emissions'!$K$7:$K$38,"Re-susp.",'abrasion emissions'!$L$7:$L$38,"b")*POWER(('vehicles specifications'!$Q84/1000),(1/SUMIFS('abrasion emissions'!$M$7:$M$38,'abrasion emissions'!$I$7:$I$38,"PM 2.5",'abrasion emissions'!$K$7:$K$38,"Re-susp.",'abrasion emissions'!$L$7:$L$38,"c"))))+
(SUMIFS('abrasion emissions'!$M$7:$M$38,'abrasion emissions'!$I$7:$I$38,"PM 10",'abrasion emissions'!$K$7:$K$38,"Re-susp.",'abrasion emissions'!$L$7:$L$38,"b")*POWER(('vehicles specifications'!$Q84/1000),(1/SUMIFS('abrasion emissions'!$M$7:$M$38,'abrasion emissions'!$I$7:$I$38,"PM 10",'abrasion emissions'!$K$7:$K$38,"Re-susp.",'abrasion emissions'!$L$7:$L$38,"c")))))/1000000</f>
        <v>3.9895987972749974E-6</v>
      </c>
      <c r="CU84" s="7">
        <f>((SUMIFS('abrasion emissions'!$M$7:$M$38,'abrasion emissions'!$I$7:$I$38,"PM 2.5",'abrasion emissions'!$K$7:$K$38,"Road",'abrasion emissions'!$L$7:$L$38,"b")*POWER(('vehicles specifications'!$Q84/1000),(1/SUMIFS('abrasion emissions'!$M$7:$M$38,'abrasion emissions'!$I$7:$I$38,"PM 2.5",'abrasion emissions'!$K$7:$K$38,"Road",'abrasion emissions'!$L$7:$L$38,"c"))))+
(SUMIFS('abrasion emissions'!$M$7:$M$38,'abrasion emissions'!$I$7:$I$38,"PM 10",'abrasion emissions'!$K$7:$K$38,"Road",'abrasion emissions'!$L$7:$L$38,"b")*POWER(('vehicles specifications'!$Q84/1000),(1/SUMIFS('abrasion emissions'!$M$7:$M$38,'abrasion emissions'!$I$7:$I$38,"PM 10",'abrasion emissions'!$K$7:$K$38,"Road",'abrasion emissions'!$L$7:$L$38,"c")))))/1000000+CT84</f>
        <v>7.6069952996690376E-6</v>
      </c>
      <c r="CV84" s="7">
        <f t="shared" si="79"/>
        <v>5.8495379368429613E-6</v>
      </c>
      <c r="CW84" s="7">
        <f t="shared" si="80"/>
        <v>4.1817319436640074E-6</v>
      </c>
    </row>
    <row r="85" spans="1:101" x14ac:dyDescent="0.2">
      <c r="A85" t="str">
        <f t="shared" ref="A85:A92" si="81">B85&amp;" - "&amp;D85&amp;" - "&amp;IF(I85&lt;&gt;"",I85&amp;" - "&amp;E85,E85)</f>
        <v>Scooter, electric, &lt;4kW - 2020 - LFP - CH</v>
      </c>
      <c r="B85" t="s">
        <v>383</v>
      </c>
      <c r="D85" s="18">
        <v>2020</v>
      </c>
      <c r="E85" t="s">
        <v>37</v>
      </c>
      <c r="F85" t="s">
        <v>138</v>
      </c>
      <c r="G85" t="s">
        <v>39</v>
      </c>
      <c r="H85" t="s">
        <v>32</v>
      </c>
      <c r="I85" t="s">
        <v>44</v>
      </c>
      <c r="J85">
        <v>25000</v>
      </c>
      <c r="K85">
        <v>1570</v>
      </c>
      <c r="L85" s="2">
        <f>J85/K85</f>
        <v>15.923566878980891</v>
      </c>
      <c r="M85">
        <v>1</v>
      </c>
      <c r="N85">
        <v>75</v>
      </c>
      <c r="O85">
        <v>4</v>
      </c>
      <c r="P85" s="2">
        <f>SUM(U85,V85,W85,AC85,AF85,AH85)</f>
        <v>104.4</v>
      </c>
      <c r="Q85" s="2">
        <f>P85+(M85*N85)+O85</f>
        <v>183.4</v>
      </c>
      <c r="R85">
        <v>2.6</v>
      </c>
      <c r="S85" s="2">
        <v>73</v>
      </c>
      <c r="T85" s="1">
        <v>0</v>
      </c>
      <c r="U85" s="2">
        <f>S85*(1-T85)</f>
        <v>73</v>
      </c>
      <c r="V85">
        <v>5</v>
      </c>
      <c r="W85">
        <v>8</v>
      </c>
      <c r="X85" s="3">
        <v>2.2999999999999998</v>
      </c>
      <c r="Y85" s="1">
        <v>0.8</v>
      </c>
      <c r="Z85" s="3">
        <f>Y85*X85</f>
        <v>1.8399999999999999</v>
      </c>
      <c r="AA85" s="3">
        <f>IF(I85&lt;&gt;"",X85/INDEX('energy battery'!$B$3:$D$6,MATCH('vehicles specifications'!$D85,'energy battery'!$A$3:$A$6,0),MATCH('vehicles specifications'!$I85,'energy battery'!$B$2:$D$2,0)),"")</f>
        <v>15.333333333333332</v>
      </c>
      <c r="AB85" s="3">
        <f>IF(AA85&lt;&gt;"",0.2*AA85,"")</f>
        <v>3.0666666666666664</v>
      </c>
      <c r="AC85" s="3">
        <f t="shared" ref="AC85:AC92" si="82">IF(AA85&lt;&gt;"",AB85+AA85,"")</f>
        <v>18.399999999999999</v>
      </c>
      <c r="AD85" s="3">
        <v>1</v>
      </c>
      <c r="AE85" s="3">
        <v>0</v>
      </c>
      <c r="AF85">
        <f>AE85*'fuels and tailpipe emissions'!$B$3</f>
        <v>0</v>
      </c>
      <c r="AG85">
        <v>0</v>
      </c>
      <c r="AH85" s="3">
        <v>0</v>
      </c>
      <c r="AI85" s="3">
        <v>3</v>
      </c>
      <c r="AJ85" s="3">
        <v>1</v>
      </c>
      <c r="AK85">
        <f t="shared" si="67"/>
        <v>1</v>
      </c>
      <c r="AL85">
        <f>0.000537/1000*Q85</f>
        <v>9.8485800000000005E-5</v>
      </c>
      <c r="AM85">
        <v>1.2899999999999999E-3</v>
      </c>
      <c r="AN85" s="2">
        <f>U85</f>
        <v>73</v>
      </c>
      <c r="AO85" s="2">
        <f>SUM(V85:W85)</f>
        <v>13</v>
      </c>
      <c r="AP85" s="2">
        <f>AC85</f>
        <v>18.399999999999999</v>
      </c>
      <c r="AQ85" s="6" t="s">
        <v>85</v>
      </c>
      <c r="AR85" s="20"/>
      <c r="AS85" s="5">
        <v>0.13343610710814707</v>
      </c>
      <c r="AT85" s="2">
        <f t="shared" si="78"/>
        <v>49.641735985533444</v>
      </c>
      <c r="AU85" s="5">
        <v>0</v>
      </c>
      <c r="AV85" s="5">
        <v>0</v>
      </c>
      <c r="AW85" s="7">
        <v>0</v>
      </c>
      <c r="AX85" s="7">
        <v>0</v>
      </c>
      <c r="AY85" s="7">
        <v>0</v>
      </c>
      <c r="AZ85" s="7">
        <v>0</v>
      </c>
      <c r="BA85" s="7">
        <v>0</v>
      </c>
      <c r="BB85" s="7">
        <v>0</v>
      </c>
      <c r="BC85" s="7">
        <v>0</v>
      </c>
      <c r="BD85" s="7">
        <v>0</v>
      </c>
      <c r="BE85" s="7">
        <v>0</v>
      </c>
      <c r="BF85" s="7">
        <v>0</v>
      </c>
      <c r="BG85" s="7">
        <v>0</v>
      </c>
      <c r="BH85" s="7">
        <v>0</v>
      </c>
      <c r="BI85" s="7">
        <v>0</v>
      </c>
      <c r="BJ85" s="7">
        <v>0</v>
      </c>
      <c r="BK85" s="7">
        <v>0</v>
      </c>
      <c r="BL85" s="7">
        <v>0</v>
      </c>
      <c r="BM85" s="7">
        <v>0</v>
      </c>
      <c r="BN85" s="7">
        <v>0</v>
      </c>
      <c r="BO85" s="7">
        <v>0</v>
      </c>
      <c r="BP85" s="7">
        <v>0</v>
      </c>
      <c r="BQ85" s="7">
        <v>0</v>
      </c>
      <c r="BR85" s="7">
        <v>0</v>
      </c>
      <c r="BS85" s="7">
        <v>0</v>
      </c>
      <c r="BT85" s="7">
        <v>0</v>
      </c>
      <c r="BU85" s="7">
        <v>0</v>
      </c>
      <c r="BV85" s="7">
        <v>0</v>
      </c>
      <c r="BW85" s="7">
        <v>0</v>
      </c>
      <c r="BX85" s="7">
        <v>0</v>
      </c>
      <c r="BY85" s="7">
        <v>0</v>
      </c>
      <c r="BZ85" s="7">
        <v>0</v>
      </c>
      <c r="CA85" s="7">
        <v>0</v>
      </c>
      <c r="CB85" s="7">
        <v>0</v>
      </c>
      <c r="CC85" s="7">
        <v>0</v>
      </c>
      <c r="CD85" s="7">
        <v>0</v>
      </c>
      <c r="CE85" s="7">
        <v>0</v>
      </c>
      <c r="CF85" s="7">
        <v>0</v>
      </c>
      <c r="CG85" s="7">
        <v>0</v>
      </c>
      <c r="CH85" s="7">
        <v>0</v>
      </c>
      <c r="CI85" s="7">
        <v>0</v>
      </c>
      <c r="CJ85" s="7">
        <v>0</v>
      </c>
      <c r="CK85" s="38">
        <f>VLOOKUP($B85,'abrasion emissions'!$O$7:$R$36,2,FALSE)</f>
        <v>0.5</v>
      </c>
      <c r="CL85" s="38">
        <f>VLOOKUP($B85,'abrasion emissions'!$O$7:$R$36,3,FALSE)</f>
        <v>0.5</v>
      </c>
      <c r="CM85" s="38">
        <f>VLOOKUP($B85,'abrasion emissions'!$O$7:$R$36,4,FALSE)</f>
        <v>0</v>
      </c>
      <c r="CN85" s="7">
        <f>((SUMIFS('abrasion emissions'!$M$7:$M$34,'abrasion emissions'!$I$7:$I$34,"PM 2.5",'abrasion emissions'!$J$7:$J$34,"urban",'abrasion emissions'!$K$7:$K$34,"Tyre",'abrasion emissions'!$L$7:$L$34,"b")*POWER(('vehicles specifications'!$Q85/1000),(1/SUMIFS('abrasion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specifications'!$P85/1000),(1/SUMIFS('abrasion emissions'!$M$7:$M$34,'abrasion emissions'!$I$7:$I$34,"PM 10",'abrasion emissions'!$J$7:$J$34,"urban",'abrasion emissions'!$K$7:$K$34,"Tyre",'abrasion emissions'!$L$7:$L$34,"c")))))/1000000</f>
        <v>6.0939883487702139E-6</v>
      </c>
      <c r="CO85" s="7">
        <f>((SUMIFS('abrasion emissions'!$M$7:$M$34,'abrasion emissions'!$I$7:$I$34,"PM 2.5",'abrasion emissions'!$J$7:$J$34,"rural",'abrasion emissions'!$K$7:$K$34,"Tyre",'abrasion emissions'!$L$7:$L$34,"b")*POWER(('vehicles specifications'!$Q85/1000),(1/SUMIFS('abrasion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specifications'!$P85/1000),(1/SUMIFS('abrasion emissions'!$M$7:$M$34,'abrasion emissions'!$I$7:$I$34,"PM 10",'abrasion emissions'!$J$7:$J$34,"rural",'abrasion emissions'!$K$7:$K$34,"Tyre",'abrasion emissions'!$L$7:$L$34,"c")))))/1000000</f>
        <v>4.7462384289897407E-6</v>
      </c>
      <c r="CP85" s="7">
        <f>((SUMIFS('abrasion emissions'!$M$7:$M$34,'abrasion emissions'!$I$7:$I$34,"PM 2.5",'abrasion emissions'!$J$7:$J$34,"motorway",'abrasion emissions'!$K$7:$K$34,"Tyre",'abrasion emissions'!$L$7:$L$34,"b")*POWER(('vehicles specifications'!$Q85/1000),(1/SUMIFS('abrasion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specifications'!$P85/1000),(1/SUMIFS('abrasion emissions'!$M$7:$M$34,'abrasion emissions'!$I$7:$I$34,"PM 10",'abrasion emissions'!$J$7:$J$34,"motorway",'abrasion emissions'!$K$7:$K$34,"Tyre",'abrasion emissions'!$L$7:$L$34,"c")))))/1000000</f>
        <v>4.0536429430964356E-6</v>
      </c>
      <c r="CQ85" s="7">
        <f>((SUMIFS('abrasion emissions'!$M$7:$M$34,'abrasion emissions'!$I$7:$I$34,"PM 2.5",'abrasion emissions'!$J$7:$J$34,"urban",'abrasion emissions'!$K$7:$K$34,"Brake",'abrasion emissions'!$L$7:$L$34,"b")*POWER(('vehicles specifications'!$Q85/1000),(1/SUMIFS('abrasion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specifications'!$P85/1000),(1/SUMIFS('abrasion emissions'!$M$7:$M$34,'abrasion emissions'!$I$7:$I$34,"PM 10",'abrasion emissions'!$J$7:$J$34,"urban",'abrasion emissions'!$K$7:$K$34,"Brake",'abrasion emissions'!$L$7:$L$34,"c")))))/1000000</f>
        <v>5.7838594585083416E-6</v>
      </c>
      <c r="CR85" s="7">
        <f>((SUMIFS('abrasion emissions'!$M$7:$M$34,'abrasion emissions'!$I$7:$I$34,"PM 2.5",'abrasion emissions'!$J$7:$J$34,"rural",'abrasion emissions'!$K$7:$K$34,"Brake",'abrasion emissions'!$L$7:$L$34,"b")*POWER(('vehicles specifications'!$Q85/1000),(1/SUMIFS('abrasion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specifications'!$P85/1000),(1/SUMIFS('abrasion emissions'!$M$7:$M$34,'abrasion emissions'!$I$7:$I$34,"PM 10",'abrasion emissions'!$J$7:$J$34,"rural",'abrasion emissions'!$K$7:$K$34,"Brake",'abrasion emissions'!$L$7:$L$34,"c")))))/1000000</f>
        <v>1.8516896947047957E-6</v>
      </c>
      <c r="CS85" s="7">
        <f>((SUMIFS('abrasion emissions'!$M$7:$M$34,'abrasion emissions'!$I$7:$I$34,"PM 2.5",'abrasion emissions'!$J$7:$J$34,"motorway",'abrasion emissions'!$K$7:$K$34,"Brake",'abrasion emissions'!$L$7:$L$34,"b")*POWER(('vehicles specifications'!$Q85/1000),(1/SUMIFS('abrasion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specifications'!$P85/1000),(1/SUMIFS('abrasion emissions'!$M$7:$M$34,'abrasion emissions'!$I$7:$I$34,"PM 10",'abrasion emissions'!$J$7:$J$34,"motorway",'abrasion emissions'!$K$7:$K$34,"Brake",'abrasion emissions'!$L$7:$L$34,"c")))))/1000000</f>
        <v>3.4160088586697583E-7</v>
      </c>
      <c r="CT85" s="7">
        <f>((SUMIFS('abrasion emissions'!$M$7:$M$38,'abrasion emissions'!$I$7:$I$38,"PM 2.5",'abrasion emissions'!$K$7:$K$38,"Re-susp.",'abrasion emissions'!$L$7:$L$38,"b")*POWER(('vehicles specifications'!$Q85/1000),(1/SUMIFS('abrasion emissions'!$M$7:$M$38,'abrasion emissions'!$I$7:$I$38,"PM 2.5",'abrasion emissions'!$K$7:$K$38,"Re-susp.",'abrasion emissions'!$L$7:$L$38,"c"))))+
(SUMIFS('abrasion emissions'!$M$7:$M$38,'abrasion emissions'!$I$7:$I$38,"PM 10",'abrasion emissions'!$K$7:$K$38,"Re-susp.",'abrasion emissions'!$L$7:$L$38,"b")*POWER(('vehicles specifications'!$Q85/1000),(1/SUMIFS('abrasion emissions'!$M$7:$M$38,'abrasion emissions'!$I$7:$I$38,"PM 10",'abrasion emissions'!$K$7:$K$38,"Re-susp.",'abrasion emissions'!$L$7:$L$38,"c")))))/1000000</f>
        <v>3.5091899469670075E-6</v>
      </c>
      <c r="CU85" s="7">
        <f>((SUMIFS('abrasion emissions'!$M$7:$M$38,'abrasion emissions'!$I$7:$I$38,"PM 2.5",'abrasion emissions'!$K$7:$K$38,"Road",'abrasion emissions'!$L$7:$L$38,"b")*POWER(('vehicles specifications'!$Q85/1000),(1/SUMIFS('abrasion emissions'!$M$7:$M$38,'abrasion emissions'!$I$7:$I$38,"PM 2.5",'abrasion emissions'!$K$7:$K$38,"Road",'abrasion emissions'!$L$7:$L$38,"c"))))+
(SUMIFS('abrasion emissions'!$M$7:$M$38,'abrasion emissions'!$I$7:$I$38,"PM 10",'abrasion emissions'!$K$7:$K$38,"Road",'abrasion emissions'!$L$7:$L$38,"b")*POWER(('vehicles specifications'!$Q85/1000),(1/SUMIFS('abrasion emissions'!$M$7:$M$38,'abrasion emissions'!$I$7:$I$38,"PM 10",'abrasion emissions'!$K$7:$K$38,"Road",'abrasion emissions'!$L$7:$L$38,"c")))))/1000000+CT85</f>
        <v>6.8017451062921886E-6</v>
      </c>
      <c r="CV85" s="7">
        <f t="shared" si="79"/>
        <v>5.4201133888799773E-6</v>
      </c>
      <c r="CW85" s="7">
        <f t="shared" si="80"/>
        <v>3.817774576606569E-6</v>
      </c>
    </row>
    <row r="86" spans="1:101" x14ac:dyDescent="0.2">
      <c r="A86" t="str">
        <f t="shared" si="81"/>
        <v>Scooter, electric, &lt;4kW - 2030 - LFP - CH</v>
      </c>
      <c r="B86" t="s">
        <v>383</v>
      </c>
      <c r="D86" s="18">
        <v>2030</v>
      </c>
      <c r="E86" t="s">
        <v>37</v>
      </c>
      <c r="F86" t="s">
        <v>138</v>
      </c>
      <c r="G86" t="s">
        <v>39</v>
      </c>
      <c r="H86" t="s">
        <v>32</v>
      </c>
      <c r="I86" t="s">
        <v>44</v>
      </c>
      <c r="J86">
        <v>25000</v>
      </c>
      <c r="K86">
        <v>1570</v>
      </c>
      <c r="L86" s="2">
        <f>J86/K86</f>
        <v>15.923566878980891</v>
      </c>
      <c r="M86">
        <v>1</v>
      </c>
      <c r="N86">
        <v>75</v>
      </c>
      <c r="O86">
        <v>4</v>
      </c>
      <c r="P86" s="2">
        <f>SUM(U86,V86,W86,AC86,AF86,AH86)</f>
        <v>110.47666666666666</v>
      </c>
      <c r="Q86" s="2">
        <f>P86+(M86*N86)+O86</f>
        <v>189.47666666666666</v>
      </c>
      <c r="R86">
        <v>2.6</v>
      </c>
      <c r="S86" s="2">
        <v>73</v>
      </c>
      <c r="T86" s="1">
        <v>0.03</v>
      </c>
      <c r="U86" s="2">
        <f>S86*(1-T86)</f>
        <v>70.81</v>
      </c>
      <c r="V86">
        <v>5</v>
      </c>
      <c r="W86">
        <v>8</v>
      </c>
      <c r="X86" s="3">
        <v>4</v>
      </c>
      <c r="Y86" s="1">
        <v>0.8</v>
      </c>
      <c r="Z86" s="3">
        <f>Y86*X86</f>
        <v>3.2</v>
      </c>
      <c r="AA86" s="3">
        <f>IF(I86&lt;&gt;"",X86/INDEX('energy battery'!$B$3:$D$6,MATCH('vehicles specifications'!$D86,'energy battery'!$A$3:$A$6,0),MATCH('vehicles specifications'!$I86,'energy battery'!$B$2:$D$2,0)),"")</f>
        <v>22.222222222222221</v>
      </c>
      <c r="AB86" s="3">
        <f t="shared" ref="AB86:AB88" si="83">IF(AA86&lt;&gt;"",0.2*AA86,"")</f>
        <v>4.4444444444444446</v>
      </c>
      <c r="AC86" s="3">
        <f t="shared" si="82"/>
        <v>26.666666666666664</v>
      </c>
      <c r="AD86" s="3">
        <v>0.5</v>
      </c>
      <c r="AE86" s="3">
        <v>0</v>
      </c>
      <c r="AF86">
        <f>AE86*'fuels and tailpipe emissions'!$B$3</f>
        <v>0</v>
      </c>
      <c r="AG86">
        <v>0</v>
      </c>
      <c r="AH86" s="3">
        <v>0</v>
      </c>
      <c r="AI86" s="3">
        <v>3</v>
      </c>
      <c r="AJ86" s="3">
        <v>1</v>
      </c>
      <c r="AK86">
        <f t="shared" si="67"/>
        <v>1</v>
      </c>
      <c r="AL86">
        <f>0.000537/1000*Q86</f>
        <v>1.0174897E-4</v>
      </c>
      <c r="AM86">
        <v>1.2899999999999999E-3</v>
      </c>
      <c r="AN86" s="2">
        <f>U86</f>
        <v>70.81</v>
      </c>
      <c r="AO86" s="2">
        <f>SUM(V86:W86)</f>
        <v>13</v>
      </c>
      <c r="AP86" s="2">
        <f>AC86</f>
        <v>26.666666666666664</v>
      </c>
      <c r="AQ86" s="6" t="s">
        <v>85</v>
      </c>
      <c r="AR86" s="20"/>
      <c r="AS86" s="5">
        <v>0.13343610710814707</v>
      </c>
      <c r="AT86" s="2">
        <f t="shared" si="78"/>
        <v>86.333453887884261</v>
      </c>
      <c r="AU86" s="5">
        <v>0</v>
      </c>
      <c r="AV86" s="5">
        <v>0</v>
      </c>
      <c r="AW86" s="7">
        <v>0</v>
      </c>
      <c r="AX86" s="7">
        <v>0</v>
      </c>
      <c r="AY86" s="7">
        <v>0</v>
      </c>
      <c r="AZ86" s="7">
        <v>0</v>
      </c>
      <c r="BA86" s="7">
        <v>0</v>
      </c>
      <c r="BB86" s="7">
        <v>0</v>
      </c>
      <c r="BC86" s="7">
        <v>0</v>
      </c>
      <c r="BD86" s="7">
        <v>0</v>
      </c>
      <c r="BE86" s="7">
        <v>0</v>
      </c>
      <c r="BF86" s="7">
        <v>0</v>
      </c>
      <c r="BG86" s="7">
        <v>0</v>
      </c>
      <c r="BH86" s="7">
        <v>0</v>
      </c>
      <c r="BI86" s="7">
        <v>0</v>
      </c>
      <c r="BJ86" s="7">
        <v>0</v>
      </c>
      <c r="BK86" s="7">
        <v>0</v>
      </c>
      <c r="BL86" s="7">
        <v>0</v>
      </c>
      <c r="BM86" s="7">
        <v>0</v>
      </c>
      <c r="BN86" s="7">
        <v>0</v>
      </c>
      <c r="BO86" s="7">
        <v>0</v>
      </c>
      <c r="BP86" s="7">
        <v>0</v>
      </c>
      <c r="BQ86" s="7">
        <v>0</v>
      </c>
      <c r="BR86" s="7">
        <v>0</v>
      </c>
      <c r="BS86" s="7">
        <v>0</v>
      </c>
      <c r="BT86" s="7">
        <v>0</v>
      </c>
      <c r="BU86" s="7">
        <v>0</v>
      </c>
      <c r="BV86" s="7">
        <v>0</v>
      </c>
      <c r="BW86" s="7">
        <v>0</v>
      </c>
      <c r="BX86" s="7">
        <v>0</v>
      </c>
      <c r="BY86" s="7">
        <v>0</v>
      </c>
      <c r="BZ86" s="7">
        <v>0</v>
      </c>
      <c r="CA86" s="7">
        <v>0</v>
      </c>
      <c r="CB86" s="7">
        <v>0</v>
      </c>
      <c r="CC86" s="7">
        <v>0</v>
      </c>
      <c r="CD86" s="7">
        <v>0</v>
      </c>
      <c r="CE86" s="7">
        <v>0</v>
      </c>
      <c r="CF86" s="7">
        <v>0</v>
      </c>
      <c r="CG86" s="7">
        <v>0</v>
      </c>
      <c r="CH86" s="7">
        <v>0</v>
      </c>
      <c r="CI86" s="7">
        <v>0</v>
      </c>
      <c r="CJ86" s="7">
        <v>0</v>
      </c>
      <c r="CK86" s="38">
        <f>VLOOKUP($B86,'abrasion emissions'!$O$7:$R$36,2,FALSE)</f>
        <v>0.5</v>
      </c>
      <c r="CL86" s="38">
        <f>VLOOKUP($B86,'abrasion emissions'!$O$7:$R$36,3,FALSE)</f>
        <v>0.5</v>
      </c>
      <c r="CM86" s="38">
        <f>VLOOKUP($B86,'abrasion emissions'!$O$7:$R$36,4,FALSE)</f>
        <v>0</v>
      </c>
      <c r="CN86" s="7">
        <f>((SUMIFS('abrasion emissions'!$M$7:$M$34,'abrasion emissions'!$I$7:$I$34,"PM 2.5",'abrasion emissions'!$J$7:$J$34,"urban",'abrasion emissions'!$K$7:$K$34,"Tyre",'abrasion emissions'!$L$7:$L$34,"b")*POWER(('vehicles specifications'!$Q86/1000),(1/SUMIFS('abrasion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specifications'!$P86/1000),(1/SUMIFS('abrasion emissions'!$M$7:$M$34,'abrasion emissions'!$I$7:$I$34,"PM 10",'abrasion emissions'!$J$7:$J$34,"urban",'abrasion emissions'!$K$7:$K$34,"Tyre",'abrasion emissions'!$L$7:$L$34,"c")))))/1000000</f>
        <v>6.2040519535612382E-6</v>
      </c>
      <c r="CO86" s="7">
        <f>((SUMIFS('abrasion emissions'!$M$7:$M$34,'abrasion emissions'!$I$7:$I$34,"PM 2.5",'abrasion emissions'!$J$7:$J$34,"rural",'abrasion emissions'!$K$7:$K$34,"Tyre",'abrasion emissions'!$L$7:$L$34,"b")*POWER(('vehicles specifications'!$Q86/1000),(1/SUMIFS('abrasion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specifications'!$P86/1000),(1/SUMIFS('abrasion emissions'!$M$7:$M$34,'abrasion emissions'!$I$7:$I$34,"PM 10",'abrasion emissions'!$J$7:$J$34,"rural",'abrasion emissions'!$K$7:$K$34,"Tyre",'abrasion emissions'!$L$7:$L$34,"c")))))/1000000</f>
        <v>4.8318915786994544E-6</v>
      </c>
      <c r="CP86" s="7">
        <f>((SUMIFS('abrasion emissions'!$M$7:$M$34,'abrasion emissions'!$I$7:$I$34,"PM 2.5",'abrasion emissions'!$J$7:$J$34,"motorway",'abrasion emissions'!$K$7:$K$34,"Tyre",'abrasion emissions'!$L$7:$L$34,"b")*POWER(('vehicles specifications'!$Q86/1000),(1/SUMIFS('abrasion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specifications'!$P86/1000),(1/SUMIFS('abrasion emissions'!$M$7:$M$34,'abrasion emissions'!$I$7:$I$34,"PM 10",'abrasion emissions'!$J$7:$J$34,"motorway",'abrasion emissions'!$K$7:$K$34,"Tyre",'abrasion emissions'!$L$7:$L$34,"c")))))/1000000</f>
        <v>4.1266246736648349E-6</v>
      </c>
      <c r="CQ86" s="7">
        <f>((SUMIFS('abrasion emissions'!$M$7:$M$34,'abrasion emissions'!$I$7:$I$34,"PM 2.5",'abrasion emissions'!$J$7:$J$34,"urban",'abrasion emissions'!$K$7:$K$34,"Brake",'abrasion emissions'!$L$7:$L$34,"b")*POWER(('vehicles specifications'!$Q86/1000),(1/SUMIFS('abrasion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specifications'!$P86/1000),(1/SUMIFS('abrasion emissions'!$M$7:$M$34,'abrasion emissions'!$I$7:$I$34,"PM 10",'abrasion emissions'!$J$7:$J$34,"urban",'abrasion emissions'!$K$7:$K$34,"Brake",'abrasion emissions'!$L$7:$L$34,"c")))))/1000000</f>
        <v>5.9004641510009408E-6</v>
      </c>
      <c r="CR86" s="7">
        <f>((SUMIFS('abrasion emissions'!$M$7:$M$34,'abrasion emissions'!$I$7:$I$34,"PM 2.5",'abrasion emissions'!$J$7:$J$34,"rural",'abrasion emissions'!$K$7:$K$34,"Brake",'abrasion emissions'!$L$7:$L$34,"b")*POWER(('vehicles specifications'!$Q86/1000),(1/SUMIFS('abrasion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specifications'!$P86/1000),(1/SUMIFS('abrasion emissions'!$M$7:$M$34,'abrasion emissions'!$I$7:$I$34,"PM 10",'abrasion emissions'!$J$7:$J$34,"rural",'abrasion emissions'!$K$7:$K$34,"Brake",'abrasion emissions'!$L$7:$L$34,"c")))))/1000000</f>
        <v>1.8989411957840395E-6</v>
      </c>
      <c r="CS86" s="7">
        <f>((SUMIFS('abrasion emissions'!$M$7:$M$34,'abrasion emissions'!$I$7:$I$34,"PM 2.5",'abrasion emissions'!$J$7:$J$34,"motorway",'abrasion emissions'!$K$7:$K$34,"Brake",'abrasion emissions'!$L$7:$L$34,"b")*POWER(('vehicles specifications'!$Q86/1000),(1/SUMIFS('abrasion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specifications'!$P86/1000),(1/SUMIFS('abrasion emissions'!$M$7:$M$34,'abrasion emissions'!$I$7:$I$34,"PM 10",'abrasion emissions'!$J$7:$J$34,"motorway",'abrasion emissions'!$K$7:$K$34,"Brake",'abrasion emissions'!$L$7:$L$34,"c")))))/1000000</f>
        <v>3.5161724347948208E-7</v>
      </c>
      <c r="CT86" s="7">
        <f>((SUMIFS('abrasion emissions'!$M$7:$M$38,'abrasion emissions'!$I$7:$I$38,"PM 2.5",'abrasion emissions'!$K$7:$K$38,"Re-susp.",'abrasion emissions'!$L$7:$L$38,"b")*POWER(('vehicles specifications'!$Q86/1000),(1/SUMIFS('abrasion emissions'!$M$7:$M$38,'abrasion emissions'!$I$7:$I$38,"PM 2.5",'abrasion emissions'!$K$7:$K$38,"Re-susp.",'abrasion emissions'!$L$7:$L$38,"c"))))+
(SUMIFS('abrasion emissions'!$M$7:$M$38,'abrasion emissions'!$I$7:$I$38,"PM 10",'abrasion emissions'!$K$7:$K$38,"Re-susp.",'abrasion emissions'!$L$7:$L$38,"b")*POWER(('vehicles specifications'!$Q86/1000),(1/SUMIFS('abrasion emissions'!$M$7:$M$38,'abrasion emissions'!$I$7:$I$38,"PM 10",'abrasion emissions'!$K$7:$K$38,"Re-susp.",'abrasion emissions'!$L$7:$L$38,"c")))))/1000000</f>
        <v>3.6147339262511342E-6</v>
      </c>
      <c r="CU86" s="7">
        <f>((SUMIFS('abrasion emissions'!$M$7:$M$38,'abrasion emissions'!$I$7:$I$38,"PM 2.5",'abrasion emissions'!$K$7:$K$38,"Road",'abrasion emissions'!$L$7:$L$38,"b")*POWER(('vehicles specifications'!$Q86/1000),(1/SUMIFS('abrasion emissions'!$M$7:$M$38,'abrasion emissions'!$I$7:$I$38,"PM 2.5",'abrasion emissions'!$K$7:$K$38,"Road",'abrasion emissions'!$L$7:$L$38,"c"))))+
(SUMIFS('abrasion emissions'!$M$7:$M$38,'abrasion emissions'!$I$7:$I$38,"PM 10",'abrasion emissions'!$K$7:$K$38,"Road",'abrasion emissions'!$L$7:$L$38,"b")*POWER(('vehicles specifications'!$Q86/1000),(1/SUMIFS('abrasion emissions'!$M$7:$M$38,'abrasion emissions'!$I$7:$I$38,"PM 10",'abrasion emissions'!$K$7:$K$38,"Road",'abrasion emissions'!$L$7:$L$38,"c")))))/1000000+CT86</f>
        <v>6.9796223058990272E-6</v>
      </c>
      <c r="CV86" s="7">
        <f t="shared" si="79"/>
        <v>5.5179717661303463E-6</v>
      </c>
      <c r="CW86" s="7">
        <f t="shared" si="80"/>
        <v>3.8997026733924905E-6</v>
      </c>
    </row>
    <row r="87" spans="1:101" x14ac:dyDescent="0.2">
      <c r="A87" t="str">
        <f t="shared" si="81"/>
        <v>Scooter, electric, &lt;4kW - 2040 - LFP - CH</v>
      </c>
      <c r="B87" t="s">
        <v>383</v>
      </c>
      <c r="D87" s="18">
        <v>2040</v>
      </c>
      <c r="E87" t="s">
        <v>37</v>
      </c>
      <c r="F87" t="s">
        <v>138</v>
      </c>
      <c r="G87" t="s">
        <v>39</v>
      </c>
      <c r="H87" t="s">
        <v>32</v>
      </c>
      <c r="I87" t="s">
        <v>44</v>
      </c>
      <c r="J87">
        <v>25000</v>
      </c>
      <c r="K87">
        <v>1570</v>
      </c>
      <c r="L87" s="2">
        <f>J87/K87</f>
        <v>15.923566878980891</v>
      </c>
      <c r="M87">
        <v>1</v>
      </c>
      <c r="N87">
        <v>75</v>
      </c>
      <c r="O87">
        <v>4</v>
      </c>
      <c r="P87" s="2">
        <f>SUM(U87,V87,W87,AC87,AF87,AH87)</f>
        <v>121.01666666666665</v>
      </c>
      <c r="Q87" s="2">
        <f>P87+(M87*N87)+O87</f>
        <v>200.01666666666665</v>
      </c>
      <c r="R87">
        <v>2.6</v>
      </c>
      <c r="S87" s="2">
        <v>73</v>
      </c>
      <c r="T87" s="1">
        <v>0.05</v>
      </c>
      <c r="U87" s="2">
        <f>S87*(1-T87)</f>
        <v>69.349999999999994</v>
      </c>
      <c r="V87">
        <v>5</v>
      </c>
      <c r="W87">
        <v>8</v>
      </c>
      <c r="X87" s="3">
        <v>5.8</v>
      </c>
      <c r="Y87" s="1">
        <v>0.8</v>
      </c>
      <c r="Z87" s="3">
        <f>Y87*X87</f>
        <v>4.6399999999999997</v>
      </c>
      <c r="AA87" s="3">
        <f>IF(I87&lt;&gt;"",X87/INDEX('energy battery'!$B$3:$D$6,MATCH('vehicles specifications'!$D87,'energy battery'!$A$3:$A$6,0),MATCH('vehicles specifications'!$I87,'energy battery'!$B$2:$D$2,0)),"")</f>
        <v>32.222222222222221</v>
      </c>
      <c r="AB87" s="3">
        <f t="shared" si="83"/>
        <v>6.4444444444444446</v>
      </c>
      <c r="AC87" s="3">
        <f t="shared" si="82"/>
        <v>38.666666666666664</v>
      </c>
      <c r="AD87" s="3">
        <v>0.25</v>
      </c>
      <c r="AE87" s="3">
        <v>0</v>
      </c>
      <c r="AF87">
        <f>AE87*'fuels and tailpipe emissions'!$B$3</f>
        <v>0</v>
      </c>
      <c r="AG87">
        <v>0</v>
      </c>
      <c r="AH87" s="3">
        <v>0</v>
      </c>
      <c r="AI87" s="3">
        <v>3</v>
      </c>
      <c r="AJ87" s="3">
        <v>1</v>
      </c>
      <c r="AK87">
        <f t="shared" si="67"/>
        <v>1</v>
      </c>
      <c r="AL87">
        <f>0.000537/1000*Q87</f>
        <v>1.0740895E-4</v>
      </c>
      <c r="AM87">
        <v>1.2899999999999999E-3</v>
      </c>
      <c r="AN87" s="2">
        <f>U87</f>
        <v>69.349999999999994</v>
      </c>
      <c r="AO87" s="2">
        <f>SUM(V87:W87)</f>
        <v>13</v>
      </c>
      <c r="AP87" s="2">
        <f>AC87</f>
        <v>38.666666666666664</v>
      </c>
      <c r="AQ87" s="6" t="s">
        <v>85</v>
      </c>
      <c r="AR87" s="20"/>
      <c r="AS87" s="5">
        <v>0.13343610710814707</v>
      </c>
      <c r="AT87" s="2">
        <f t="shared" si="78"/>
        <v>125.18350813743217</v>
      </c>
      <c r="AU87" s="5">
        <v>0</v>
      </c>
      <c r="AV87" s="5">
        <v>0</v>
      </c>
      <c r="AW87" s="7">
        <v>0</v>
      </c>
      <c r="AX87" s="7">
        <v>0</v>
      </c>
      <c r="AY87" s="7">
        <v>0</v>
      </c>
      <c r="AZ87" s="7">
        <v>0</v>
      </c>
      <c r="BA87" s="7">
        <v>0</v>
      </c>
      <c r="BB87" s="7">
        <v>0</v>
      </c>
      <c r="BC87" s="7">
        <v>0</v>
      </c>
      <c r="BD87" s="7">
        <v>0</v>
      </c>
      <c r="BE87" s="7">
        <v>0</v>
      </c>
      <c r="BF87" s="7">
        <v>0</v>
      </c>
      <c r="BG87" s="7">
        <v>0</v>
      </c>
      <c r="BH87" s="7">
        <v>0</v>
      </c>
      <c r="BI87" s="7">
        <v>0</v>
      </c>
      <c r="BJ87" s="7">
        <v>0</v>
      </c>
      <c r="BK87" s="7">
        <v>0</v>
      </c>
      <c r="BL87" s="7">
        <v>0</v>
      </c>
      <c r="BM87" s="7">
        <v>0</v>
      </c>
      <c r="BN87" s="7">
        <v>0</v>
      </c>
      <c r="BO87" s="7">
        <v>0</v>
      </c>
      <c r="BP87" s="7">
        <v>0</v>
      </c>
      <c r="BQ87" s="7">
        <v>0</v>
      </c>
      <c r="BR87" s="7">
        <v>0</v>
      </c>
      <c r="BS87" s="7">
        <v>0</v>
      </c>
      <c r="BT87" s="7">
        <v>0</v>
      </c>
      <c r="BU87" s="7">
        <v>0</v>
      </c>
      <c r="BV87" s="7">
        <v>0</v>
      </c>
      <c r="BW87" s="7">
        <v>0</v>
      </c>
      <c r="BX87" s="7">
        <v>0</v>
      </c>
      <c r="BY87" s="7">
        <v>0</v>
      </c>
      <c r="BZ87" s="7">
        <v>0</v>
      </c>
      <c r="CA87" s="7">
        <v>0</v>
      </c>
      <c r="CB87" s="7">
        <v>0</v>
      </c>
      <c r="CC87" s="7">
        <v>0</v>
      </c>
      <c r="CD87" s="7">
        <v>0</v>
      </c>
      <c r="CE87" s="7">
        <v>0</v>
      </c>
      <c r="CF87" s="7">
        <v>0</v>
      </c>
      <c r="CG87" s="7">
        <v>0</v>
      </c>
      <c r="CH87" s="7">
        <v>0</v>
      </c>
      <c r="CI87" s="7">
        <v>0</v>
      </c>
      <c r="CJ87" s="7">
        <v>0</v>
      </c>
      <c r="CK87" s="38">
        <f>VLOOKUP($B87,'abrasion emissions'!$O$7:$R$36,2,FALSE)</f>
        <v>0.5</v>
      </c>
      <c r="CL87" s="38">
        <f>VLOOKUP($B87,'abrasion emissions'!$O$7:$R$36,3,FALSE)</f>
        <v>0.5</v>
      </c>
      <c r="CM87" s="38">
        <f>VLOOKUP($B87,'abrasion emissions'!$O$7:$R$36,4,FALSE)</f>
        <v>0</v>
      </c>
      <c r="CN87" s="7">
        <f>((SUMIFS('abrasion emissions'!$M$7:$M$34,'abrasion emissions'!$I$7:$I$34,"PM 2.5",'abrasion emissions'!$J$7:$J$34,"urban",'abrasion emissions'!$K$7:$K$34,"Tyre",'abrasion emissions'!$L$7:$L$34,"b")*POWER(('vehicles specifications'!$Q87/1000),(1/SUMIFS('abrasion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specifications'!$P87/1000),(1/SUMIFS('abrasion emissions'!$M$7:$M$34,'abrasion emissions'!$I$7:$I$34,"PM 10",'abrasion emissions'!$J$7:$J$34,"urban",'abrasion emissions'!$K$7:$K$34,"Tyre",'abrasion emissions'!$L$7:$L$34,"c")))))/1000000</f>
        <v>6.388750266427093E-6</v>
      </c>
      <c r="CO87" s="7">
        <f>((SUMIFS('abrasion emissions'!$M$7:$M$34,'abrasion emissions'!$I$7:$I$34,"PM 2.5",'abrasion emissions'!$J$7:$J$34,"rural",'abrasion emissions'!$K$7:$K$34,"Tyre",'abrasion emissions'!$L$7:$L$34,"b")*POWER(('vehicles specifications'!$Q87/1000),(1/SUMIFS('abrasion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specifications'!$P87/1000),(1/SUMIFS('abrasion emissions'!$M$7:$M$34,'abrasion emissions'!$I$7:$I$34,"PM 10",'abrasion emissions'!$J$7:$J$34,"rural",'abrasion emissions'!$K$7:$K$34,"Tyre",'abrasion emissions'!$L$7:$L$34,"c")))))/1000000</f>
        <v>4.9756302805240694E-6</v>
      </c>
      <c r="CP87" s="7">
        <f>((SUMIFS('abrasion emissions'!$M$7:$M$34,'abrasion emissions'!$I$7:$I$34,"PM 2.5",'abrasion emissions'!$J$7:$J$34,"motorway",'abrasion emissions'!$K$7:$K$34,"Tyre",'abrasion emissions'!$L$7:$L$34,"b")*POWER(('vehicles specifications'!$Q87/1000),(1/SUMIFS('abrasion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specifications'!$P87/1000),(1/SUMIFS('abrasion emissions'!$M$7:$M$34,'abrasion emissions'!$I$7:$I$34,"PM 10",'abrasion emissions'!$J$7:$J$34,"motorway",'abrasion emissions'!$K$7:$K$34,"Tyre",'abrasion emissions'!$L$7:$L$34,"c")))))/1000000</f>
        <v>4.2491081501098227E-6</v>
      </c>
      <c r="CQ87" s="7">
        <f>((SUMIFS('abrasion emissions'!$M$7:$M$34,'abrasion emissions'!$I$7:$I$34,"PM 2.5",'abrasion emissions'!$J$7:$J$34,"urban",'abrasion emissions'!$K$7:$K$34,"Brake",'abrasion emissions'!$L$7:$L$34,"b")*POWER(('vehicles specifications'!$Q87/1000),(1/SUMIFS('abrasion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specifications'!$P87/1000),(1/SUMIFS('abrasion emissions'!$M$7:$M$34,'abrasion emissions'!$I$7:$I$34,"PM 10",'abrasion emissions'!$J$7:$J$34,"urban",'abrasion emissions'!$K$7:$K$34,"Brake",'abrasion emissions'!$L$7:$L$34,"c")))))/1000000</f>
        <v>6.0976443541393636E-6</v>
      </c>
      <c r="CR87" s="7">
        <f>((SUMIFS('abrasion emissions'!$M$7:$M$34,'abrasion emissions'!$I$7:$I$34,"PM 2.5",'abrasion emissions'!$J$7:$J$34,"rural",'abrasion emissions'!$K$7:$K$34,"Brake",'abrasion emissions'!$L$7:$L$34,"b")*POWER(('vehicles specifications'!$Q87/1000),(1/SUMIFS('abrasion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specifications'!$P87/1000),(1/SUMIFS('abrasion emissions'!$M$7:$M$34,'abrasion emissions'!$I$7:$I$34,"PM 10",'abrasion emissions'!$J$7:$J$34,"rural",'abrasion emissions'!$K$7:$K$34,"Brake",'abrasion emissions'!$L$7:$L$34,"c")))))/1000000</f>
        <v>1.9794523426250671E-6</v>
      </c>
      <c r="CS87" s="7">
        <f>((SUMIFS('abrasion emissions'!$M$7:$M$34,'abrasion emissions'!$I$7:$I$34,"PM 2.5",'abrasion emissions'!$J$7:$J$34,"motorway",'abrasion emissions'!$K$7:$K$34,"Brake",'abrasion emissions'!$L$7:$L$34,"b")*POWER(('vehicles specifications'!$Q87/1000),(1/SUMIFS('abrasion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specifications'!$P87/1000),(1/SUMIFS('abrasion emissions'!$M$7:$M$34,'abrasion emissions'!$I$7:$I$34,"PM 10",'abrasion emissions'!$J$7:$J$34,"motorway",'abrasion emissions'!$K$7:$K$34,"Brake",'abrasion emissions'!$L$7:$L$34,"c")))))/1000000</f>
        <v>3.6877915240481075E-7</v>
      </c>
      <c r="CT87" s="7">
        <f>((SUMIFS('abrasion emissions'!$M$7:$M$38,'abrasion emissions'!$I$7:$I$38,"PM 2.5",'abrasion emissions'!$K$7:$K$38,"Re-susp.",'abrasion emissions'!$L$7:$L$38,"b")*POWER(('vehicles specifications'!$Q87/1000),(1/SUMIFS('abrasion emissions'!$M$7:$M$38,'abrasion emissions'!$I$7:$I$38,"PM 2.5",'abrasion emissions'!$K$7:$K$38,"Re-susp.",'abrasion emissions'!$L$7:$L$38,"c"))))+
(SUMIFS('abrasion emissions'!$M$7:$M$38,'abrasion emissions'!$I$7:$I$38,"PM 10",'abrasion emissions'!$K$7:$K$38,"Re-susp.",'abrasion emissions'!$L$7:$L$38,"b")*POWER(('vehicles specifications'!$Q87/1000),(1/SUMIFS('abrasion emissions'!$M$7:$M$38,'abrasion emissions'!$I$7:$I$38,"PM 10",'abrasion emissions'!$K$7:$K$38,"Re-susp.",'abrasion emissions'!$L$7:$L$38,"c")))))/1000000</f>
        <v>3.7970775851205696E-6</v>
      </c>
      <c r="CU87" s="7">
        <f>((SUMIFS('abrasion emissions'!$M$7:$M$38,'abrasion emissions'!$I$7:$I$38,"PM 2.5",'abrasion emissions'!$K$7:$K$38,"Road",'abrasion emissions'!$L$7:$L$38,"b")*POWER(('vehicles specifications'!$Q87/1000),(1/SUMIFS('abrasion emissions'!$M$7:$M$38,'abrasion emissions'!$I$7:$I$38,"PM 2.5",'abrasion emissions'!$K$7:$K$38,"Road",'abrasion emissions'!$L$7:$L$38,"c"))))+
(SUMIFS('abrasion emissions'!$M$7:$M$38,'abrasion emissions'!$I$7:$I$38,"PM 10",'abrasion emissions'!$K$7:$K$38,"Road",'abrasion emissions'!$L$7:$L$38,"b")*POWER(('vehicles specifications'!$Q87/1000),(1/SUMIFS('abrasion emissions'!$M$7:$M$38,'abrasion emissions'!$I$7:$I$38,"PM 10",'abrasion emissions'!$K$7:$K$38,"Road",'abrasion emissions'!$L$7:$L$38,"c")))))/1000000+CT87</f>
        <v>7.285622310923459E-6</v>
      </c>
      <c r="CV87" s="7">
        <f t="shared" si="79"/>
        <v>5.6821902734755812E-6</v>
      </c>
      <c r="CW87" s="7">
        <f t="shared" si="80"/>
        <v>4.0385483483822152E-6</v>
      </c>
    </row>
    <row r="88" spans="1:101" x14ac:dyDescent="0.2">
      <c r="A88" t="str">
        <f t="shared" si="81"/>
        <v>Scooter, electric, &lt;4kW - 2050 - LFP - CH</v>
      </c>
      <c r="B88" t="s">
        <v>383</v>
      </c>
      <c r="D88" s="18">
        <v>2050</v>
      </c>
      <c r="E88" t="s">
        <v>37</v>
      </c>
      <c r="F88" t="s">
        <v>138</v>
      </c>
      <c r="G88" t="s">
        <v>39</v>
      </c>
      <c r="H88" t="s">
        <v>32</v>
      </c>
      <c r="I88" t="s">
        <v>44</v>
      </c>
      <c r="J88">
        <v>25000</v>
      </c>
      <c r="K88">
        <v>1570</v>
      </c>
      <c r="L88" s="2">
        <f>J88/K88</f>
        <v>15.923566878980891</v>
      </c>
      <c r="M88">
        <v>1</v>
      </c>
      <c r="N88">
        <v>75</v>
      </c>
      <c r="O88">
        <v>4</v>
      </c>
      <c r="P88" s="2">
        <f>SUM(U88,V88,W88,AC88,AF88,AH88)</f>
        <v>128.88999999999999</v>
      </c>
      <c r="Q88" s="2">
        <f>P88+(M88*N88)+O88</f>
        <v>207.89</v>
      </c>
      <c r="R88">
        <v>2.6</v>
      </c>
      <c r="S88" s="2">
        <v>73</v>
      </c>
      <c r="T88" s="1">
        <v>7.0000000000000007E-2</v>
      </c>
      <c r="U88" s="2">
        <f>S88*(1-T88)</f>
        <v>67.89</v>
      </c>
      <c r="V88">
        <v>5</v>
      </c>
      <c r="W88">
        <v>8</v>
      </c>
      <c r="X88" s="3">
        <v>8</v>
      </c>
      <c r="Y88" s="1">
        <v>0.8</v>
      </c>
      <c r="Z88" s="3">
        <f>Y88*X88</f>
        <v>6.4</v>
      </c>
      <c r="AA88" s="3">
        <f>IF(I88&lt;&gt;"",X88/INDEX('energy battery'!$B$3:$D$6,MATCH('vehicles specifications'!$D88,'energy battery'!$A$3:$A$6,0),MATCH('vehicles specifications'!$I88,'energy battery'!$B$2:$D$2,0)),"")</f>
        <v>40</v>
      </c>
      <c r="AB88" s="3">
        <f t="shared" si="83"/>
        <v>8</v>
      </c>
      <c r="AC88" s="3">
        <f t="shared" si="82"/>
        <v>48</v>
      </c>
      <c r="AD88" s="3">
        <v>0</v>
      </c>
      <c r="AE88" s="3">
        <v>0</v>
      </c>
      <c r="AF88">
        <f>AE88*'fuels and tailpipe emissions'!$B$3</f>
        <v>0</v>
      </c>
      <c r="AG88">
        <v>0</v>
      </c>
      <c r="AH88" s="3">
        <v>0</v>
      </c>
      <c r="AI88" s="3">
        <v>3</v>
      </c>
      <c r="AJ88" s="3">
        <v>1</v>
      </c>
      <c r="AK88">
        <f t="shared" si="67"/>
        <v>1</v>
      </c>
      <c r="AL88">
        <f>0.000537/1000*Q88</f>
        <v>1.1163693E-4</v>
      </c>
      <c r="AM88">
        <v>1.2899999999999999E-3</v>
      </c>
      <c r="AN88" s="2">
        <f>U88</f>
        <v>67.89</v>
      </c>
      <c r="AO88" s="2">
        <f>SUM(V88:W88)</f>
        <v>13</v>
      </c>
      <c r="AP88" s="2">
        <f>AC88</f>
        <v>48</v>
      </c>
      <c r="AQ88" s="6" t="s">
        <v>85</v>
      </c>
      <c r="AR88" s="20"/>
      <c r="AS88" s="5">
        <v>0.13343610710814707</v>
      </c>
      <c r="AT88" s="2">
        <f t="shared" si="78"/>
        <v>172.66690777576852</v>
      </c>
      <c r="AU88" s="5">
        <v>0</v>
      </c>
      <c r="AV88" s="5">
        <v>0</v>
      </c>
      <c r="AW88" s="7">
        <v>0</v>
      </c>
      <c r="AX88" s="7">
        <v>0</v>
      </c>
      <c r="AY88" s="7">
        <v>0</v>
      </c>
      <c r="AZ88" s="7">
        <v>0</v>
      </c>
      <c r="BA88" s="7">
        <v>0</v>
      </c>
      <c r="BB88" s="7">
        <v>0</v>
      </c>
      <c r="BC88" s="7">
        <v>0</v>
      </c>
      <c r="BD88" s="7">
        <v>0</v>
      </c>
      <c r="BE88" s="7">
        <v>0</v>
      </c>
      <c r="BF88" s="7">
        <v>0</v>
      </c>
      <c r="BG88" s="7">
        <v>0</v>
      </c>
      <c r="BH88" s="7">
        <v>0</v>
      </c>
      <c r="BI88" s="7">
        <v>0</v>
      </c>
      <c r="BJ88" s="7">
        <v>0</v>
      </c>
      <c r="BK88" s="7">
        <v>0</v>
      </c>
      <c r="BL88" s="7">
        <v>0</v>
      </c>
      <c r="BM88" s="7">
        <v>0</v>
      </c>
      <c r="BN88" s="7">
        <v>0</v>
      </c>
      <c r="BO88" s="7">
        <v>0</v>
      </c>
      <c r="BP88" s="7">
        <v>0</v>
      </c>
      <c r="BQ88" s="7">
        <v>0</v>
      </c>
      <c r="BR88" s="7">
        <v>0</v>
      </c>
      <c r="BS88" s="7">
        <v>0</v>
      </c>
      <c r="BT88" s="7">
        <v>0</v>
      </c>
      <c r="BU88" s="7">
        <v>0</v>
      </c>
      <c r="BV88" s="7">
        <v>0</v>
      </c>
      <c r="BW88" s="7">
        <v>0</v>
      </c>
      <c r="BX88" s="7">
        <v>0</v>
      </c>
      <c r="BY88" s="7">
        <v>0</v>
      </c>
      <c r="BZ88" s="7">
        <v>0</v>
      </c>
      <c r="CA88" s="7">
        <v>0</v>
      </c>
      <c r="CB88" s="7">
        <v>0</v>
      </c>
      <c r="CC88" s="7">
        <v>0</v>
      </c>
      <c r="CD88" s="7">
        <v>0</v>
      </c>
      <c r="CE88" s="7">
        <v>0</v>
      </c>
      <c r="CF88" s="7">
        <v>0</v>
      </c>
      <c r="CG88" s="7">
        <v>0</v>
      </c>
      <c r="CH88" s="7">
        <v>0</v>
      </c>
      <c r="CI88" s="7">
        <v>0</v>
      </c>
      <c r="CJ88" s="7">
        <v>0</v>
      </c>
      <c r="CK88" s="38">
        <f>VLOOKUP($B88,'abrasion emissions'!$O$7:$R$36,2,FALSE)</f>
        <v>0.5</v>
      </c>
      <c r="CL88" s="38">
        <f>VLOOKUP($B88,'abrasion emissions'!$O$7:$R$36,3,FALSE)</f>
        <v>0.5</v>
      </c>
      <c r="CM88" s="38">
        <f>VLOOKUP($B88,'abrasion emissions'!$O$7:$R$36,4,FALSE)</f>
        <v>0</v>
      </c>
      <c r="CN88" s="7">
        <f>((SUMIFS('abrasion emissions'!$M$7:$M$34,'abrasion emissions'!$I$7:$I$34,"PM 2.5",'abrasion emissions'!$J$7:$J$34,"urban",'abrasion emissions'!$K$7:$K$34,"Tyre",'abrasion emissions'!$L$7:$L$34,"b")*POWER(('vehicles specifications'!$Q88/1000),(1/SUMIFS('abrasion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specifications'!$P88/1000),(1/SUMIFS('abrasion emissions'!$M$7:$M$34,'abrasion emissions'!$I$7:$I$34,"PM 10",'abrasion emissions'!$J$7:$J$34,"urban",'abrasion emissions'!$K$7:$K$34,"Tyre",'abrasion emissions'!$L$7:$L$34,"c")))))/1000000</f>
        <v>6.5220364962434057E-6</v>
      </c>
      <c r="CO88" s="7">
        <f>((SUMIFS('abrasion emissions'!$M$7:$M$34,'abrasion emissions'!$I$7:$I$34,"PM 2.5",'abrasion emissions'!$J$7:$J$34,"rural",'abrasion emissions'!$K$7:$K$34,"Tyre",'abrasion emissions'!$L$7:$L$34,"b")*POWER(('vehicles specifications'!$Q88/1000),(1/SUMIFS('abrasion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specifications'!$P88/1000),(1/SUMIFS('abrasion emissions'!$M$7:$M$34,'abrasion emissions'!$I$7:$I$34,"PM 10",'abrasion emissions'!$J$7:$J$34,"rural",'abrasion emissions'!$K$7:$K$34,"Tyre",'abrasion emissions'!$L$7:$L$34,"c")))))/1000000</f>
        <v>5.0793609546343646E-6</v>
      </c>
      <c r="CP88" s="7">
        <f>((SUMIFS('abrasion emissions'!$M$7:$M$34,'abrasion emissions'!$I$7:$I$34,"PM 2.5",'abrasion emissions'!$J$7:$J$34,"motorway",'abrasion emissions'!$K$7:$K$34,"Tyre",'abrasion emissions'!$L$7:$L$34,"b")*POWER(('vehicles specifications'!$Q88/1000),(1/SUMIFS('abrasion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specifications'!$P88/1000),(1/SUMIFS('abrasion emissions'!$M$7:$M$34,'abrasion emissions'!$I$7:$I$34,"PM 10",'abrasion emissions'!$J$7:$J$34,"motorway",'abrasion emissions'!$K$7:$K$34,"Tyre",'abrasion emissions'!$L$7:$L$34,"c")))))/1000000</f>
        <v>4.3375064229307496E-6</v>
      </c>
      <c r="CQ88" s="7">
        <f>((SUMIFS('abrasion emissions'!$M$7:$M$34,'abrasion emissions'!$I$7:$I$34,"PM 2.5",'abrasion emissions'!$J$7:$J$34,"urban",'abrasion emissions'!$K$7:$K$34,"Brake",'abrasion emissions'!$L$7:$L$34,"b")*POWER(('vehicles specifications'!$Q88/1000),(1/SUMIFS('abrasion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specifications'!$P88/1000),(1/SUMIFS('abrasion emissions'!$M$7:$M$34,'abrasion emissions'!$I$7:$I$34,"PM 10",'abrasion emissions'!$J$7:$J$34,"urban",'abrasion emissions'!$K$7:$K$34,"Brake",'abrasion emissions'!$L$7:$L$34,"c")))))/1000000</f>
        <v>6.2410643573634725E-6</v>
      </c>
      <c r="CR88" s="7">
        <f>((SUMIFS('abrasion emissions'!$M$7:$M$34,'abrasion emissions'!$I$7:$I$34,"PM 2.5",'abrasion emissions'!$J$7:$J$34,"rural",'abrasion emissions'!$K$7:$K$34,"Brake",'abrasion emissions'!$L$7:$L$34,"b")*POWER(('vehicles specifications'!$Q88/1000),(1/SUMIFS('abrasion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specifications'!$P88/1000),(1/SUMIFS('abrasion emissions'!$M$7:$M$34,'abrasion emissions'!$I$7:$I$34,"PM 10",'abrasion emissions'!$J$7:$J$34,"rural",'abrasion emissions'!$K$7:$K$34,"Brake",'abrasion emissions'!$L$7:$L$34,"c")))))/1000000</f>
        <v>2.0384801552006661E-6</v>
      </c>
      <c r="CS88" s="7">
        <f>((SUMIFS('abrasion emissions'!$M$7:$M$34,'abrasion emissions'!$I$7:$I$34,"PM 2.5",'abrasion emissions'!$J$7:$J$34,"motorway",'abrasion emissions'!$K$7:$K$34,"Brake",'abrasion emissions'!$L$7:$L$34,"b")*POWER(('vehicles specifications'!$Q88/1000),(1/SUMIFS('abrasion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specifications'!$P88/1000),(1/SUMIFS('abrasion emissions'!$M$7:$M$34,'abrasion emissions'!$I$7:$I$34,"PM 10",'abrasion emissions'!$J$7:$J$34,"motorway",'abrasion emissions'!$K$7:$K$34,"Brake",'abrasion emissions'!$L$7:$L$34,"c")))))/1000000</f>
        <v>3.8143523058042601E-7</v>
      </c>
      <c r="CT88" s="7">
        <f>((SUMIFS('abrasion emissions'!$M$7:$M$38,'abrasion emissions'!$I$7:$I$38,"PM 2.5",'abrasion emissions'!$K$7:$K$38,"Re-susp.",'abrasion emissions'!$L$7:$L$38,"b")*POWER(('vehicles specifications'!$Q88/1000),(1/SUMIFS('abrasion emissions'!$M$7:$M$38,'abrasion emissions'!$I$7:$I$38,"PM 2.5",'abrasion emissions'!$K$7:$K$38,"Re-susp.",'abrasion emissions'!$L$7:$L$38,"c"))))+
(SUMIFS('abrasion emissions'!$M$7:$M$38,'abrasion emissions'!$I$7:$I$38,"PM 10",'abrasion emissions'!$K$7:$K$38,"Re-susp.",'abrasion emissions'!$L$7:$L$38,"b")*POWER(('vehicles specifications'!$Q88/1000),(1/SUMIFS('abrasion emissions'!$M$7:$M$38,'abrasion emissions'!$I$7:$I$38,"PM 10",'abrasion emissions'!$K$7:$K$38,"Re-susp.",'abrasion emissions'!$L$7:$L$38,"c")))))/1000000</f>
        <v>3.9327159053415923E-6</v>
      </c>
      <c r="CU88" s="7">
        <f>((SUMIFS('abrasion emissions'!$M$7:$M$38,'abrasion emissions'!$I$7:$I$38,"PM 2.5",'abrasion emissions'!$K$7:$K$38,"Road",'abrasion emissions'!$L$7:$L$38,"b")*POWER(('vehicles specifications'!$Q88/1000),(1/SUMIFS('abrasion emissions'!$M$7:$M$38,'abrasion emissions'!$I$7:$I$38,"PM 2.5",'abrasion emissions'!$K$7:$K$38,"Road",'abrasion emissions'!$L$7:$L$38,"c"))))+
(SUMIFS('abrasion emissions'!$M$7:$M$38,'abrasion emissions'!$I$7:$I$38,"PM 10",'abrasion emissions'!$K$7:$K$38,"Road",'abrasion emissions'!$L$7:$L$38,"b")*POWER(('vehicles specifications'!$Q88/1000),(1/SUMIFS('abrasion emissions'!$M$7:$M$38,'abrasion emissions'!$I$7:$I$38,"PM 10",'abrasion emissions'!$K$7:$K$38,"Road",'abrasion emissions'!$L$7:$L$38,"c")))))/1000000+CT88</f>
        <v>7.5122175908833659E-6</v>
      </c>
      <c r="CV88" s="7">
        <f t="shared" si="79"/>
        <v>5.8006987254388856E-6</v>
      </c>
      <c r="CW88" s="7">
        <f t="shared" si="80"/>
        <v>4.1397722562820695E-6</v>
      </c>
    </row>
    <row r="89" spans="1:101" x14ac:dyDescent="0.2">
      <c r="A89" t="str">
        <f t="shared" si="81"/>
        <v>Scooter, electric, 4-11kW - 2020 - LFP - CH</v>
      </c>
      <c r="B89" t="s">
        <v>344</v>
      </c>
      <c r="D89" s="18">
        <v>2020</v>
      </c>
      <c r="E89" t="s">
        <v>37</v>
      </c>
      <c r="F89" t="s">
        <v>138</v>
      </c>
      <c r="G89" t="s">
        <v>39</v>
      </c>
      <c r="H89" t="s">
        <v>32</v>
      </c>
      <c r="I89" t="s">
        <v>44</v>
      </c>
      <c r="J89">
        <v>30000</v>
      </c>
      <c r="K89">
        <v>1870</v>
      </c>
      <c r="L89" s="2">
        <f t="shared" ref="L89:L92" si="84">J89/K89</f>
        <v>16.042780748663102</v>
      </c>
      <c r="M89">
        <v>1</v>
      </c>
      <c r="N89">
        <v>75</v>
      </c>
      <c r="O89">
        <v>4</v>
      </c>
      <c r="P89" s="2">
        <f t="shared" ref="P89:P92" si="85">SUM(U89,V89,W89,AC89,AF89,AH89)</f>
        <v>136.4</v>
      </c>
      <c r="Q89" s="2">
        <f t="shared" ref="Q89:Q92" si="86">P89+(M89*N89)+O89</f>
        <v>215.4</v>
      </c>
      <c r="R89">
        <v>6.1</v>
      </c>
      <c r="S89" s="2">
        <v>84</v>
      </c>
      <c r="T89" s="1">
        <v>0</v>
      </c>
      <c r="U89" s="2">
        <f t="shared" ref="U89:U92" si="87">S89*(1-T89)</f>
        <v>84</v>
      </c>
      <c r="V89">
        <v>10</v>
      </c>
      <c r="W89">
        <v>16</v>
      </c>
      <c r="X89" s="3">
        <v>3.3</v>
      </c>
      <c r="Y89" s="1">
        <v>0.8</v>
      </c>
      <c r="Z89" s="3">
        <f t="shared" ref="Z89:Z92" si="88">Y89*X89</f>
        <v>2.64</v>
      </c>
      <c r="AA89" s="3">
        <f>IF(I89&lt;&gt;"",X89/INDEX('energy battery'!$B$3:$D$6,MATCH('vehicles specifications'!$D89,'energy battery'!$A$3:$A$6,0),MATCH('vehicles specifications'!$I89,'energy battery'!$B$2:$D$2,0)),"")</f>
        <v>22</v>
      </c>
      <c r="AB89" s="3">
        <f>IF(AA89&lt;&gt;"",0.2*AA89,"")</f>
        <v>4.4000000000000004</v>
      </c>
      <c r="AC89" s="3">
        <f t="shared" si="82"/>
        <v>26.4</v>
      </c>
      <c r="AD89" s="3">
        <v>1</v>
      </c>
      <c r="AE89" s="3">
        <v>0</v>
      </c>
      <c r="AF89">
        <f>AE89*'fuels and tailpipe emissions'!$B$3</f>
        <v>0</v>
      </c>
      <c r="AG89">
        <v>0</v>
      </c>
      <c r="AH89" s="3">
        <v>0</v>
      </c>
      <c r="AI89" s="3">
        <v>3</v>
      </c>
      <c r="AJ89" s="3">
        <v>1</v>
      </c>
      <c r="AK89">
        <f t="shared" si="67"/>
        <v>1.2</v>
      </c>
      <c r="AL89">
        <f t="shared" ref="AL89:AL92" si="89">0.000537/1000*Q89</f>
        <v>1.1566980000000001E-4</v>
      </c>
      <c r="AM89">
        <v>1.2899999999999999E-3</v>
      </c>
      <c r="AN89" s="2">
        <f t="shared" ref="AN89:AN92" si="90">U89</f>
        <v>84</v>
      </c>
      <c r="AO89" s="2">
        <f t="shared" ref="AO89:AO92" si="91">SUM(V89:W89)</f>
        <v>26</v>
      </c>
      <c r="AP89" s="2">
        <f t="shared" ref="AP89:AP92" si="92">AC89</f>
        <v>26.4</v>
      </c>
      <c r="AQ89" s="6" t="s">
        <v>85</v>
      </c>
      <c r="AR89" s="20"/>
      <c r="AS89" s="5">
        <v>0.18941496155676324</v>
      </c>
      <c r="AT89" s="2">
        <f t="shared" si="78"/>
        <v>50.175550663414057</v>
      </c>
      <c r="AU89" s="5">
        <v>0</v>
      </c>
      <c r="AV89" s="5">
        <v>0</v>
      </c>
      <c r="AW89" s="7">
        <v>0</v>
      </c>
      <c r="AX89" s="7">
        <v>0</v>
      </c>
      <c r="AY89" s="7">
        <v>0</v>
      </c>
      <c r="AZ89" s="7">
        <v>0</v>
      </c>
      <c r="BA89" s="7">
        <v>0</v>
      </c>
      <c r="BB89" s="7">
        <v>0</v>
      </c>
      <c r="BC89" s="7">
        <v>0</v>
      </c>
      <c r="BD89" s="7">
        <v>0</v>
      </c>
      <c r="BE89" s="7">
        <v>0</v>
      </c>
      <c r="BF89" s="7">
        <v>0</v>
      </c>
      <c r="BG89" s="7">
        <v>0</v>
      </c>
      <c r="BH89" s="7">
        <v>0</v>
      </c>
      <c r="BI89" s="7">
        <v>0</v>
      </c>
      <c r="BJ89" s="7">
        <v>0</v>
      </c>
      <c r="BK89" s="7">
        <v>0</v>
      </c>
      <c r="BL89" s="7">
        <v>0</v>
      </c>
      <c r="BM89" s="7">
        <v>0</v>
      </c>
      <c r="BN89" s="7">
        <v>0</v>
      </c>
      <c r="BO89" s="7">
        <v>0</v>
      </c>
      <c r="BP89" s="7">
        <v>0</v>
      </c>
      <c r="BQ89" s="7">
        <v>0</v>
      </c>
      <c r="BR89" s="7">
        <v>0</v>
      </c>
      <c r="BS89" s="7">
        <v>0</v>
      </c>
      <c r="BT89" s="7">
        <v>0</v>
      </c>
      <c r="BU89" s="7">
        <v>0</v>
      </c>
      <c r="BV89" s="7">
        <v>0</v>
      </c>
      <c r="BW89" s="7">
        <v>0</v>
      </c>
      <c r="BX89" s="7">
        <v>0</v>
      </c>
      <c r="BY89" s="7">
        <v>0</v>
      </c>
      <c r="BZ89" s="7">
        <v>0</v>
      </c>
      <c r="CA89" s="7">
        <v>0</v>
      </c>
      <c r="CB89" s="7">
        <v>0</v>
      </c>
      <c r="CC89" s="7">
        <v>0</v>
      </c>
      <c r="CD89" s="7">
        <v>0</v>
      </c>
      <c r="CE89" s="7">
        <v>0</v>
      </c>
      <c r="CF89" s="7">
        <v>0</v>
      </c>
      <c r="CG89" s="7">
        <v>0</v>
      </c>
      <c r="CH89" s="7">
        <v>0</v>
      </c>
      <c r="CI89" s="7">
        <v>0</v>
      </c>
      <c r="CJ89" s="7">
        <v>0</v>
      </c>
      <c r="CK89" s="38">
        <f>VLOOKUP($B89,'abrasion emissions'!$O$7:$R$36,2,FALSE)</f>
        <v>0.5</v>
      </c>
      <c r="CL89" s="38">
        <f>VLOOKUP($B89,'abrasion emissions'!$O$7:$R$36,3,FALSE)</f>
        <v>0.5</v>
      </c>
      <c r="CM89" s="38">
        <f>VLOOKUP($B89,'abrasion emissions'!$O$7:$R$36,4,FALSE)</f>
        <v>0</v>
      </c>
      <c r="CN89" s="7">
        <f>((SUMIFS('abrasion emissions'!$M$7:$M$34,'abrasion emissions'!$I$7:$I$34,"PM 2.5",'abrasion emissions'!$J$7:$J$34,"urban",'abrasion emissions'!$K$7:$K$34,"Tyre",'abrasion emissions'!$L$7:$L$34,"b")*POWER(('vehicles specifications'!$Q89/1000),(1/SUMIFS('abrasion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specifications'!$P89/1000),(1/SUMIFS('abrasion emissions'!$M$7:$M$34,'abrasion emissions'!$I$7:$I$34,"PM 10",'abrasion emissions'!$J$7:$J$34,"urban",'abrasion emissions'!$K$7:$K$34,"Tyre",'abrasion emissions'!$L$7:$L$34,"c")))))/1000000</f>
        <v>6.6457704649794475E-6</v>
      </c>
      <c r="CO89" s="7">
        <f>((SUMIFS('abrasion emissions'!$M$7:$M$34,'abrasion emissions'!$I$7:$I$34,"PM 2.5",'abrasion emissions'!$J$7:$J$34,"rural",'abrasion emissions'!$K$7:$K$34,"Tyre",'abrasion emissions'!$L$7:$L$34,"b")*POWER(('vehicles specifications'!$Q89/1000),(1/SUMIFS('abrasion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specifications'!$P89/1000),(1/SUMIFS('abrasion emissions'!$M$7:$M$34,'abrasion emissions'!$I$7:$I$34,"PM 10",'abrasion emissions'!$J$7:$J$34,"rural",'abrasion emissions'!$K$7:$K$34,"Tyre",'abrasion emissions'!$L$7:$L$34,"c")))))/1000000</f>
        <v>5.1756593713016678E-6</v>
      </c>
      <c r="CP89" s="7">
        <f>((SUMIFS('abrasion emissions'!$M$7:$M$34,'abrasion emissions'!$I$7:$I$34,"PM 2.5",'abrasion emissions'!$J$7:$J$34,"motorway",'abrasion emissions'!$K$7:$K$34,"Tyre",'abrasion emissions'!$L$7:$L$34,"b")*POWER(('vehicles specifications'!$Q89/1000),(1/SUMIFS('abrasion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specifications'!$P89/1000),(1/SUMIFS('abrasion emissions'!$M$7:$M$34,'abrasion emissions'!$I$7:$I$34,"PM 10",'abrasion emissions'!$J$7:$J$34,"motorway",'abrasion emissions'!$K$7:$K$34,"Tyre",'abrasion emissions'!$L$7:$L$34,"c")))))/1000000</f>
        <v>4.419575612827597E-6</v>
      </c>
      <c r="CQ89" s="7">
        <f>((SUMIFS('abrasion emissions'!$M$7:$M$34,'abrasion emissions'!$I$7:$I$34,"PM 2.5",'abrasion emissions'!$J$7:$J$34,"urban",'abrasion emissions'!$K$7:$K$34,"Brake",'abrasion emissions'!$L$7:$L$34,"b")*POWER(('vehicles specifications'!$Q89/1000),(1/SUMIFS('abrasion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specifications'!$P89/1000),(1/SUMIFS('abrasion emissions'!$M$7:$M$34,'abrasion emissions'!$I$7:$I$34,"PM 10",'abrasion emissions'!$J$7:$J$34,"urban",'abrasion emissions'!$K$7:$K$34,"Brake",'abrasion emissions'!$L$7:$L$34,"c")))))/1000000</f>
        <v>6.375018720644997E-6</v>
      </c>
      <c r="CR89" s="7">
        <f>((SUMIFS('abrasion emissions'!$M$7:$M$34,'abrasion emissions'!$I$7:$I$34,"PM 2.5",'abrasion emissions'!$J$7:$J$34,"rural",'abrasion emissions'!$K$7:$K$34,"Brake",'abrasion emissions'!$L$7:$L$34,"b")*POWER(('vehicles specifications'!$Q89/1000),(1/SUMIFS('abrasion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specifications'!$P89/1000),(1/SUMIFS('abrasion emissions'!$M$7:$M$34,'abrasion emissions'!$I$7:$I$34,"PM 10",'abrasion emissions'!$J$7:$J$34,"rural",'abrasion emissions'!$K$7:$K$34,"Brake",'abrasion emissions'!$L$7:$L$34,"c")))))/1000000</f>
        <v>2.093958748462159E-6</v>
      </c>
      <c r="CS89" s="7">
        <f>((SUMIFS('abrasion emissions'!$M$7:$M$34,'abrasion emissions'!$I$7:$I$34,"PM 2.5",'abrasion emissions'!$J$7:$J$34,"motorway",'abrasion emissions'!$K$7:$K$34,"Brake",'abrasion emissions'!$L$7:$L$34,"b")*POWER(('vehicles specifications'!$Q89/1000),(1/SUMIFS('abrasion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specifications'!$P89/1000),(1/SUMIFS('abrasion emissions'!$M$7:$M$34,'abrasion emissions'!$I$7:$I$34,"PM 10",'abrasion emissions'!$J$7:$J$34,"motorway",'abrasion emissions'!$K$7:$K$34,"Brake",'abrasion emissions'!$L$7:$L$34,"c")))))/1000000</f>
        <v>3.9338515817146479E-7</v>
      </c>
      <c r="CT89" s="7">
        <f>((SUMIFS('abrasion emissions'!$M$7:$M$38,'abrasion emissions'!$I$7:$I$38,"PM 2.5",'abrasion emissions'!$K$7:$K$38,"Re-susp.",'abrasion emissions'!$L$7:$L$38,"b")*POWER(('vehicles specifications'!$Q89/1000),(1/SUMIFS('abrasion emissions'!$M$7:$M$38,'abrasion emissions'!$I$7:$I$38,"PM 2.5",'abrasion emissions'!$K$7:$K$38,"Re-susp.",'abrasion emissions'!$L$7:$L$38,"c"))))+
(SUMIFS('abrasion emissions'!$M$7:$M$38,'abrasion emissions'!$I$7:$I$38,"PM 10",'abrasion emissions'!$K$7:$K$38,"Re-susp.",'abrasion emissions'!$L$7:$L$38,"b")*POWER(('vehicles specifications'!$Q89/1000),(1/SUMIFS('abrasion emissions'!$M$7:$M$38,'abrasion emissions'!$I$7:$I$38,"PM 10",'abrasion emissions'!$K$7:$K$38,"Re-susp.",'abrasion emissions'!$L$7:$L$38,"c")))))/1000000</f>
        <v>4.0616600786610591E-6</v>
      </c>
      <c r="CU89" s="7">
        <f>((SUMIFS('abrasion emissions'!$M$7:$M$38,'abrasion emissions'!$I$7:$I$38,"PM 2.5",'abrasion emissions'!$K$7:$K$38,"Road",'abrasion emissions'!$L$7:$L$38,"b")*POWER(('vehicles specifications'!$Q89/1000),(1/SUMIFS('abrasion emissions'!$M$7:$M$38,'abrasion emissions'!$I$7:$I$38,"PM 2.5",'abrasion emissions'!$K$7:$K$38,"Road",'abrasion emissions'!$L$7:$L$38,"c"))))+
(SUMIFS('abrasion emissions'!$M$7:$M$38,'abrasion emissions'!$I$7:$I$38,"PM 10",'abrasion emissions'!$K$7:$K$38,"Road",'abrasion emissions'!$L$7:$L$38,"b")*POWER(('vehicles specifications'!$Q89/1000),(1/SUMIFS('abrasion emissions'!$M$7:$M$38,'abrasion emissions'!$I$7:$I$38,"PM 10",'abrasion emissions'!$K$7:$K$38,"Road",'abrasion emissions'!$L$7:$L$38,"c")))))/1000000+CT89</f>
        <v>7.7268569266199988E-6</v>
      </c>
      <c r="CV89" s="7">
        <f t="shared" si="79"/>
        <v>5.9107149181405576E-6</v>
      </c>
      <c r="CW89" s="7">
        <f t="shared" si="80"/>
        <v>4.2344887345535782E-6</v>
      </c>
    </row>
    <row r="90" spans="1:101" x14ac:dyDescent="0.2">
      <c r="A90" t="str">
        <f t="shared" si="81"/>
        <v>Scooter, electric, 4-11kW - 2030 - LFP - CH</v>
      </c>
      <c r="B90" t="s">
        <v>344</v>
      </c>
      <c r="D90" s="18">
        <v>2030</v>
      </c>
      <c r="E90" t="s">
        <v>37</v>
      </c>
      <c r="F90" t="s">
        <v>138</v>
      </c>
      <c r="G90" t="s">
        <v>39</v>
      </c>
      <c r="H90" t="s">
        <v>32</v>
      </c>
      <c r="I90" t="s">
        <v>44</v>
      </c>
      <c r="J90">
        <v>30000</v>
      </c>
      <c r="K90">
        <v>1870</v>
      </c>
      <c r="L90" s="2">
        <f t="shared" si="84"/>
        <v>16.042780748663102</v>
      </c>
      <c r="M90">
        <v>1</v>
      </c>
      <c r="N90">
        <v>75</v>
      </c>
      <c r="O90">
        <v>4</v>
      </c>
      <c r="P90" s="2">
        <f t="shared" si="85"/>
        <v>145.48000000000002</v>
      </c>
      <c r="Q90" s="2">
        <f t="shared" si="86"/>
        <v>224.48000000000002</v>
      </c>
      <c r="R90">
        <v>6.1</v>
      </c>
      <c r="S90" s="2">
        <v>84</v>
      </c>
      <c r="T90" s="1">
        <v>0.03</v>
      </c>
      <c r="U90" s="2">
        <f t="shared" si="87"/>
        <v>81.48</v>
      </c>
      <c r="V90">
        <v>10</v>
      </c>
      <c r="W90">
        <v>16</v>
      </c>
      <c r="X90" s="3">
        <v>5.7</v>
      </c>
      <c r="Y90" s="1">
        <v>0.8</v>
      </c>
      <c r="Z90" s="3">
        <f t="shared" si="88"/>
        <v>4.5600000000000005</v>
      </c>
      <c r="AA90" s="3">
        <f>IF(I90&lt;&gt;"",X90/INDEX('energy battery'!$B$3:$D$6,MATCH('vehicles specifications'!$D90,'energy battery'!$A$3:$A$6,0),MATCH('vehicles specifications'!$I90,'energy battery'!$B$2:$D$2,0)),"")</f>
        <v>31.666666666666668</v>
      </c>
      <c r="AB90" s="3">
        <f t="shared" ref="AB90:AB92" si="93">IF(AA90&lt;&gt;"",0.2*AA90,"")</f>
        <v>6.3333333333333339</v>
      </c>
      <c r="AC90" s="3">
        <f t="shared" si="82"/>
        <v>38</v>
      </c>
      <c r="AD90" s="3">
        <v>0.5</v>
      </c>
      <c r="AE90" s="3">
        <v>0</v>
      </c>
      <c r="AF90">
        <f>AE90*'fuels and tailpipe emissions'!$B$3</f>
        <v>0</v>
      </c>
      <c r="AG90">
        <v>0</v>
      </c>
      <c r="AH90" s="3">
        <v>0</v>
      </c>
      <c r="AI90" s="3">
        <v>3</v>
      </c>
      <c r="AJ90" s="3">
        <v>1</v>
      </c>
      <c r="AK90">
        <f t="shared" si="67"/>
        <v>1.2</v>
      </c>
      <c r="AL90">
        <f t="shared" si="89"/>
        <v>1.2054576E-4</v>
      </c>
      <c r="AM90">
        <v>1.2899999999999999E-3</v>
      </c>
      <c r="AN90" s="2">
        <f t="shared" si="90"/>
        <v>81.48</v>
      </c>
      <c r="AO90" s="2">
        <f t="shared" si="91"/>
        <v>26</v>
      </c>
      <c r="AP90" s="2">
        <f t="shared" si="92"/>
        <v>38</v>
      </c>
      <c r="AQ90" s="6" t="s">
        <v>85</v>
      </c>
      <c r="AR90" s="20"/>
      <c r="AS90" s="5">
        <v>0.18941496155676324</v>
      </c>
      <c r="AT90" s="2">
        <f t="shared" si="78"/>
        <v>86.666860236806102</v>
      </c>
      <c r="AU90" s="5">
        <v>0</v>
      </c>
      <c r="AV90" s="5">
        <v>0</v>
      </c>
      <c r="AW90" s="7">
        <v>0</v>
      </c>
      <c r="AX90" s="7">
        <v>0</v>
      </c>
      <c r="AY90" s="7">
        <v>0</v>
      </c>
      <c r="AZ90" s="7">
        <v>0</v>
      </c>
      <c r="BA90" s="7">
        <v>0</v>
      </c>
      <c r="BB90" s="7">
        <v>0</v>
      </c>
      <c r="BC90" s="7">
        <v>0</v>
      </c>
      <c r="BD90" s="7">
        <v>0</v>
      </c>
      <c r="BE90" s="7">
        <v>0</v>
      </c>
      <c r="BF90" s="7">
        <v>0</v>
      </c>
      <c r="BG90" s="7">
        <v>0</v>
      </c>
      <c r="BH90" s="7">
        <v>0</v>
      </c>
      <c r="BI90" s="7">
        <v>0</v>
      </c>
      <c r="BJ90" s="7">
        <v>0</v>
      </c>
      <c r="BK90" s="7">
        <v>0</v>
      </c>
      <c r="BL90" s="7">
        <v>0</v>
      </c>
      <c r="BM90" s="7">
        <v>0</v>
      </c>
      <c r="BN90" s="7">
        <v>0</v>
      </c>
      <c r="BO90" s="7">
        <v>0</v>
      </c>
      <c r="BP90" s="7">
        <v>0</v>
      </c>
      <c r="BQ90" s="7">
        <v>0</v>
      </c>
      <c r="BR90" s="7">
        <v>0</v>
      </c>
      <c r="BS90" s="7">
        <v>0</v>
      </c>
      <c r="BT90" s="7">
        <v>0</v>
      </c>
      <c r="BU90" s="7">
        <v>0</v>
      </c>
      <c r="BV90" s="7">
        <v>0</v>
      </c>
      <c r="BW90" s="7">
        <v>0</v>
      </c>
      <c r="BX90" s="7">
        <v>0</v>
      </c>
      <c r="BY90" s="7">
        <v>0</v>
      </c>
      <c r="BZ90" s="7">
        <v>0</v>
      </c>
      <c r="CA90" s="7">
        <v>0</v>
      </c>
      <c r="CB90" s="7">
        <v>0</v>
      </c>
      <c r="CC90" s="7">
        <v>0</v>
      </c>
      <c r="CD90" s="7">
        <v>0</v>
      </c>
      <c r="CE90" s="7">
        <v>0</v>
      </c>
      <c r="CF90" s="7">
        <v>0</v>
      </c>
      <c r="CG90" s="7">
        <v>0</v>
      </c>
      <c r="CH90" s="7">
        <v>0</v>
      </c>
      <c r="CI90" s="7">
        <v>0</v>
      </c>
      <c r="CJ90" s="7">
        <v>0</v>
      </c>
      <c r="CK90" s="38">
        <f>VLOOKUP($B90,'abrasion emissions'!$O$7:$R$36,2,FALSE)</f>
        <v>0.5</v>
      </c>
      <c r="CL90" s="38">
        <f>VLOOKUP($B90,'abrasion emissions'!$O$7:$R$36,3,FALSE)</f>
        <v>0.5</v>
      </c>
      <c r="CM90" s="38">
        <f>VLOOKUP($B90,'abrasion emissions'!$O$7:$R$36,4,FALSE)</f>
        <v>0</v>
      </c>
      <c r="CN90" s="7">
        <f>((SUMIFS('abrasion emissions'!$M$7:$M$34,'abrasion emissions'!$I$7:$I$34,"PM 2.5",'abrasion emissions'!$J$7:$J$34,"urban",'abrasion emissions'!$K$7:$K$34,"Tyre",'abrasion emissions'!$L$7:$L$34,"b")*POWER(('vehicles specifications'!$Q90/1000),(1/SUMIFS('abrasion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specifications'!$P90/1000),(1/SUMIFS('abrasion emissions'!$M$7:$M$34,'abrasion emissions'!$I$7:$I$34,"PM 10",'abrasion emissions'!$J$7:$J$34,"urban",'abrasion emissions'!$K$7:$K$34,"Tyre",'abrasion emissions'!$L$7:$L$34,"c")))))/1000000</f>
        <v>6.7912838203852491E-6</v>
      </c>
      <c r="CO90" s="7">
        <f>((SUMIFS('abrasion emissions'!$M$7:$M$34,'abrasion emissions'!$I$7:$I$34,"PM 2.5",'abrasion emissions'!$J$7:$J$34,"rural",'abrasion emissions'!$K$7:$K$34,"Tyre",'abrasion emissions'!$L$7:$L$34,"b")*POWER(('vehicles specifications'!$Q90/1000),(1/SUMIFS('abrasion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specifications'!$P90/1000),(1/SUMIFS('abrasion emissions'!$M$7:$M$34,'abrasion emissions'!$I$7:$I$34,"PM 10",'abrasion emissions'!$J$7:$J$34,"rural",'abrasion emissions'!$K$7:$K$34,"Tyre",'abrasion emissions'!$L$7:$L$34,"c")))))/1000000</f>
        <v>5.2889101334152491E-6</v>
      </c>
      <c r="CP90" s="7">
        <f>((SUMIFS('abrasion emissions'!$M$7:$M$34,'abrasion emissions'!$I$7:$I$34,"PM 2.5",'abrasion emissions'!$J$7:$J$34,"motorway",'abrasion emissions'!$K$7:$K$34,"Tyre",'abrasion emissions'!$L$7:$L$34,"b")*POWER(('vehicles specifications'!$Q90/1000),(1/SUMIFS('abrasion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specifications'!$P90/1000),(1/SUMIFS('abrasion emissions'!$M$7:$M$34,'abrasion emissions'!$I$7:$I$34,"PM 10",'abrasion emissions'!$J$7:$J$34,"motorway",'abrasion emissions'!$K$7:$K$34,"Tyre",'abrasion emissions'!$L$7:$L$34,"c")))))/1000000</f>
        <v>4.5160975270983023E-6</v>
      </c>
      <c r="CQ90" s="7">
        <f>((SUMIFS('abrasion emissions'!$M$7:$M$34,'abrasion emissions'!$I$7:$I$34,"PM 2.5",'abrasion emissions'!$J$7:$J$34,"urban",'abrasion emissions'!$K$7:$K$34,"Brake",'abrasion emissions'!$L$7:$L$34,"b")*POWER(('vehicles specifications'!$Q90/1000),(1/SUMIFS('abrasion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specifications'!$P90/1000),(1/SUMIFS('abrasion emissions'!$M$7:$M$34,'abrasion emissions'!$I$7:$I$34,"PM 10",'abrasion emissions'!$J$7:$J$34,"urban",'abrasion emissions'!$K$7:$K$34,"Brake",'abrasion emissions'!$L$7:$L$34,"c")))))/1000000</f>
        <v>6.5335198420495929E-6</v>
      </c>
      <c r="CR90" s="7">
        <f>((SUMIFS('abrasion emissions'!$M$7:$M$34,'abrasion emissions'!$I$7:$I$34,"PM 2.5",'abrasion emissions'!$J$7:$J$34,"rural",'abrasion emissions'!$K$7:$K$34,"Brake",'abrasion emissions'!$L$7:$L$34,"b")*POWER(('vehicles specifications'!$Q90/1000),(1/SUMIFS('abrasion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specifications'!$P90/1000),(1/SUMIFS('abrasion emissions'!$M$7:$M$34,'abrasion emissions'!$I$7:$I$34,"PM 10",'abrasion emissions'!$J$7:$J$34,"rural",'abrasion emissions'!$K$7:$K$34,"Brake",'abrasion emissions'!$L$7:$L$34,"c")))))/1000000</f>
        <v>2.1600264298239434E-6</v>
      </c>
      <c r="CS90" s="7">
        <f>((SUMIFS('abrasion emissions'!$M$7:$M$34,'abrasion emissions'!$I$7:$I$34,"PM 2.5",'abrasion emissions'!$J$7:$J$34,"motorway",'abrasion emissions'!$K$7:$K$34,"Brake",'abrasion emissions'!$L$7:$L$34,"b")*POWER(('vehicles specifications'!$Q90/1000),(1/SUMIFS('abrasion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specifications'!$P90/1000),(1/SUMIFS('abrasion emissions'!$M$7:$M$34,'abrasion emissions'!$I$7:$I$34,"PM 10",'abrasion emissions'!$J$7:$J$34,"motorway",'abrasion emissions'!$K$7:$K$34,"Brake",'abrasion emissions'!$L$7:$L$34,"c")))))/1000000</f>
        <v>4.076831920841119E-7</v>
      </c>
      <c r="CT90" s="7">
        <f>((SUMIFS('abrasion emissions'!$M$7:$M$38,'abrasion emissions'!$I$7:$I$38,"PM 2.5",'abrasion emissions'!$K$7:$K$38,"Re-susp.",'abrasion emissions'!$L$7:$L$38,"b")*POWER(('vehicles specifications'!$Q90/1000),(1/SUMIFS('abrasion emissions'!$M$7:$M$38,'abrasion emissions'!$I$7:$I$38,"PM 2.5",'abrasion emissions'!$K$7:$K$38,"Re-susp.",'abrasion emissions'!$L$7:$L$38,"c"))))+
(SUMIFS('abrasion emissions'!$M$7:$M$38,'abrasion emissions'!$I$7:$I$38,"PM 10",'abrasion emissions'!$K$7:$K$38,"Re-susp.",'abrasion emissions'!$L$7:$L$38,"b")*POWER(('vehicles specifications'!$Q90/1000),(1/SUMIFS('abrasion emissions'!$M$7:$M$38,'abrasion emissions'!$I$7:$I$38,"PM 10",'abrasion emissions'!$K$7:$K$38,"Re-susp.",'abrasion emissions'!$L$7:$L$38,"c")))))/1000000</f>
        <v>4.2170169962475994E-6</v>
      </c>
      <c r="CU90" s="7">
        <f>((SUMIFS('abrasion emissions'!$M$7:$M$38,'abrasion emissions'!$I$7:$I$38,"PM 2.5",'abrasion emissions'!$K$7:$K$38,"Road",'abrasion emissions'!$L$7:$L$38,"b")*POWER(('vehicles specifications'!$Q90/1000),(1/SUMIFS('abrasion emissions'!$M$7:$M$38,'abrasion emissions'!$I$7:$I$38,"PM 2.5",'abrasion emissions'!$K$7:$K$38,"Road",'abrasion emissions'!$L$7:$L$38,"c"))))+
(SUMIFS('abrasion emissions'!$M$7:$M$38,'abrasion emissions'!$I$7:$I$38,"PM 10",'abrasion emissions'!$K$7:$K$38,"Road",'abrasion emissions'!$L$7:$L$38,"b")*POWER(('vehicles specifications'!$Q90/1000),(1/SUMIFS('abrasion emissions'!$M$7:$M$38,'abrasion emissions'!$I$7:$I$38,"PM 10",'abrasion emissions'!$K$7:$K$38,"Road",'abrasion emissions'!$L$7:$L$38,"c")))))/1000000+CT90</f>
        <v>7.9845055443951376E-6</v>
      </c>
      <c r="CV90" s="7">
        <f t="shared" si="79"/>
        <v>6.0400969769002495E-6</v>
      </c>
      <c r="CW90" s="7">
        <f t="shared" si="80"/>
        <v>4.3467731359367686E-6</v>
      </c>
    </row>
    <row r="91" spans="1:101" x14ac:dyDescent="0.2">
      <c r="A91" t="str">
        <f t="shared" si="81"/>
        <v>Scooter, electric, 4-11kW - 2040 - LFP - CH</v>
      </c>
      <c r="B91" t="s">
        <v>344</v>
      </c>
      <c r="D91" s="18">
        <v>2040</v>
      </c>
      <c r="E91" t="s">
        <v>37</v>
      </c>
      <c r="F91" t="s">
        <v>138</v>
      </c>
      <c r="G91" t="s">
        <v>39</v>
      </c>
      <c r="H91" t="s">
        <v>32</v>
      </c>
      <c r="I91" t="s">
        <v>44</v>
      </c>
      <c r="J91">
        <v>30000</v>
      </c>
      <c r="K91">
        <v>1870</v>
      </c>
      <c r="L91" s="2">
        <f t="shared" si="84"/>
        <v>16.042780748663102</v>
      </c>
      <c r="M91">
        <v>1</v>
      </c>
      <c r="N91">
        <v>75</v>
      </c>
      <c r="O91">
        <v>4</v>
      </c>
      <c r="P91" s="2">
        <f t="shared" si="85"/>
        <v>160.46666666666664</v>
      </c>
      <c r="Q91" s="2">
        <f t="shared" si="86"/>
        <v>239.46666666666664</v>
      </c>
      <c r="R91">
        <v>6.1</v>
      </c>
      <c r="S91" s="2">
        <v>84</v>
      </c>
      <c r="T91" s="1">
        <v>0.05</v>
      </c>
      <c r="U91" s="2">
        <f t="shared" si="87"/>
        <v>79.8</v>
      </c>
      <c r="V91">
        <v>10</v>
      </c>
      <c r="W91">
        <v>16</v>
      </c>
      <c r="X91" s="3">
        <v>8.1999999999999993</v>
      </c>
      <c r="Y91" s="1">
        <v>0.8</v>
      </c>
      <c r="Z91" s="3">
        <f t="shared" si="88"/>
        <v>6.56</v>
      </c>
      <c r="AA91" s="3">
        <f>IF(I91&lt;&gt;"",X91/INDEX('energy battery'!$B$3:$D$6,MATCH('vehicles specifications'!$D91,'energy battery'!$A$3:$A$6,0),MATCH('vehicles specifications'!$I91,'energy battery'!$B$2:$D$2,0)),"")</f>
        <v>45.55555555555555</v>
      </c>
      <c r="AB91" s="3">
        <f t="shared" si="93"/>
        <v>9.1111111111111107</v>
      </c>
      <c r="AC91" s="3">
        <f t="shared" si="82"/>
        <v>54.666666666666657</v>
      </c>
      <c r="AD91" s="3">
        <v>0.25</v>
      </c>
      <c r="AE91" s="3">
        <v>0</v>
      </c>
      <c r="AF91">
        <f>AE91*'fuels and tailpipe emissions'!$B$3</f>
        <v>0</v>
      </c>
      <c r="AG91">
        <v>0</v>
      </c>
      <c r="AH91" s="3">
        <v>0</v>
      </c>
      <c r="AI91" s="3">
        <v>3</v>
      </c>
      <c r="AJ91" s="3">
        <v>1</v>
      </c>
      <c r="AK91">
        <f t="shared" si="67"/>
        <v>1.2</v>
      </c>
      <c r="AL91">
        <f t="shared" si="89"/>
        <v>1.2859359999999999E-4</v>
      </c>
      <c r="AM91">
        <v>1.2899999999999999E-3</v>
      </c>
      <c r="AN91" s="2">
        <f t="shared" si="90"/>
        <v>79.8</v>
      </c>
      <c r="AO91" s="2">
        <f t="shared" si="91"/>
        <v>26</v>
      </c>
      <c r="AP91" s="2">
        <f t="shared" si="92"/>
        <v>54.666666666666657</v>
      </c>
      <c r="AQ91" s="6" t="s">
        <v>85</v>
      </c>
      <c r="AR91" s="20"/>
      <c r="AS91" s="5">
        <v>0.18941496155676324</v>
      </c>
      <c r="AT91" s="2">
        <f t="shared" si="78"/>
        <v>124.6786410424228</v>
      </c>
      <c r="AU91" s="5">
        <v>0</v>
      </c>
      <c r="AV91" s="5">
        <v>0</v>
      </c>
      <c r="AW91" s="7">
        <v>0</v>
      </c>
      <c r="AX91" s="7">
        <v>0</v>
      </c>
      <c r="AY91" s="7">
        <v>0</v>
      </c>
      <c r="AZ91" s="7">
        <v>0</v>
      </c>
      <c r="BA91" s="7">
        <v>0</v>
      </c>
      <c r="BB91" s="7">
        <v>0</v>
      </c>
      <c r="BC91" s="7">
        <v>0</v>
      </c>
      <c r="BD91" s="7">
        <v>0</v>
      </c>
      <c r="BE91" s="7">
        <v>0</v>
      </c>
      <c r="BF91" s="7">
        <v>0</v>
      </c>
      <c r="BG91" s="7">
        <v>0</v>
      </c>
      <c r="BH91" s="7">
        <v>0</v>
      </c>
      <c r="BI91" s="7">
        <v>0</v>
      </c>
      <c r="BJ91" s="7">
        <v>0</v>
      </c>
      <c r="BK91" s="7">
        <v>0</v>
      </c>
      <c r="BL91" s="7">
        <v>0</v>
      </c>
      <c r="BM91" s="7">
        <v>0</v>
      </c>
      <c r="BN91" s="7">
        <v>0</v>
      </c>
      <c r="BO91" s="7">
        <v>0</v>
      </c>
      <c r="BP91" s="7">
        <v>0</v>
      </c>
      <c r="BQ91" s="7">
        <v>0</v>
      </c>
      <c r="BR91" s="7">
        <v>0</v>
      </c>
      <c r="BS91" s="7">
        <v>0</v>
      </c>
      <c r="BT91" s="7">
        <v>0</v>
      </c>
      <c r="BU91" s="7">
        <v>0</v>
      </c>
      <c r="BV91" s="7">
        <v>0</v>
      </c>
      <c r="BW91" s="7">
        <v>0</v>
      </c>
      <c r="BX91" s="7">
        <v>0</v>
      </c>
      <c r="BY91" s="7">
        <v>0</v>
      </c>
      <c r="BZ91" s="7">
        <v>0</v>
      </c>
      <c r="CA91" s="7">
        <v>0</v>
      </c>
      <c r="CB91" s="7">
        <v>0</v>
      </c>
      <c r="CC91" s="7">
        <v>0</v>
      </c>
      <c r="CD91" s="7">
        <v>0</v>
      </c>
      <c r="CE91" s="7">
        <v>0</v>
      </c>
      <c r="CF91" s="7">
        <v>0</v>
      </c>
      <c r="CG91" s="7">
        <v>0</v>
      </c>
      <c r="CH91" s="7">
        <v>0</v>
      </c>
      <c r="CI91" s="7">
        <v>0</v>
      </c>
      <c r="CJ91" s="7">
        <v>0</v>
      </c>
      <c r="CK91" s="38">
        <f>VLOOKUP($B91,'abrasion emissions'!$O$7:$R$36,2,FALSE)</f>
        <v>0.5</v>
      </c>
      <c r="CL91" s="38">
        <f>VLOOKUP($B91,'abrasion emissions'!$O$7:$R$36,3,FALSE)</f>
        <v>0.5</v>
      </c>
      <c r="CM91" s="38">
        <f>VLOOKUP($B91,'abrasion emissions'!$O$7:$R$36,4,FALSE)</f>
        <v>0</v>
      </c>
      <c r="CN91" s="7">
        <f>((SUMIFS('abrasion emissions'!$M$7:$M$34,'abrasion emissions'!$I$7:$I$34,"PM 2.5",'abrasion emissions'!$J$7:$J$34,"urban",'abrasion emissions'!$K$7:$K$34,"Tyre",'abrasion emissions'!$L$7:$L$34,"b")*POWER(('vehicles specifications'!$Q91/1000),(1/SUMIFS('abrasion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specifications'!$P91/1000),(1/SUMIFS('abrasion emissions'!$M$7:$M$34,'abrasion emissions'!$I$7:$I$34,"PM 10",'abrasion emissions'!$J$7:$J$34,"urban",'abrasion emissions'!$K$7:$K$34,"Tyre",'abrasion emissions'!$L$7:$L$34,"c")))))/1000000</f>
        <v>7.0225815066584037E-6</v>
      </c>
      <c r="CO91" s="7">
        <f>((SUMIFS('abrasion emissions'!$M$7:$M$34,'abrasion emissions'!$I$7:$I$34,"PM 2.5",'abrasion emissions'!$J$7:$J$34,"rural",'abrasion emissions'!$K$7:$K$34,"Tyre",'abrasion emissions'!$L$7:$L$34,"b")*POWER(('vehicles specifications'!$Q91/1000),(1/SUMIFS('abrasion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specifications'!$P91/1000),(1/SUMIFS('abrasion emissions'!$M$7:$M$34,'abrasion emissions'!$I$7:$I$34,"PM 10",'abrasion emissions'!$J$7:$J$34,"rural",'abrasion emissions'!$K$7:$K$34,"Tyre",'abrasion emissions'!$L$7:$L$34,"c")))))/1000000</f>
        <v>5.4689297871417899E-6</v>
      </c>
      <c r="CP91" s="7">
        <f>((SUMIFS('abrasion emissions'!$M$7:$M$34,'abrasion emissions'!$I$7:$I$34,"PM 2.5",'abrasion emissions'!$J$7:$J$34,"motorway",'abrasion emissions'!$K$7:$K$34,"Tyre",'abrasion emissions'!$L$7:$L$34,"b")*POWER(('vehicles specifications'!$Q91/1000),(1/SUMIFS('abrasion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specifications'!$P91/1000),(1/SUMIFS('abrasion emissions'!$M$7:$M$34,'abrasion emissions'!$I$7:$I$34,"PM 10",'abrasion emissions'!$J$7:$J$34,"motorway",'abrasion emissions'!$K$7:$K$34,"Tyre",'abrasion emissions'!$L$7:$L$34,"c")))))/1000000</f>
        <v>4.6695363391900502E-6</v>
      </c>
      <c r="CQ91" s="7">
        <f>((SUMIFS('abrasion emissions'!$M$7:$M$34,'abrasion emissions'!$I$7:$I$34,"PM 2.5",'abrasion emissions'!$J$7:$J$34,"urban",'abrasion emissions'!$K$7:$K$34,"Brake",'abrasion emissions'!$L$7:$L$34,"b")*POWER(('vehicles specifications'!$Q91/1000),(1/SUMIFS('abrasion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specifications'!$P91/1000),(1/SUMIFS('abrasion emissions'!$M$7:$M$34,'abrasion emissions'!$I$7:$I$34,"PM 10",'abrasion emissions'!$J$7:$J$34,"urban",'abrasion emissions'!$K$7:$K$34,"Brake",'abrasion emissions'!$L$7:$L$34,"c")))))/1000000</f>
        <v>6.7875329517069138E-6</v>
      </c>
      <c r="CR91" s="7">
        <f>((SUMIFS('abrasion emissions'!$M$7:$M$34,'abrasion emissions'!$I$7:$I$34,"PM 2.5",'abrasion emissions'!$J$7:$J$34,"rural",'abrasion emissions'!$K$7:$K$34,"Brake",'abrasion emissions'!$L$7:$L$34,"b")*POWER(('vehicles specifications'!$Q91/1000),(1/SUMIFS('abrasion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specifications'!$P91/1000),(1/SUMIFS('abrasion emissions'!$M$7:$M$34,'abrasion emissions'!$I$7:$I$34,"PM 10",'abrasion emissions'!$J$7:$J$34,"rural",'abrasion emissions'!$K$7:$K$34,"Brake",'abrasion emissions'!$L$7:$L$34,"c")))))/1000000</f>
        <v>2.2668368632535251E-6</v>
      </c>
      <c r="CS91" s="7">
        <f>((SUMIFS('abrasion emissions'!$M$7:$M$34,'abrasion emissions'!$I$7:$I$34,"PM 2.5",'abrasion emissions'!$J$7:$J$34,"motorway",'abrasion emissions'!$K$7:$K$34,"Brake",'abrasion emissions'!$L$7:$L$34,"b")*POWER(('vehicles specifications'!$Q91/1000),(1/SUMIFS('abrasion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specifications'!$P91/1000),(1/SUMIFS('abrasion emissions'!$M$7:$M$34,'abrasion emissions'!$I$7:$I$34,"PM 10",'abrasion emissions'!$J$7:$J$34,"motorway",'abrasion emissions'!$K$7:$K$34,"Brake",'abrasion emissions'!$L$7:$L$34,"c")))))/1000000</f>
        <v>4.3094771254464265E-7</v>
      </c>
      <c r="CT91" s="7">
        <f>((SUMIFS('abrasion emissions'!$M$7:$M$38,'abrasion emissions'!$I$7:$I$38,"PM 2.5",'abrasion emissions'!$K$7:$K$38,"Re-susp.",'abrasion emissions'!$L$7:$L$38,"b")*POWER(('vehicles specifications'!$Q91/1000),(1/SUMIFS('abrasion emissions'!$M$7:$M$38,'abrasion emissions'!$I$7:$I$38,"PM 2.5",'abrasion emissions'!$K$7:$K$38,"Re-susp.",'abrasion emissions'!$L$7:$L$38,"c"))))+
(SUMIFS('abrasion emissions'!$M$7:$M$38,'abrasion emissions'!$I$7:$I$38,"PM 10",'abrasion emissions'!$K$7:$K$38,"Re-susp.",'abrasion emissions'!$L$7:$L$38,"b")*POWER(('vehicles specifications'!$Q91/1000),(1/SUMIFS('abrasion emissions'!$M$7:$M$38,'abrasion emissions'!$I$7:$I$38,"PM 10",'abrasion emissions'!$K$7:$K$38,"Re-susp.",'abrasion emissions'!$L$7:$L$38,"c")))))/1000000</f>
        <v>4.4721996516636561E-6</v>
      </c>
      <c r="CU91" s="7">
        <f>((SUMIFS('abrasion emissions'!$M$7:$M$38,'abrasion emissions'!$I$7:$I$38,"PM 2.5",'abrasion emissions'!$K$7:$K$38,"Road",'abrasion emissions'!$L$7:$L$38,"b")*POWER(('vehicles specifications'!$Q91/1000),(1/SUMIFS('abrasion emissions'!$M$7:$M$38,'abrasion emissions'!$I$7:$I$38,"PM 2.5",'abrasion emissions'!$K$7:$K$38,"Road",'abrasion emissions'!$L$7:$L$38,"c"))))+
(SUMIFS('abrasion emissions'!$M$7:$M$38,'abrasion emissions'!$I$7:$I$38,"PM 10",'abrasion emissions'!$K$7:$K$38,"Road",'abrasion emissions'!$L$7:$L$38,"b")*POWER(('vehicles specifications'!$Q91/1000),(1/SUMIFS('abrasion emissions'!$M$7:$M$38,'abrasion emissions'!$I$7:$I$38,"PM 10",'abrasion emissions'!$K$7:$K$38,"Road",'abrasion emissions'!$L$7:$L$38,"c")))))/1000000+CT91</f>
        <v>8.4055583303453682E-6</v>
      </c>
      <c r="CV91" s="7">
        <f t="shared" si="79"/>
        <v>6.2457556469000968E-6</v>
      </c>
      <c r="CW91" s="7">
        <f t="shared" si="80"/>
        <v>4.5271849074802194E-6</v>
      </c>
    </row>
    <row r="92" spans="1:101" x14ac:dyDescent="0.2">
      <c r="A92" t="str">
        <f t="shared" si="81"/>
        <v>Scooter, electric, 4-11kW - 2050 - LFP - CH</v>
      </c>
      <c r="B92" t="s">
        <v>344</v>
      </c>
      <c r="D92" s="18">
        <v>2050</v>
      </c>
      <c r="E92" t="s">
        <v>37</v>
      </c>
      <c r="F92" t="s">
        <v>138</v>
      </c>
      <c r="G92" t="s">
        <v>39</v>
      </c>
      <c r="H92" t="s">
        <v>32</v>
      </c>
      <c r="I92" t="s">
        <v>44</v>
      </c>
      <c r="J92">
        <v>30000</v>
      </c>
      <c r="K92">
        <v>1870</v>
      </c>
      <c r="L92" s="2">
        <f t="shared" si="84"/>
        <v>16.042780748663102</v>
      </c>
      <c r="M92">
        <v>1</v>
      </c>
      <c r="N92">
        <v>75</v>
      </c>
      <c r="O92">
        <v>4</v>
      </c>
      <c r="P92" s="2">
        <f t="shared" si="85"/>
        <v>168.92</v>
      </c>
      <c r="Q92" s="2">
        <f t="shared" si="86"/>
        <v>247.92</v>
      </c>
      <c r="R92">
        <v>6.1</v>
      </c>
      <c r="S92" s="2">
        <v>84</v>
      </c>
      <c r="T92" s="1">
        <v>7.0000000000000007E-2</v>
      </c>
      <c r="U92" s="2">
        <f t="shared" si="87"/>
        <v>78.11999999999999</v>
      </c>
      <c r="V92">
        <v>10</v>
      </c>
      <c r="W92">
        <v>16</v>
      </c>
      <c r="X92" s="3">
        <v>10.8</v>
      </c>
      <c r="Y92" s="1">
        <v>0.8</v>
      </c>
      <c r="Z92" s="3">
        <f t="shared" si="88"/>
        <v>8.64</v>
      </c>
      <c r="AA92" s="3">
        <f>IF(I92&lt;&gt;"",X92/INDEX('energy battery'!$B$3:$D$6,MATCH('vehicles specifications'!$D92,'energy battery'!$A$3:$A$6,0),MATCH('vehicles specifications'!$I92,'energy battery'!$B$2:$D$2,0)),"")</f>
        <v>54</v>
      </c>
      <c r="AB92" s="3">
        <f t="shared" si="93"/>
        <v>10.8</v>
      </c>
      <c r="AC92" s="3">
        <f t="shared" si="82"/>
        <v>64.8</v>
      </c>
      <c r="AD92" s="3">
        <v>0</v>
      </c>
      <c r="AE92" s="3">
        <v>0</v>
      </c>
      <c r="AF92">
        <f>AE92*'fuels and tailpipe emissions'!$B$3</f>
        <v>0</v>
      </c>
      <c r="AG92">
        <v>0</v>
      </c>
      <c r="AH92" s="3">
        <v>0</v>
      </c>
      <c r="AI92" s="3">
        <v>3</v>
      </c>
      <c r="AJ92" s="3">
        <v>1</v>
      </c>
      <c r="AK92">
        <f t="shared" si="67"/>
        <v>1.2</v>
      </c>
      <c r="AL92">
        <f t="shared" si="89"/>
        <v>1.3313303999999999E-4</v>
      </c>
      <c r="AM92">
        <v>1.2899999999999999E-3</v>
      </c>
      <c r="AN92" s="2">
        <f t="shared" si="90"/>
        <v>78.11999999999999</v>
      </c>
      <c r="AO92" s="2">
        <f t="shared" si="91"/>
        <v>26</v>
      </c>
      <c r="AP92" s="2">
        <f t="shared" si="92"/>
        <v>64.8</v>
      </c>
      <c r="AQ92" s="6" t="s">
        <v>85</v>
      </c>
      <c r="AR92" s="20"/>
      <c r="AS92" s="5">
        <v>0.18941496155676324</v>
      </c>
      <c r="AT92" s="2">
        <f t="shared" si="78"/>
        <v>164.21089308026419</v>
      </c>
      <c r="AU92" s="5">
        <v>0</v>
      </c>
      <c r="AV92" s="5">
        <v>0</v>
      </c>
      <c r="AW92" s="7">
        <v>0</v>
      </c>
      <c r="AX92" s="7">
        <v>0</v>
      </c>
      <c r="AY92" s="7">
        <v>0</v>
      </c>
      <c r="AZ92" s="7">
        <v>0</v>
      </c>
      <c r="BA92" s="7">
        <v>0</v>
      </c>
      <c r="BB92" s="7">
        <v>0</v>
      </c>
      <c r="BC92" s="7">
        <v>0</v>
      </c>
      <c r="BD92" s="7">
        <v>0</v>
      </c>
      <c r="BE92" s="7">
        <v>0</v>
      </c>
      <c r="BF92" s="7">
        <v>0</v>
      </c>
      <c r="BG92" s="7">
        <v>0</v>
      </c>
      <c r="BH92" s="7">
        <v>0</v>
      </c>
      <c r="BI92" s="7">
        <v>0</v>
      </c>
      <c r="BJ92" s="7">
        <v>0</v>
      </c>
      <c r="BK92" s="7">
        <v>0</v>
      </c>
      <c r="BL92" s="7">
        <v>0</v>
      </c>
      <c r="BM92" s="7">
        <v>0</v>
      </c>
      <c r="BN92" s="7">
        <v>0</v>
      </c>
      <c r="BO92" s="7">
        <v>0</v>
      </c>
      <c r="BP92" s="7">
        <v>0</v>
      </c>
      <c r="BQ92" s="7">
        <v>0</v>
      </c>
      <c r="BR92" s="7">
        <v>0</v>
      </c>
      <c r="BS92" s="7">
        <v>0</v>
      </c>
      <c r="BT92" s="7">
        <v>0</v>
      </c>
      <c r="BU92" s="7">
        <v>0</v>
      </c>
      <c r="BV92" s="7">
        <v>0</v>
      </c>
      <c r="BW92" s="7">
        <v>0</v>
      </c>
      <c r="BX92" s="7">
        <v>0</v>
      </c>
      <c r="BY92" s="7">
        <v>0</v>
      </c>
      <c r="BZ92" s="7">
        <v>0</v>
      </c>
      <c r="CA92" s="7">
        <v>0</v>
      </c>
      <c r="CB92" s="7">
        <v>0</v>
      </c>
      <c r="CC92" s="7">
        <v>0</v>
      </c>
      <c r="CD92" s="7">
        <v>0</v>
      </c>
      <c r="CE92" s="7">
        <v>0</v>
      </c>
      <c r="CF92" s="7">
        <v>0</v>
      </c>
      <c r="CG92" s="7">
        <v>0</v>
      </c>
      <c r="CH92" s="7">
        <v>0</v>
      </c>
      <c r="CI92" s="7">
        <v>0</v>
      </c>
      <c r="CJ92" s="7">
        <v>0</v>
      </c>
      <c r="CK92" s="38">
        <f>VLOOKUP($B92,'abrasion emissions'!$O$7:$R$36,2,FALSE)</f>
        <v>0.5</v>
      </c>
      <c r="CL92" s="38">
        <f>VLOOKUP($B92,'abrasion emissions'!$O$7:$R$36,3,FALSE)</f>
        <v>0.5</v>
      </c>
      <c r="CM92" s="38">
        <f>VLOOKUP($B92,'abrasion emissions'!$O$7:$R$36,4,FALSE)</f>
        <v>0</v>
      </c>
      <c r="CN92" s="7">
        <f>((SUMIFS('abrasion emissions'!$M$7:$M$34,'abrasion emissions'!$I$7:$I$34,"PM 2.5",'abrasion emissions'!$J$7:$J$34,"urban",'abrasion emissions'!$K$7:$K$34,"Tyre",'abrasion emissions'!$L$7:$L$34,"b")*POWER(('vehicles specifications'!$Q92/1000),(1/SUMIFS('abrasion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specifications'!$P92/1000),(1/SUMIFS('abrasion emissions'!$M$7:$M$34,'abrasion emissions'!$I$7:$I$34,"PM 10",'abrasion emissions'!$J$7:$J$34,"urban",'abrasion emissions'!$K$7:$K$34,"Tyre",'abrasion emissions'!$L$7:$L$34,"c")))))/1000000</f>
        <v>7.1486143332349651E-6</v>
      </c>
      <c r="CO92" s="7">
        <f>((SUMIFS('abrasion emissions'!$M$7:$M$34,'abrasion emissions'!$I$7:$I$34,"PM 2.5",'abrasion emissions'!$J$7:$J$34,"rural",'abrasion emissions'!$K$7:$K$34,"Tyre",'abrasion emissions'!$L$7:$L$34,"b")*POWER(('vehicles specifications'!$Q92/1000),(1/SUMIFS('abrasion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specifications'!$P92/1000),(1/SUMIFS('abrasion emissions'!$M$7:$M$34,'abrasion emissions'!$I$7:$I$34,"PM 10",'abrasion emissions'!$J$7:$J$34,"rural",'abrasion emissions'!$K$7:$K$34,"Tyre",'abrasion emissions'!$L$7:$L$34,"c")))))/1000000</f>
        <v>5.5670235336149891E-6</v>
      </c>
      <c r="CP92" s="7">
        <f>((SUMIFS('abrasion emissions'!$M$7:$M$34,'abrasion emissions'!$I$7:$I$34,"PM 2.5",'abrasion emissions'!$J$7:$J$34,"motorway",'abrasion emissions'!$K$7:$K$34,"Tyre",'abrasion emissions'!$L$7:$L$34,"b")*POWER(('vehicles specifications'!$Q92/1000),(1/SUMIFS('abrasion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specifications'!$P92/1000),(1/SUMIFS('abrasion emissions'!$M$7:$M$34,'abrasion emissions'!$I$7:$I$34,"PM 10",'abrasion emissions'!$J$7:$J$34,"motorway",'abrasion emissions'!$K$7:$K$34,"Tyre",'abrasion emissions'!$L$7:$L$34,"c")))))/1000000</f>
        <v>4.7531511435638935E-6</v>
      </c>
      <c r="CQ92" s="7">
        <f>((SUMIFS('abrasion emissions'!$M$7:$M$34,'abrasion emissions'!$I$7:$I$34,"PM 2.5",'abrasion emissions'!$J$7:$J$34,"urban",'abrasion emissions'!$K$7:$K$34,"Brake",'abrasion emissions'!$L$7:$L$34,"b")*POWER(('vehicles specifications'!$Q92/1000),(1/SUMIFS('abrasion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specifications'!$P92/1000),(1/SUMIFS('abrasion emissions'!$M$7:$M$34,'abrasion emissions'!$I$7:$I$34,"PM 10",'abrasion emissions'!$J$7:$J$34,"urban",'abrasion emissions'!$K$7:$K$34,"Brake",'abrasion emissions'!$L$7:$L$34,"c")))))/1000000</f>
        <v>6.9269738688076446E-6</v>
      </c>
      <c r="CR92" s="7">
        <f>((SUMIFS('abrasion emissions'!$M$7:$M$34,'abrasion emissions'!$I$7:$I$34,"PM 2.5",'abrasion emissions'!$J$7:$J$34,"rural",'abrasion emissions'!$K$7:$K$34,"Brake",'abrasion emissions'!$L$7:$L$34,"b")*POWER(('vehicles specifications'!$Q92/1000),(1/SUMIFS('abrasion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specifications'!$P92/1000),(1/SUMIFS('abrasion emissions'!$M$7:$M$34,'abrasion emissions'!$I$7:$I$34,"PM 10",'abrasion emissions'!$J$7:$J$34,"rural",'abrasion emissions'!$K$7:$K$34,"Brake",'abrasion emissions'!$L$7:$L$34,"c")))))/1000000</f>
        <v>2.3259456805990557E-6</v>
      </c>
      <c r="CS92" s="7">
        <f>((SUMIFS('abrasion emissions'!$M$7:$M$34,'abrasion emissions'!$I$7:$I$34,"PM 2.5",'abrasion emissions'!$J$7:$J$34,"motorway",'abrasion emissions'!$K$7:$K$34,"Brake",'abrasion emissions'!$L$7:$L$34,"b")*POWER(('vehicles specifications'!$Q92/1000),(1/SUMIFS('abrasion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specifications'!$P92/1000),(1/SUMIFS('abrasion emissions'!$M$7:$M$34,'abrasion emissions'!$I$7:$I$34,"PM 10",'abrasion emissions'!$J$7:$J$34,"motorway",'abrasion emissions'!$K$7:$K$34,"Brake",'abrasion emissions'!$L$7:$L$34,"c")))))/1000000</f>
        <v>4.4389877849213272E-7</v>
      </c>
      <c r="CT92" s="7">
        <f>((SUMIFS('abrasion emissions'!$M$7:$M$38,'abrasion emissions'!$I$7:$I$38,"PM 2.5",'abrasion emissions'!$K$7:$K$38,"Re-susp.",'abrasion emissions'!$L$7:$L$38,"b")*POWER(('vehicles specifications'!$Q92/1000),(1/SUMIFS('abrasion emissions'!$M$7:$M$38,'abrasion emissions'!$I$7:$I$38,"PM 2.5",'abrasion emissions'!$K$7:$K$38,"Re-susp.",'abrasion emissions'!$L$7:$L$38,"c"))))+
(SUMIFS('abrasion emissions'!$M$7:$M$38,'abrasion emissions'!$I$7:$I$38,"PM 10",'abrasion emissions'!$K$7:$K$38,"Re-susp.",'abrasion emissions'!$L$7:$L$38,"b")*POWER(('vehicles specifications'!$Q92/1000),(1/SUMIFS('abrasion emissions'!$M$7:$M$38,'abrasion emissions'!$I$7:$I$38,"PM 10",'abrasion emissions'!$K$7:$K$38,"Re-susp.",'abrasion emissions'!$L$7:$L$38,"c")))))/1000000</f>
        <v>4.6154919351242303E-6</v>
      </c>
      <c r="CU92" s="7">
        <f>((SUMIFS('abrasion emissions'!$M$7:$M$38,'abrasion emissions'!$I$7:$I$38,"PM 2.5",'abrasion emissions'!$K$7:$K$38,"Road",'abrasion emissions'!$L$7:$L$38,"b")*POWER(('vehicles specifications'!$Q92/1000),(1/SUMIFS('abrasion emissions'!$M$7:$M$38,'abrasion emissions'!$I$7:$I$38,"PM 2.5",'abrasion emissions'!$K$7:$K$38,"Road",'abrasion emissions'!$L$7:$L$38,"c"))))+
(SUMIFS('abrasion emissions'!$M$7:$M$38,'abrasion emissions'!$I$7:$I$38,"PM 10",'abrasion emissions'!$K$7:$K$38,"Road",'abrasion emissions'!$L$7:$L$38,"b")*POWER(('vehicles specifications'!$Q92/1000),(1/SUMIFS('abrasion emissions'!$M$7:$M$38,'abrasion emissions'!$I$7:$I$38,"PM 10",'abrasion emissions'!$K$7:$K$38,"Road",'abrasion emissions'!$L$7:$L$38,"c")))))/1000000+CT92</f>
        <v>8.6408811677586719E-6</v>
      </c>
      <c r="CV92" s="7">
        <f t="shared" si="79"/>
        <v>6.3578189334249771E-6</v>
      </c>
      <c r="CW92" s="7">
        <f t="shared" si="80"/>
        <v>4.6264597747033504E-6</v>
      </c>
    </row>
    <row r="93" spans="1:101" x14ac:dyDescent="0.2">
      <c r="A93" t="str">
        <f t="shared" ref="A93:A100" si="94">B93&amp;" - "&amp;D93&amp;" - "&amp;IF(I93&lt;&gt;"",I93&amp;" - "&amp;E93,E93)</f>
        <v>Scooter, electric, &lt;4kW - 2020 - NCA - CH</v>
      </c>
      <c r="B93" t="s">
        <v>383</v>
      </c>
      <c r="D93" s="18">
        <v>2020</v>
      </c>
      <c r="E93" t="s">
        <v>37</v>
      </c>
      <c r="F93" t="s">
        <v>138</v>
      </c>
      <c r="G93" t="s">
        <v>39</v>
      </c>
      <c r="H93" t="s">
        <v>32</v>
      </c>
      <c r="I93" t="s">
        <v>45</v>
      </c>
      <c r="J93">
        <v>25000</v>
      </c>
      <c r="K93">
        <v>1570</v>
      </c>
      <c r="L93" s="2">
        <f>J93/K93</f>
        <v>15.923566878980891</v>
      </c>
      <c r="M93">
        <v>1</v>
      </c>
      <c r="N93">
        <v>75</v>
      </c>
      <c r="O93">
        <v>4</v>
      </c>
      <c r="P93" s="2">
        <f>SUM(U93,V93,W93,AC93,AF93,AH93)</f>
        <v>99</v>
      </c>
      <c r="Q93" s="2">
        <f>P93+(M93*N93)+O93</f>
        <v>178</v>
      </c>
      <c r="R93">
        <v>2.6</v>
      </c>
      <c r="S93" s="2">
        <v>73</v>
      </c>
      <c r="T93" s="1">
        <v>0</v>
      </c>
      <c r="U93" s="2">
        <f>S93*(1-T93)</f>
        <v>73</v>
      </c>
      <c r="V93">
        <v>5</v>
      </c>
      <c r="W93">
        <v>8</v>
      </c>
      <c r="X93" s="3">
        <v>2.2999999999999998</v>
      </c>
      <c r="Y93" s="1">
        <v>0.8</v>
      </c>
      <c r="Z93" s="3">
        <f>Y93*X93</f>
        <v>1.8399999999999999</v>
      </c>
      <c r="AA93" s="3">
        <f>IF(I93&lt;&gt;"",X93/INDEX('energy battery'!$B$3:$D$6,MATCH('vehicles specifications'!$D93,'energy battery'!$A$3:$A$6,0),MATCH('vehicles specifications'!$I93,'energy battery'!$B$2:$D$2,0)),"")</f>
        <v>9.9999999999999982</v>
      </c>
      <c r="AB93" s="3">
        <f t="shared" si="6"/>
        <v>2.9999999999999996</v>
      </c>
      <c r="AC93" s="3">
        <f t="shared" ref="AC93:AC100" si="95">IF(AA93&lt;&gt;"",AB93+AA93,"")</f>
        <v>12.999999999999998</v>
      </c>
      <c r="AD93" s="3">
        <v>1</v>
      </c>
      <c r="AE93" s="3">
        <v>0</v>
      </c>
      <c r="AF93">
        <f>AE93*'fuels and tailpipe emissions'!$B$3</f>
        <v>0</v>
      </c>
      <c r="AG93">
        <v>0</v>
      </c>
      <c r="AH93" s="3">
        <v>0</v>
      </c>
      <c r="AI93" s="3">
        <v>3</v>
      </c>
      <c r="AJ93" s="3">
        <v>1</v>
      </c>
      <c r="AK93">
        <f t="shared" si="67"/>
        <v>1</v>
      </c>
      <c r="AL93">
        <f>0.000537/1000*Q93</f>
        <v>9.5586000000000003E-5</v>
      </c>
      <c r="AM93">
        <v>1.2899999999999999E-3</v>
      </c>
      <c r="AN93" s="2">
        <f>U93</f>
        <v>73</v>
      </c>
      <c r="AO93" s="2">
        <f>SUM(V93:W93)</f>
        <v>13</v>
      </c>
      <c r="AP93" s="2">
        <f>AC93</f>
        <v>12.999999999999998</v>
      </c>
      <c r="AQ93" s="6" t="s">
        <v>85</v>
      </c>
      <c r="AR93" s="20"/>
      <c r="AS93" s="5">
        <v>0.13343610710814707</v>
      </c>
      <c r="AT93" s="2">
        <f t="shared" si="78"/>
        <v>49.641735985533444</v>
      </c>
      <c r="AU93" s="5">
        <v>0</v>
      </c>
      <c r="AV93" s="5">
        <v>0</v>
      </c>
      <c r="AW93" s="7">
        <v>0</v>
      </c>
      <c r="AX93" s="7">
        <v>0</v>
      </c>
      <c r="AY93" s="7">
        <v>0</v>
      </c>
      <c r="AZ93" s="7">
        <v>0</v>
      </c>
      <c r="BA93" s="7">
        <v>0</v>
      </c>
      <c r="BB93" s="7">
        <v>0</v>
      </c>
      <c r="BC93" s="7">
        <v>0</v>
      </c>
      <c r="BD93" s="7">
        <v>0</v>
      </c>
      <c r="BE93" s="7">
        <v>0</v>
      </c>
      <c r="BF93" s="7">
        <v>0</v>
      </c>
      <c r="BG93" s="7">
        <v>0</v>
      </c>
      <c r="BH93" s="7">
        <v>0</v>
      </c>
      <c r="BI93" s="7">
        <v>0</v>
      </c>
      <c r="BJ93" s="7">
        <v>0</v>
      </c>
      <c r="BK93" s="7">
        <v>0</v>
      </c>
      <c r="BL93" s="7">
        <v>0</v>
      </c>
      <c r="BM93" s="7">
        <v>0</v>
      </c>
      <c r="BN93" s="7">
        <v>0</v>
      </c>
      <c r="BO93" s="7">
        <v>0</v>
      </c>
      <c r="BP93" s="7">
        <v>0</v>
      </c>
      <c r="BQ93" s="7">
        <v>0</v>
      </c>
      <c r="BR93" s="7">
        <v>0</v>
      </c>
      <c r="BS93" s="7">
        <v>0</v>
      </c>
      <c r="BT93" s="7">
        <v>0</v>
      </c>
      <c r="BU93" s="7">
        <v>0</v>
      </c>
      <c r="BV93" s="7">
        <v>0</v>
      </c>
      <c r="BW93" s="7">
        <v>0</v>
      </c>
      <c r="BX93" s="7">
        <v>0</v>
      </c>
      <c r="BY93" s="7">
        <v>0</v>
      </c>
      <c r="BZ93" s="7">
        <v>0</v>
      </c>
      <c r="CA93" s="7">
        <v>0</v>
      </c>
      <c r="CB93" s="7">
        <v>0</v>
      </c>
      <c r="CC93" s="7">
        <v>0</v>
      </c>
      <c r="CD93" s="7">
        <v>0</v>
      </c>
      <c r="CE93" s="7">
        <v>0</v>
      </c>
      <c r="CF93" s="7">
        <v>0</v>
      </c>
      <c r="CG93" s="7">
        <v>0</v>
      </c>
      <c r="CH93" s="7">
        <v>0</v>
      </c>
      <c r="CI93" s="7">
        <v>0</v>
      </c>
      <c r="CJ93" s="7">
        <v>0</v>
      </c>
      <c r="CK93" s="38">
        <f>VLOOKUP($B93,'abrasion emissions'!$O$7:$R$36,2,FALSE)</f>
        <v>0.5</v>
      </c>
      <c r="CL93" s="38">
        <f>VLOOKUP($B93,'abrasion emissions'!$O$7:$R$36,3,FALSE)</f>
        <v>0.5</v>
      </c>
      <c r="CM93" s="38">
        <f>VLOOKUP($B93,'abrasion emissions'!$O$7:$R$36,4,FALSE)</f>
        <v>0</v>
      </c>
      <c r="CN93" s="7">
        <f>((SUMIFS('abrasion emissions'!$M$7:$M$34,'abrasion emissions'!$I$7:$I$34,"PM 2.5",'abrasion emissions'!$J$7:$J$34,"urban",'abrasion emissions'!$K$7:$K$34,"Tyre",'abrasion emissions'!$L$7:$L$34,"b")*POWER(('vehicles specifications'!$Q93/1000),(1/SUMIFS('abrasion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specifications'!$P93/1000),(1/SUMIFS('abrasion emissions'!$M$7:$M$34,'abrasion emissions'!$I$7:$I$34,"PM 10",'abrasion emissions'!$J$7:$J$34,"urban",'abrasion emissions'!$K$7:$K$34,"Tyre",'abrasion emissions'!$L$7:$L$34,"c")))))/1000000</f>
        <v>5.9937806613518746E-6</v>
      </c>
      <c r="CO93" s="7">
        <f>((SUMIFS('abrasion emissions'!$M$7:$M$34,'abrasion emissions'!$I$7:$I$34,"PM 2.5",'abrasion emissions'!$J$7:$J$34,"rural",'abrasion emissions'!$K$7:$K$34,"Tyre",'abrasion emissions'!$L$7:$L$34,"b")*POWER(('vehicles specifications'!$Q93/1000),(1/SUMIFS('abrasion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specifications'!$P93/1000),(1/SUMIFS('abrasion emissions'!$M$7:$M$34,'abrasion emissions'!$I$7:$I$34,"PM 10",'abrasion emissions'!$J$7:$J$34,"rural",'abrasion emissions'!$K$7:$K$34,"Tyre",'abrasion emissions'!$L$7:$L$34,"c")))))/1000000</f>
        <v>4.668256848526165E-6</v>
      </c>
      <c r="CP93" s="7">
        <f>((SUMIFS('abrasion emissions'!$M$7:$M$34,'abrasion emissions'!$I$7:$I$34,"PM 2.5",'abrasion emissions'!$J$7:$J$34,"motorway",'abrasion emissions'!$K$7:$K$34,"Tyre",'abrasion emissions'!$L$7:$L$34,"b")*POWER(('vehicles specifications'!$Q93/1000),(1/SUMIFS('abrasion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specifications'!$P93/1000),(1/SUMIFS('abrasion emissions'!$M$7:$M$34,'abrasion emissions'!$I$7:$I$34,"PM 10",'abrasion emissions'!$J$7:$J$34,"motorway",'abrasion emissions'!$K$7:$K$34,"Tyre",'abrasion emissions'!$L$7:$L$34,"c")))))/1000000</f>
        <v>3.9872017433093455E-6</v>
      </c>
      <c r="CQ93" s="7">
        <f>((SUMIFS('abrasion emissions'!$M$7:$M$34,'abrasion emissions'!$I$7:$I$34,"PM 2.5",'abrasion emissions'!$J$7:$J$34,"urban",'abrasion emissions'!$K$7:$K$34,"Brake",'abrasion emissions'!$L$7:$L$34,"b")*POWER(('vehicles specifications'!$Q93/1000),(1/SUMIFS('abrasion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specifications'!$P93/1000),(1/SUMIFS('abrasion emissions'!$M$7:$M$34,'abrasion emissions'!$I$7:$I$34,"PM 10",'abrasion emissions'!$J$7:$J$34,"urban",'abrasion emissions'!$K$7:$K$34,"Brake",'abrasion emissions'!$L$7:$L$34,"c")))))/1000000</f>
        <v>5.6783018277317368E-6</v>
      </c>
      <c r="CR93" s="7">
        <f>((SUMIFS('abrasion emissions'!$M$7:$M$34,'abrasion emissions'!$I$7:$I$34,"PM 2.5",'abrasion emissions'!$J$7:$J$34,"rural",'abrasion emissions'!$K$7:$K$34,"Brake",'abrasion emissions'!$L$7:$L$34,"b")*POWER(('vehicles specifications'!$Q93/1000),(1/SUMIFS('abrasion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specifications'!$P93/1000),(1/SUMIFS('abrasion emissions'!$M$7:$M$34,'abrasion emissions'!$I$7:$I$34,"PM 10",'abrasion emissions'!$J$7:$J$34,"rural",'abrasion emissions'!$K$7:$K$34,"Brake",'abrasion emissions'!$L$7:$L$34,"c")))))/1000000</f>
        <v>1.8091513004734966E-6</v>
      </c>
      <c r="CS93" s="7">
        <f>((SUMIFS('abrasion emissions'!$M$7:$M$34,'abrasion emissions'!$I$7:$I$34,"PM 2.5",'abrasion emissions'!$J$7:$J$34,"motorway",'abrasion emissions'!$K$7:$K$34,"Brake",'abrasion emissions'!$L$7:$L$34,"b")*POWER(('vehicles specifications'!$Q93/1000),(1/SUMIFS('abrasion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specifications'!$P93/1000),(1/SUMIFS('abrasion emissions'!$M$7:$M$34,'abrasion emissions'!$I$7:$I$34,"PM 10",'abrasion emissions'!$J$7:$J$34,"motorway",'abrasion emissions'!$K$7:$K$34,"Brake",'abrasion emissions'!$L$7:$L$34,"c")))))/1000000</f>
        <v>3.3262016504474731E-7</v>
      </c>
      <c r="CT93" s="7">
        <f>((SUMIFS('abrasion emissions'!$M$7:$M$38,'abrasion emissions'!$I$7:$I$38,"PM 2.5",'abrasion emissions'!$K$7:$K$38,"Re-susp.",'abrasion emissions'!$L$7:$L$38,"b")*POWER(('vehicles specifications'!$Q93/1000),(1/SUMIFS('abrasion emissions'!$M$7:$M$38,'abrasion emissions'!$I$7:$I$38,"PM 2.5",'abrasion emissions'!$K$7:$K$38,"Re-susp.",'abrasion emissions'!$L$7:$L$38,"c"))))+
(SUMIFS('abrasion emissions'!$M$7:$M$38,'abrasion emissions'!$I$7:$I$38,"PM 10",'abrasion emissions'!$K$7:$K$38,"Re-susp.",'abrasion emissions'!$L$7:$L$38,"b")*POWER(('vehicles specifications'!$Q93/1000),(1/SUMIFS('abrasion emissions'!$M$7:$M$38,'abrasion emissions'!$I$7:$I$38,"PM 10",'abrasion emissions'!$K$7:$K$38,"Re-susp.",'abrasion emissions'!$L$7:$L$38,"c")))))/1000000</f>
        <v>3.4151319373422185E-6</v>
      </c>
      <c r="CU93" s="7">
        <f>((SUMIFS('abrasion emissions'!$M$7:$M$38,'abrasion emissions'!$I$7:$I$38,"PM 2.5",'abrasion emissions'!$K$7:$K$38,"Road",'abrasion emissions'!$L$7:$L$38,"b")*POWER(('vehicles specifications'!$Q93/1000),(1/SUMIFS('abrasion emissions'!$M$7:$M$38,'abrasion emissions'!$I$7:$I$38,"PM 2.5",'abrasion emissions'!$K$7:$K$38,"Road",'abrasion emissions'!$L$7:$L$38,"c"))))+
(SUMIFS('abrasion emissions'!$M$7:$M$38,'abrasion emissions'!$I$7:$I$38,"PM 10",'abrasion emissions'!$K$7:$K$38,"Road",'abrasion emissions'!$L$7:$L$38,"b")*POWER(('vehicles specifications'!$Q93/1000),(1/SUMIFS('abrasion emissions'!$M$7:$M$38,'abrasion emissions'!$I$7:$I$38,"PM 10",'abrasion emissions'!$K$7:$K$38,"Road",'abrasion emissions'!$L$7:$L$38,"c")))))/1000000+CT93</f>
        <v>6.6427354043393994E-6</v>
      </c>
      <c r="CV93" s="7">
        <f t="shared" si="79"/>
        <v>5.3310187549390202E-6</v>
      </c>
      <c r="CW93" s="7">
        <f t="shared" si="80"/>
        <v>3.7437265641026168E-6</v>
      </c>
    </row>
    <row r="94" spans="1:101" x14ac:dyDescent="0.2">
      <c r="A94" t="str">
        <f t="shared" si="94"/>
        <v>Scooter, electric, &lt;4kW - 2030 - NCA - CH</v>
      </c>
      <c r="B94" t="s">
        <v>383</v>
      </c>
      <c r="D94" s="18">
        <v>2030</v>
      </c>
      <c r="E94" t="s">
        <v>37</v>
      </c>
      <c r="F94" t="s">
        <v>138</v>
      </c>
      <c r="G94" t="s">
        <v>39</v>
      </c>
      <c r="H94" t="s">
        <v>32</v>
      </c>
      <c r="I94" t="s">
        <v>45</v>
      </c>
      <c r="J94">
        <v>25000</v>
      </c>
      <c r="K94">
        <v>1570</v>
      </c>
      <c r="L94" s="2">
        <f>J94/K94</f>
        <v>15.923566878980891</v>
      </c>
      <c r="M94">
        <v>1</v>
      </c>
      <c r="N94">
        <v>75</v>
      </c>
      <c r="O94">
        <v>4</v>
      </c>
      <c r="P94" s="2">
        <f>SUM(U94,V94,W94,AC94,AF94,AH94)</f>
        <v>101.14333333333335</v>
      </c>
      <c r="Q94" s="2">
        <f>P94+(M94*N94)+O94</f>
        <v>180.14333333333335</v>
      </c>
      <c r="R94">
        <v>2.6</v>
      </c>
      <c r="S94" s="2">
        <v>73</v>
      </c>
      <c r="T94" s="1">
        <v>0.03</v>
      </c>
      <c r="U94" s="2">
        <f>S94*(1-T94)</f>
        <v>70.81</v>
      </c>
      <c r="V94">
        <v>5</v>
      </c>
      <c r="W94">
        <v>8</v>
      </c>
      <c r="X94" s="3">
        <v>4</v>
      </c>
      <c r="Y94" s="1">
        <v>0.8</v>
      </c>
      <c r="Z94" s="3">
        <f>Y94*X94</f>
        <v>3.2</v>
      </c>
      <c r="AA94" s="3">
        <f>IF(I94&lt;&gt;"",X94/INDEX('energy battery'!$B$3:$D$6,MATCH('vehicles specifications'!$D94,'energy battery'!$A$3:$A$6,0),MATCH('vehicles specifications'!$I94,'energy battery'!$B$2:$D$2,0)),"")</f>
        <v>13.333333333333334</v>
      </c>
      <c r="AB94" s="3">
        <f t="shared" si="6"/>
        <v>4</v>
      </c>
      <c r="AC94" s="3">
        <f t="shared" si="95"/>
        <v>17.333333333333336</v>
      </c>
      <c r="AD94" s="3">
        <v>0.5</v>
      </c>
      <c r="AE94" s="3">
        <v>0</v>
      </c>
      <c r="AF94">
        <f>AE94*'fuels and tailpipe emissions'!$B$3</f>
        <v>0</v>
      </c>
      <c r="AG94">
        <v>0</v>
      </c>
      <c r="AH94" s="3">
        <v>0</v>
      </c>
      <c r="AI94" s="3">
        <v>3</v>
      </c>
      <c r="AJ94" s="3">
        <v>1</v>
      </c>
      <c r="AK94">
        <f t="shared" si="67"/>
        <v>1</v>
      </c>
      <c r="AL94">
        <f>0.000537/1000*Q94</f>
        <v>9.6736970000000004E-5</v>
      </c>
      <c r="AM94">
        <v>1.2899999999999999E-3</v>
      </c>
      <c r="AN94" s="2">
        <f>U94</f>
        <v>70.81</v>
      </c>
      <c r="AO94" s="2">
        <f>SUM(V94:W94)</f>
        <v>13</v>
      </c>
      <c r="AP94" s="2">
        <f>AC94</f>
        <v>17.333333333333336</v>
      </c>
      <c r="AQ94" s="6" t="s">
        <v>85</v>
      </c>
      <c r="AR94" s="20"/>
      <c r="AS94" s="5">
        <v>0.13343610710814707</v>
      </c>
      <c r="AT94" s="2">
        <f t="shared" si="78"/>
        <v>86.333453887884261</v>
      </c>
      <c r="AU94" s="5">
        <v>0</v>
      </c>
      <c r="AV94" s="5">
        <v>0</v>
      </c>
      <c r="AW94" s="7">
        <v>0</v>
      </c>
      <c r="AX94" s="7">
        <v>0</v>
      </c>
      <c r="AY94" s="7">
        <v>0</v>
      </c>
      <c r="AZ94" s="7">
        <v>0</v>
      </c>
      <c r="BA94" s="7">
        <v>0</v>
      </c>
      <c r="BB94" s="7">
        <v>0</v>
      </c>
      <c r="BC94" s="7">
        <v>0</v>
      </c>
      <c r="BD94" s="7">
        <v>0</v>
      </c>
      <c r="BE94" s="7">
        <v>0</v>
      </c>
      <c r="BF94" s="7">
        <v>0</v>
      </c>
      <c r="BG94" s="7">
        <v>0</v>
      </c>
      <c r="BH94" s="7">
        <v>0</v>
      </c>
      <c r="BI94" s="7">
        <v>0</v>
      </c>
      <c r="BJ94" s="7">
        <v>0</v>
      </c>
      <c r="BK94" s="7">
        <v>0</v>
      </c>
      <c r="BL94" s="7">
        <v>0</v>
      </c>
      <c r="BM94" s="7">
        <v>0</v>
      </c>
      <c r="BN94" s="7">
        <v>0</v>
      </c>
      <c r="BO94" s="7">
        <v>0</v>
      </c>
      <c r="BP94" s="7">
        <v>0</v>
      </c>
      <c r="BQ94" s="7">
        <v>0</v>
      </c>
      <c r="BR94" s="7">
        <v>0</v>
      </c>
      <c r="BS94" s="7">
        <v>0</v>
      </c>
      <c r="BT94" s="7">
        <v>0</v>
      </c>
      <c r="BU94" s="7">
        <v>0</v>
      </c>
      <c r="BV94" s="7">
        <v>0</v>
      </c>
      <c r="BW94" s="7">
        <v>0</v>
      </c>
      <c r="BX94" s="7">
        <v>0</v>
      </c>
      <c r="BY94" s="7">
        <v>0</v>
      </c>
      <c r="BZ94" s="7">
        <v>0</v>
      </c>
      <c r="CA94" s="7">
        <v>0</v>
      </c>
      <c r="CB94" s="7">
        <v>0</v>
      </c>
      <c r="CC94" s="7">
        <v>0</v>
      </c>
      <c r="CD94" s="7">
        <v>0</v>
      </c>
      <c r="CE94" s="7">
        <v>0</v>
      </c>
      <c r="CF94" s="7">
        <v>0</v>
      </c>
      <c r="CG94" s="7">
        <v>0</v>
      </c>
      <c r="CH94" s="7">
        <v>0</v>
      </c>
      <c r="CI94" s="7">
        <v>0</v>
      </c>
      <c r="CJ94" s="7">
        <v>0</v>
      </c>
      <c r="CK94" s="38">
        <f>VLOOKUP($B94,'abrasion emissions'!$O$7:$R$36,2,FALSE)</f>
        <v>0.5</v>
      </c>
      <c r="CL94" s="38">
        <f>VLOOKUP($B94,'abrasion emissions'!$O$7:$R$36,3,FALSE)</f>
        <v>0.5</v>
      </c>
      <c r="CM94" s="38">
        <f>VLOOKUP($B94,'abrasion emissions'!$O$7:$R$36,4,FALSE)</f>
        <v>0</v>
      </c>
      <c r="CN94" s="7">
        <f>((SUMIFS('abrasion emissions'!$M$7:$M$34,'abrasion emissions'!$I$7:$I$34,"PM 2.5",'abrasion emissions'!$J$7:$J$34,"urban",'abrasion emissions'!$K$7:$K$34,"Tyre",'abrasion emissions'!$L$7:$L$34,"b")*POWER(('vehicles specifications'!$Q94/1000),(1/SUMIFS('abrasion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specifications'!$P94/1000),(1/SUMIFS('abrasion emissions'!$M$7:$M$34,'abrasion emissions'!$I$7:$I$34,"PM 10",'abrasion emissions'!$J$7:$J$34,"urban",'abrasion emissions'!$K$7:$K$34,"Tyre",'abrasion emissions'!$L$7:$L$34,"c")))))/1000000</f>
        <v>6.0338355801970296E-6</v>
      </c>
      <c r="CO94" s="7">
        <f>((SUMIFS('abrasion emissions'!$M$7:$M$34,'abrasion emissions'!$I$7:$I$34,"PM 2.5",'abrasion emissions'!$J$7:$J$34,"rural",'abrasion emissions'!$K$7:$K$34,"Tyre",'abrasion emissions'!$L$7:$L$34,"b")*POWER(('vehicles specifications'!$Q94/1000),(1/SUMIFS('abrasion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specifications'!$P94/1000),(1/SUMIFS('abrasion emissions'!$M$7:$M$34,'abrasion emissions'!$I$7:$I$34,"PM 10",'abrasion emissions'!$J$7:$J$34,"rural",'abrasion emissions'!$K$7:$K$34,"Tyre",'abrasion emissions'!$L$7:$L$34,"c")))))/1000000</f>
        <v>4.6994273868084212E-6</v>
      </c>
      <c r="CP94" s="7">
        <f>((SUMIFS('abrasion emissions'!$M$7:$M$34,'abrasion emissions'!$I$7:$I$34,"PM 2.5",'abrasion emissions'!$J$7:$J$34,"motorway",'abrasion emissions'!$K$7:$K$34,"Tyre",'abrasion emissions'!$L$7:$L$34,"b")*POWER(('vehicles specifications'!$Q94/1000),(1/SUMIFS('abrasion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specifications'!$P94/1000),(1/SUMIFS('abrasion emissions'!$M$7:$M$34,'abrasion emissions'!$I$7:$I$34,"PM 10",'abrasion emissions'!$J$7:$J$34,"motorway",'abrasion emissions'!$K$7:$K$34,"Tyre",'abrasion emissions'!$L$7:$L$34,"c")))))/1000000</f>
        <v>4.0137589397886747E-6</v>
      </c>
      <c r="CQ94" s="7">
        <f>((SUMIFS('abrasion emissions'!$M$7:$M$34,'abrasion emissions'!$I$7:$I$34,"PM 2.5",'abrasion emissions'!$J$7:$J$34,"urban",'abrasion emissions'!$K$7:$K$34,"Brake",'abrasion emissions'!$L$7:$L$34,"b")*POWER(('vehicles specifications'!$Q94/1000),(1/SUMIFS('abrasion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specifications'!$P94/1000),(1/SUMIFS('abrasion emissions'!$M$7:$M$34,'abrasion emissions'!$I$7:$I$34,"PM 10",'abrasion emissions'!$J$7:$J$34,"urban",'abrasion emissions'!$K$7:$K$34,"Brake",'abrasion emissions'!$L$7:$L$34,"c")))))/1000000</f>
        <v>5.7204247980683114E-6</v>
      </c>
      <c r="CR94" s="7">
        <f>((SUMIFS('abrasion emissions'!$M$7:$M$34,'abrasion emissions'!$I$7:$I$34,"PM 2.5",'abrasion emissions'!$J$7:$J$34,"rural",'abrasion emissions'!$K$7:$K$34,"Brake",'abrasion emissions'!$L$7:$L$34,"b")*POWER(('vehicles specifications'!$Q94/1000),(1/SUMIFS('abrasion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specifications'!$P94/1000),(1/SUMIFS('abrasion emissions'!$M$7:$M$34,'abrasion emissions'!$I$7:$I$34,"PM 10",'abrasion emissions'!$J$7:$J$34,"rural",'abrasion emissions'!$K$7:$K$34,"Brake",'abrasion emissions'!$L$7:$L$34,"c")))))/1000000</f>
        <v>1.8260990637650822E-6</v>
      </c>
      <c r="CS94" s="7">
        <f>((SUMIFS('abrasion emissions'!$M$7:$M$34,'abrasion emissions'!$I$7:$I$34,"PM 2.5",'abrasion emissions'!$J$7:$J$34,"motorway",'abrasion emissions'!$K$7:$K$34,"Brake",'abrasion emissions'!$L$7:$L$34,"b")*POWER(('vehicles specifications'!$Q94/1000),(1/SUMIFS('abrasion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specifications'!$P94/1000),(1/SUMIFS('abrasion emissions'!$M$7:$M$34,'abrasion emissions'!$I$7:$I$34,"PM 10",'abrasion emissions'!$J$7:$J$34,"motorway",'abrasion emissions'!$K$7:$K$34,"Brake",'abrasion emissions'!$L$7:$L$34,"c")))))/1000000</f>
        <v>3.3619396955925133E-7</v>
      </c>
      <c r="CT94" s="7">
        <f>((SUMIFS('abrasion emissions'!$M$7:$M$38,'abrasion emissions'!$I$7:$I$38,"PM 2.5",'abrasion emissions'!$K$7:$K$38,"Re-susp.",'abrasion emissions'!$L$7:$L$38,"b")*POWER(('vehicles specifications'!$Q94/1000),(1/SUMIFS('abrasion emissions'!$M$7:$M$38,'abrasion emissions'!$I$7:$I$38,"PM 2.5",'abrasion emissions'!$K$7:$K$38,"Re-susp.",'abrasion emissions'!$L$7:$L$38,"c"))))+
(SUMIFS('abrasion emissions'!$M$7:$M$38,'abrasion emissions'!$I$7:$I$38,"PM 10",'abrasion emissions'!$K$7:$K$38,"Re-susp.",'abrasion emissions'!$L$7:$L$38,"b")*POWER(('vehicles specifications'!$Q94/1000),(1/SUMIFS('abrasion emissions'!$M$7:$M$38,'abrasion emissions'!$I$7:$I$38,"PM 10",'abrasion emissions'!$K$7:$K$38,"Re-susp.",'abrasion emissions'!$L$7:$L$38,"c")))))/1000000</f>
        <v>3.4524954574872454E-6</v>
      </c>
      <c r="CU94" s="7">
        <f>((SUMIFS('abrasion emissions'!$M$7:$M$38,'abrasion emissions'!$I$7:$I$38,"PM 2.5",'abrasion emissions'!$K$7:$K$38,"Road",'abrasion emissions'!$L$7:$L$38,"b")*POWER(('vehicles specifications'!$Q94/1000),(1/SUMIFS('abrasion emissions'!$M$7:$M$38,'abrasion emissions'!$I$7:$I$38,"PM 2.5",'abrasion emissions'!$K$7:$K$38,"Road",'abrasion emissions'!$L$7:$L$38,"c"))))+
(SUMIFS('abrasion emissions'!$M$7:$M$38,'abrasion emissions'!$I$7:$I$38,"PM 10",'abrasion emissions'!$K$7:$K$38,"Road",'abrasion emissions'!$L$7:$L$38,"b")*POWER(('vehicles specifications'!$Q94/1000),(1/SUMIFS('abrasion emissions'!$M$7:$M$38,'abrasion emissions'!$I$7:$I$38,"PM 10",'abrasion emissions'!$K$7:$K$38,"Road",'abrasion emissions'!$L$7:$L$38,"c")))))/1000000+CT94</f>
        <v>6.7059566799777275E-6</v>
      </c>
      <c r="CV94" s="7">
        <f t="shared" si="79"/>
        <v>5.3666314835027254E-6</v>
      </c>
      <c r="CW94" s="7">
        <f t="shared" si="80"/>
        <v>3.7732619309166969E-6</v>
      </c>
    </row>
    <row r="95" spans="1:101" x14ac:dyDescent="0.2">
      <c r="A95" t="str">
        <f t="shared" si="94"/>
        <v>Scooter, electric, &lt;4kW - 2040 - NCA - CH</v>
      </c>
      <c r="B95" t="s">
        <v>383</v>
      </c>
      <c r="D95" s="18">
        <v>2040</v>
      </c>
      <c r="E95" t="s">
        <v>37</v>
      </c>
      <c r="F95" t="s">
        <v>138</v>
      </c>
      <c r="G95" t="s">
        <v>39</v>
      </c>
      <c r="H95" t="s">
        <v>32</v>
      </c>
      <c r="I95" t="s">
        <v>45</v>
      </c>
      <c r="J95">
        <v>25000</v>
      </c>
      <c r="K95">
        <v>1570</v>
      </c>
      <c r="L95" s="2">
        <f>J95/K95</f>
        <v>15.923566878980891</v>
      </c>
      <c r="M95">
        <v>1</v>
      </c>
      <c r="N95">
        <v>75</v>
      </c>
      <c r="O95">
        <v>4</v>
      </c>
      <c r="P95" s="2">
        <f>SUM(U95,V95,W95,AC95,AF95,AH95)</f>
        <v>101.19999999999999</v>
      </c>
      <c r="Q95" s="2">
        <f>P95+(M95*N95)+O95</f>
        <v>180.2</v>
      </c>
      <c r="R95">
        <v>2.6</v>
      </c>
      <c r="S95" s="2">
        <v>73</v>
      </c>
      <c r="T95" s="1">
        <v>0.05</v>
      </c>
      <c r="U95" s="2">
        <f>S95*(1-T95)</f>
        <v>69.349999999999994</v>
      </c>
      <c r="V95">
        <v>5</v>
      </c>
      <c r="W95">
        <v>8</v>
      </c>
      <c r="X95" s="3">
        <v>5.8</v>
      </c>
      <c r="Y95" s="1">
        <v>0.8</v>
      </c>
      <c r="Z95" s="3">
        <f>Y95*X95</f>
        <v>4.6399999999999997</v>
      </c>
      <c r="AA95" s="3">
        <f>IF(I95&lt;&gt;"",X95/INDEX('energy battery'!$B$3:$D$6,MATCH('vehicles specifications'!$D95,'energy battery'!$A$3:$A$6,0),MATCH('vehicles specifications'!$I95,'energy battery'!$B$2:$D$2,0)),"")</f>
        <v>14.499999999999998</v>
      </c>
      <c r="AB95" s="3">
        <f t="shared" si="6"/>
        <v>4.3499999999999996</v>
      </c>
      <c r="AC95" s="3">
        <f t="shared" si="95"/>
        <v>18.849999999999998</v>
      </c>
      <c r="AD95" s="3">
        <v>0.25</v>
      </c>
      <c r="AE95" s="3">
        <v>0</v>
      </c>
      <c r="AF95">
        <f>AE95*'fuels and tailpipe emissions'!$B$3</f>
        <v>0</v>
      </c>
      <c r="AG95">
        <v>0</v>
      </c>
      <c r="AH95" s="3">
        <v>0</v>
      </c>
      <c r="AI95" s="3">
        <v>3</v>
      </c>
      <c r="AJ95" s="3">
        <v>1</v>
      </c>
      <c r="AK95">
        <f t="shared" si="67"/>
        <v>1</v>
      </c>
      <c r="AL95">
        <f>0.000537/1000*Q95</f>
        <v>9.6767399999999991E-5</v>
      </c>
      <c r="AM95">
        <v>1.2899999999999999E-3</v>
      </c>
      <c r="AN95" s="2">
        <f>U95</f>
        <v>69.349999999999994</v>
      </c>
      <c r="AO95" s="2">
        <f>SUM(V95:W95)</f>
        <v>13</v>
      </c>
      <c r="AP95" s="2">
        <f>AC95</f>
        <v>18.849999999999998</v>
      </c>
      <c r="AQ95" s="6" t="s">
        <v>85</v>
      </c>
      <c r="AR95" s="20"/>
      <c r="AS95" s="5">
        <v>0.13343610710814707</v>
      </c>
      <c r="AT95" s="2">
        <f t="shared" si="78"/>
        <v>125.18350813743217</v>
      </c>
      <c r="AU95" s="5">
        <v>0</v>
      </c>
      <c r="AV95" s="5">
        <v>0</v>
      </c>
      <c r="AW95" s="7">
        <v>0</v>
      </c>
      <c r="AX95" s="7">
        <v>0</v>
      </c>
      <c r="AY95" s="7">
        <v>0</v>
      </c>
      <c r="AZ95" s="7">
        <v>0</v>
      </c>
      <c r="BA95" s="7">
        <v>0</v>
      </c>
      <c r="BB95" s="7">
        <v>0</v>
      </c>
      <c r="BC95" s="7">
        <v>0</v>
      </c>
      <c r="BD95" s="7">
        <v>0</v>
      </c>
      <c r="BE95" s="7">
        <v>0</v>
      </c>
      <c r="BF95" s="7">
        <v>0</v>
      </c>
      <c r="BG95" s="7">
        <v>0</v>
      </c>
      <c r="BH95" s="7">
        <v>0</v>
      </c>
      <c r="BI95" s="7">
        <v>0</v>
      </c>
      <c r="BJ95" s="7">
        <v>0</v>
      </c>
      <c r="BK95" s="7">
        <v>0</v>
      </c>
      <c r="BL95" s="7">
        <v>0</v>
      </c>
      <c r="BM95" s="7">
        <v>0</v>
      </c>
      <c r="BN95" s="7">
        <v>0</v>
      </c>
      <c r="BO95" s="7">
        <v>0</v>
      </c>
      <c r="BP95" s="7">
        <v>0</v>
      </c>
      <c r="BQ95" s="7">
        <v>0</v>
      </c>
      <c r="BR95" s="7">
        <v>0</v>
      </c>
      <c r="BS95" s="7">
        <v>0</v>
      </c>
      <c r="BT95" s="7">
        <v>0</v>
      </c>
      <c r="BU95" s="7">
        <v>0</v>
      </c>
      <c r="BV95" s="7">
        <v>0</v>
      </c>
      <c r="BW95" s="7">
        <v>0</v>
      </c>
      <c r="BX95" s="7">
        <v>0</v>
      </c>
      <c r="BY95" s="7">
        <v>0</v>
      </c>
      <c r="BZ95" s="7">
        <v>0</v>
      </c>
      <c r="CA95" s="7">
        <v>0</v>
      </c>
      <c r="CB95" s="7">
        <v>0</v>
      </c>
      <c r="CC95" s="7">
        <v>0</v>
      </c>
      <c r="CD95" s="7">
        <v>0</v>
      </c>
      <c r="CE95" s="7">
        <v>0</v>
      </c>
      <c r="CF95" s="7">
        <v>0</v>
      </c>
      <c r="CG95" s="7">
        <v>0</v>
      </c>
      <c r="CH95" s="7">
        <v>0</v>
      </c>
      <c r="CI95" s="7">
        <v>0</v>
      </c>
      <c r="CJ95" s="7">
        <v>0</v>
      </c>
      <c r="CK95" s="38">
        <f>VLOOKUP($B95,'abrasion emissions'!$O$7:$R$36,2,FALSE)</f>
        <v>0.5</v>
      </c>
      <c r="CL95" s="38">
        <f>VLOOKUP($B95,'abrasion emissions'!$O$7:$R$36,3,FALSE)</f>
        <v>0.5</v>
      </c>
      <c r="CM95" s="38">
        <f>VLOOKUP($B95,'abrasion emissions'!$O$7:$R$36,4,FALSE)</f>
        <v>0</v>
      </c>
      <c r="CN95" s="7">
        <f>((SUMIFS('abrasion emissions'!$M$7:$M$34,'abrasion emissions'!$I$7:$I$34,"PM 2.5",'abrasion emissions'!$J$7:$J$34,"urban",'abrasion emissions'!$K$7:$K$34,"Tyre",'abrasion emissions'!$L$7:$L$34,"b")*POWER(('vehicles specifications'!$Q95/1000),(1/SUMIFS('abrasion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specifications'!$P95/1000),(1/SUMIFS('abrasion emissions'!$M$7:$M$34,'abrasion emissions'!$I$7:$I$34,"PM 10",'abrasion emissions'!$J$7:$J$34,"urban",'abrasion emissions'!$K$7:$K$34,"Tyre",'abrasion emissions'!$L$7:$L$34,"c")))))/1000000</f>
        <v>6.0348894844222866E-6</v>
      </c>
      <c r="CO95" s="7">
        <f>((SUMIFS('abrasion emissions'!$M$7:$M$34,'abrasion emissions'!$I$7:$I$34,"PM 2.5",'abrasion emissions'!$J$7:$J$34,"rural",'abrasion emissions'!$K$7:$K$34,"Tyre",'abrasion emissions'!$L$7:$L$34,"b")*POWER(('vehicles specifications'!$Q95/1000),(1/SUMIFS('abrasion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specifications'!$P95/1000),(1/SUMIFS('abrasion emissions'!$M$7:$M$34,'abrasion emissions'!$I$7:$I$34,"PM 10",'abrasion emissions'!$J$7:$J$34,"rural",'abrasion emissions'!$K$7:$K$34,"Tyre",'abrasion emissions'!$L$7:$L$34,"c")))))/1000000</f>
        <v>4.700247533151778E-6</v>
      </c>
      <c r="CP95" s="7">
        <f>((SUMIFS('abrasion emissions'!$M$7:$M$34,'abrasion emissions'!$I$7:$I$34,"PM 2.5",'abrasion emissions'!$J$7:$J$34,"motorway",'abrasion emissions'!$K$7:$K$34,"Tyre",'abrasion emissions'!$L$7:$L$34,"b")*POWER(('vehicles specifications'!$Q95/1000),(1/SUMIFS('abrasion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specifications'!$P95/1000),(1/SUMIFS('abrasion emissions'!$M$7:$M$34,'abrasion emissions'!$I$7:$I$34,"PM 10",'abrasion emissions'!$J$7:$J$34,"motorway",'abrasion emissions'!$K$7:$K$34,"Tyre",'abrasion emissions'!$L$7:$L$34,"c")))))/1000000</f>
        <v>4.0144577101396914E-6</v>
      </c>
      <c r="CQ95" s="7">
        <f>((SUMIFS('abrasion emissions'!$M$7:$M$34,'abrasion emissions'!$I$7:$I$34,"PM 2.5",'abrasion emissions'!$J$7:$J$34,"urban",'abrasion emissions'!$K$7:$K$34,"Brake",'abrasion emissions'!$L$7:$L$34,"b")*POWER(('vehicles specifications'!$Q95/1000),(1/SUMIFS('abrasion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specifications'!$P95/1000),(1/SUMIFS('abrasion emissions'!$M$7:$M$34,'abrasion emissions'!$I$7:$I$34,"PM 10",'abrasion emissions'!$J$7:$J$34,"urban",'abrasion emissions'!$K$7:$K$34,"Brake",'abrasion emissions'!$L$7:$L$34,"c")))))/1000000</f>
        <v>5.7215343897793968E-6</v>
      </c>
      <c r="CR95" s="7">
        <f>((SUMIFS('abrasion emissions'!$M$7:$M$34,'abrasion emissions'!$I$7:$I$34,"PM 2.5",'abrasion emissions'!$J$7:$J$34,"rural",'abrasion emissions'!$K$7:$K$34,"Brake",'abrasion emissions'!$L$7:$L$34,"b")*POWER(('vehicles specifications'!$Q95/1000),(1/SUMIFS('abrasion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specifications'!$P95/1000),(1/SUMIFS('abrasion emissions'!$M$7:$M$34,'abrasion emissions'!$I$7:$I$34,"PM 10",'abrasion emissions'!$J$7:$J$34,"rural",'abrasion emissions'!$K$7:$K$34,"Brake",'abrasion emissions'!$L$7:$L$34,"c")))))/1000000</f>
        <v>1.8265459885239875E-6</v>
      </c>
      <c r="CS95" s="7">
        <f>((SUMIFS('abrasion emissions'!$M$7:$M$34,'abrasion emissions'!$I$7:$I$34,"PM 2.5",'abrasion emissions'!$J$7:$J$34,"motorway",'abrasion emissions'!$K$7:$K$34,"Brake",'abrasion emissions'!$L$7:$L$34,"b")*POWER(('vehicles specifications'!$Q95/1000),(1/SUMIFS('abrasion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specifications'!$P95/1000),(1/SUMIFS('abrasion emissions'!$M$7:$M$34,'abrasion emissions'!$I$7:$I$34,"PM 10",'abrasion emissions'!$J$7:$J$34,"motorway",'abrasion emissions'!$K$7:$K$34,"Brake",'abrasion emissions'!$L$7:$L$34,"c")))))/1000000</f>
        <v>3.3628828928725343E-7</v>
      </c>
      <c r="CT95" s="7">
        <f>((SUMIFS('abrasion emissions'!$M$7:$M$38,'abrasion emissions'!$I$7:$I$38,"PM 2.5",'abrasion emissions'!$K$7:$K$38,"Re-susp.",'abrasion emissions'!$L$7:$L$38,"b")*POWER(('vehicles specifications'!$Q95/1000),(1/SUMIFS('abrasion emissions'!$M$7:$M$38,'abrasion emissions'!$I$7:$I$38,"PM 2.5",'abrasion emissions'!$K$7:$K$38,"Re-susp.",'abrasion emissions'!$L$7:$L$38,"c"))))+
(SUMIFS('abrasion emissions'!$M$7:$M$38,'abrasion emissions'!$I$7:$I$38,"PM 10",'abrasion emissions'!$K$7:$K$38,"Re-susp.",'abrasion emissions'!$L$7:$L$38,"b")*POWER(('vehicles specifications'!$Q95/1000),(1/SUMIFS('abrasion emissions'!$M$7:$M$38,'abrasion emissions'!$I$7:$I$38,"PM 10",'abrasion emissions'!$K$7:$K$38,"Re-susp.",'abrasion emissions'!$L$7:$L$38,"c")))))/1000000</f>
        <v>3.4534827451128693E-6</v>
      </c>
      <c r="CU95" s="7">
        <f>((SUMIFS('abrasion emissions'!$M$7:$M$38,'abrasion emissions'!$I$7:$I$38,"PM 2.5",'abrasion emissions'!$K$7:$K$38,"Road",'abrasion emissions'!$L$7:$L$38,"b")*POWER(('vehicles specifications'!$Q95/1000),(1/SUMIFS('abrasion emissions'!$M$7:$M$38,'abrasion emissions'!$I$7:$I$38,"PM 2.5",'abrasion emissions'!$K$7:$K$38,"Road",'abrasion emissions'!$L$7:$L$38,"c"))))+
(SUMIFS('abrasion emissions'!$M$7:$M$38,'abrasion emissions'!$I$7:$I$38,"PM 10",'abrasion emissions'!$K$7:$K$38,"Road",'abrasion emissions'!$L$7:$L$38,"b")*POWER(('vehicles specifications'!$Q95/1000),(1/SUMIFS('abrasion emissions'!$M$7:$M$38,'abrasion emissions'!$I$7:$I$38,"PM 10",'abrasion emissions'!$K$7:$K$38,"Road",'abrasion emissions'!$L$7:$L$38,"c")))))/1000000+CT95</f>
        <v>6.7076262137343895E-6</v>
      </c>
      <c r="CV95" s="7">
        <f t="shared" si="79"/>
        <v>5.3675685087870323E-6</v>
      </c>
      <c r="CW95" s="7">
        <f t="shared" si="80"/>
        <v>3.7740401891516924E-6</v>
      </c>
    </row>
    <row r="96" spans="1:101" x14ac:dyDescent="0.2">
      <c r="A96" t="str">
        <f t="shared" si="94"/>
        <v>Scooter, electric, &lt;4kW - 2050 - NCA - CH</v>
      </c>
      <c r="B96" t="s">
        <v>383</v>
      </c>
      <c r="D96" s="18">
        <v>2050</v>
      </c>
      <c r="E96" t="s">
        <v>37</v>
      </c>
      <c r="F96" t="s">
        <v>138</v>
      </c>
      <c r="G96" t="s">
        <v>39</v>
      </c>
      <c r="H96" t="s">
        <v>32</v>
      </c>
      <c r="I96" t="s">
        <v>45</v>
      </c>
      <c r="J96">
        <v>25000</v>
      </c>
      <c r="K96">
        <v>1570</v>
      </c>
      <c r="L96" s="2">
        <f>J96/K96</f>
        <v>15.923566878980891</v>
      </c>
      <c r="M96">
        <v>1</v>
      </c>
      <c r="N96">
        <v>75</v>
      </c>
      <c r="O96">
        <v>4</v>
      </c>
      <c r="P96" s="2">
        <f>SUM(U96,V96,W96,AC96,AF96,AH96)</f>
        <v>101.69</v>
      </c>
      <c r="Q96" s="2">
        <f>P96+(M96*N96)+O96</f>
        <v>180.69</v>
      </c>
      <c r="R96">
        <v>2.6</v>
      </c>
      <c r="S96" s="2">
        <v>73</v>
      </c>
      <c r="T96" s="1">
        <v>7.0000000000000007E-2</v>
      </c>
      <c r="U96" s="2">
        <f>S96*(1-T96)</f>
        <v>67.89</v>
      </c>
      <c r="V96">
        <v>5</v>
      </c>
      <c r="W96">
        <v>8</v>
      </c>
      <c r="X96" s="3">
        <v>8</v>
      </c>
      <c r="Y96" s="1">
        <v>0.8</v>
      </c>
      <c r="Z96" s="3">
        <f>Y96*X96</f>
        <v>6.4</v>
      </c>
      <c r="AA96" s="3">
        <f>IF(I96&lt;&gt;"",X96/INDEX('energy battery'!$B$3:$D$6,MATCH('vehicles specifications'!$D96,'energy battery'!$A$3:$A$6,0),MATCH('vehicles specifications'!$I96,'energy battery'!$B$2:$D$2,0)),"")</f>
        <v>16</v>
      </c>
      <c r="AB96" s="3">
        <f t="shared" si="6"/>
        <v>4.8</v>
      </c>
      <c r="AC96" s="3">
        <f t="shared" si="95"/>
        <v>20.8</v>
      </c>
      <c r="AD96" s="3">
        <v>0</v>
      </c>
      <c r="AE96" s="3">
        <v>0</v>
      </c>
      <c r="AF96">
        <f>AE96*'fuels and tailpipe emissions'!$B$3</f>
        <v>0</v>
      </c>
      <c r="AG96">
        <v>0</v>
      </c>
      <c r="AH96" s="3">
        <v>0</v>
      </c>
      <c r="AI96" s="3">
        <v>3</v>
      </c>
      <c r="AJ96" s="3">
        <v>1</v>
      </c>
      <c r="AK96">
        <f t="shared" si="67"/>
        <v>1</v>
      </c>
      <c r="AL96">
        <f>0.000537/1000*Q96</f>
        <v>9.7030529999999994E-5</v>
      </c>
      <c r="AM96">
        <v>1.2899999999999999E-3</v>
      </c>
      <c r="AN96" s="2">
        <f>U96</f>
        <v>67.89</v>
      </c>
      <c r="AO96" s="2">
        <f>SUM(V96:W96)</f>
        <v>13</v>
      </c>
      <c r="AP96" s="2">
        <f>AC96</f>
        <v>20.8</v>
      </c>
      <c r="AQ96" s="6" t="s">
        <v>85</v>
      </c>
      <c r="AR96" s="20"/>
      <c r="AS96" s="5">
        <v>0.13343610710814707</v>
      </c>
      <c r="AT96" s="2">
        <f t="shared" si="78"/>
        <v>172.66690777576852</v>
      </c>
      <c r="AU96" s="5">
        <v>0</v>
      </c>
      <c r="AV96" s="5">
        <v>0</v>
      </c>
      <c r="AW96" s="7">
        <v>0</v>
      </c>
      <c r="AX96" s="7">
        <v>0</v>
      </c>
      <c r="AY96" s="7">
        <v>0</v>
      </c>
      <c r="AZ96" s="7">
        <v>0</v>
      </c>
      <c r="BA96" s="7">
        <v>0</v>
      </c>
      <c r="BB96" s="7">
        <v>0</v>
      </c>
      <c r="BC96" s="7">
        <v>0</v>
      </c>
      <c r="BD96" s="7">
        <v>0</v>
      </c>
      <c r="BE96" s="7">
        <v>0</v>
      </c>
      <c r="BF96" s="7">
        <v>0</v>
      </c>
      <c r="BG96" s="7">
        <v>0</v>
      </c>
      <c r="BH96" s="7">
        <v>0</v>
      </c>
      <c r="BI96" s="7">
        <v>0</v>
      </c>
      <c r="BJ96" s="7">
        <v>0</v>
      </c>
      <c r="BK96" s="7">
        <v>0</v>
      </c>
      <c r="BL96" s="7">
        <v>0</v>
      </c>
      <c r="BM96" s="7">
        <v>0</v>
      </c>
      <c r="BN96" s="7">
        <v>0</v>
      </c>
      <c r="BO96" s="7">
        <v>0</v>
      </c>
      <c r="BP96" s="7">
        <v>0</v>
      </c>
      <c r="BQ96" s="7">
        <v>0</v>
      </c>
      <c r="BR96" s="7">
        <v>0</v>
      </c>
      <c r="BS96" s="7">
        <v>0</v>
      </c>
      <c r="BT96" s="7">
        <v>0</v>
      </c>
      <c r="BU96" s="7">
        <v>0</v>
      </c>
      <c r="BV96" s="7">
        <v>0</v>
      </c>
      <c r="BW96" s="7">
        <v>0</v>
      </c>
      <c r="BX96" s="7">
        <v>0</v>
      </c>
      <c r="BY96" s="7">
        <v>0</v>
      </c>
      <c r="BZ96" s="7">
        <v>0</v>
      </c>
      <c r="CA96" s="7">
        <v>0</v>
      </c>
      <c r="CB96" s="7">
        <v>0</v>
      </c>
      <c r="CC96" s="7">
        <v>0</v>
      </c>
      <c r="CD96" s="7">
        <v>0</v>
      </c>
      <c r="CE96" s="7">
        <v>0</v>
      </c>
      <c r="CF96" s="7">
        <v>0</v>
      </c>
      <c r="CG96" s="7">
        <v>0</v>
      </c>
      <c r="CH96" s="7">
        <v>0</v>
      </c>
      <c r="CI96" s="7">
        <v>0</v>
      </c>
      <c r="CJ96" s="7">
        <v>0</v>
      </c>
      <c r="CK96" s="38">
        <f>VLOOKUP($B96,'abrasion emissions'!$O$7:$R$36,2,FALSE)</f>
        <v>0.5</v>
      </c>
      <c r="CL96" s="38">
        <f>VLOOKUP($B96,'abrasion emissions'!$O$7:$R$36,3,FALSE)</f>
        <v>0.5</v>
      </c>
      <c r="CM96" s="38">
        <f>VLOOKUP($B96,'abrasion emissions'!$O$7:$R$36,4,FALSE)</f>
        <v>0</v>
      </c>
      <c r="CN96" s="7">
        <f>((SUMIFS('abrasion emissions'!$M$7:$M$34,'abrasion emissions'!$I$7:$I$34,"PM 2.5",'abrasion emissions'!$J$7:$J$34,"urban",'abrasion emissions'!$K$7:$K$34,"Tyre",'abrasion emissions'!$L$7:$L$34,"b")*POWER(('vehicles specifications'!$Q96/1000),(1/SUMIFS('abrasion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specifications'!$P96/1000),(1/SUMIFS('abrasion emissions'!$M$7:$M$34,'abrasion emissions'!$I$7:$I$34,"PM 10",'abrasion emissions'!$J$7:$J$34,"urban",'abrasion emissions'!$K$7:$K$34,"Tyre",'abrasion emissions'!$L$7:$L$34,"c")))))/1000000</f>
        <v>6.0439918459390894E-6</v>
      </c>
      <c r="CO96" s="7">
        <f>((SUMIFS('abrasion emissions'!$M$7:$M$34,'abrasion emissions'!$I$7:$I$34,"PM 2.5",'abrasion emissions'!$J$7:$J$34,"rural",'abrasion emissions'!$K$7:$K$34,"Tyre",'abrasion emissions'!$L$7:$L$34,"b")*POWER(('vehicles specifications'!$Q96/1000),(1/SUMIFS('abrasion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specifications'!$P96/1000),(1/SUMIFS('abrasion emissions'!$M$7:$M$34,'abrasion emissions'!$I$7:$I$34,"PM 10",'abrasion emissions'!$J$7:$J$34,"rural",'abrasion emissions'!$K$7:$K$34,"Tyre",'abrasion emissions'!$L$7:$L$34,"c")))))/1000000</f>
        <v>4.7073309812868793E-6</v>
      </c>
      <c r="CP96" s="7">
        <f>((SUMIFS('abrasion emissions'!$M$7:$M$34,'abrasion emissions'!$I$7:$I$34,"PM 2.5",'abrasion emissions'!$J$7:$J$34,"motorway",'abrasion emissions'!$K$7:$K$34,"Tyre",'abrasion emissions'!$L$7:$L$34,"b")*POWER(('vehicles specifications'!$Q96/1000),(1/SUMIFS('abrasion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specifications'!$P96/1000),(1/SUMIFS('abrasion emissions'!$M$7:$M$34,'abrasion emissions'!$I$7:$I$34,"PM 10",'abrasion emissions'!$J$7:$J$34,"motorway",'abrasion emissions'!$K$7:$K$34,"Tyre",'abrasion emissions'!$L$7:$L$34,"c")))))/1000000</f>
        <v>4.0204928745385546E-6</v>
      </c>
      <c r="CQ96" s="7">
        <f>((SUMIFS('abrasion emissions'!$M$7:$M$34,'abrasion emissions'!$I$7:$I$34,"PM 2.5",'abrasion emissions'!$J$7:$J$34,"urban",'abrasion emissions'!$K$7:$K$34,"Brake",'abrasion emissions'!$L$7:$L$34,"b")*POWER(('vehicles specifications'!$Q96/1000),(1/SUMIFS('abrasion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specifications'!$P96/1000),(1/SUMIFS('abrasion emissions'!$M$7:$M$34,'abrasion emissions'!$I$7:$I$34,"PM 10",'abrasion emissions'!$J$7:$J$34,"urban",'abrasion emissions'!$K$7:$K$34,"Brake",'abrasion emissions'!$L$7:$L$34,"c")))))/1000000</f>
        <v>5.7311204174179531E-6</v>
      </c>
      <c r="CR96" s="7">
        <f>((SUMIFS('abrasion emissions'!$M$7:$M$34,'abrasion emissions'!$I$7:$I$34,"PM 2.5",'abrasion emissions'!$J$7:$J$34,"rural",'abrasion emissions'!$K$7:$K$34,"Brake",'abrasion emissions'!$L$7:$L$34,"b")*POWER(('vehicles specifications'!$Q96/1000),(1/SUMIFS('abrasion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specifications'!$P96/1000),(1/SUMIFS('abrasion emissions'!$M$7:$M$34,'abrasion emissions'!$I$7:$I$34,"PM 10",'abrasion emissions'!$J$7:$J$34,"rural",'abrasion emissions'!$K$7:$K$34,"Brake",'abrasion emissions'!$L$7:$L$34,"c")))))/1000000</f>
        <v>1.8304081248953728E-6</v>
      </c>
      <c r="CS96" s="7">
        <f>((SUMIFS('abrasion emissions'!$M$7:$M$34,'abrasion emissions'!$I$7:$I$34,"PM 2.5",'abrasion emissions'!$J$7:$J$34,"motorway",'abrasion emissions'!$K$7:$K$34,"Brake",'abrasion emissions'!$L$7:$L$34,"b")*POWER(('vehicles specifications'!$Q96/1000),(1/SUMIFS('abrasion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specifications'!$P96/1000),(1/SUMIFS('abrasion emissions'!$M$7:$M$34,'abrasion emissions'!$I$7:$I$34,"PM 10",'abrasion emissions'!$J$7:$J$34,"motorway",'abrasion emissions'!$K$7:$K$34,"Brake",'abrasion emissions'!$L$7:$L$34,"c")))))/1000000</f>
        <v>3.3710352262607904E-7</v>
      </c>
      <c r="CT96" s="7">
        <f>((SUMIFS('abrasion emissions'!$M$7:$M$38,'abrasion emissions'!$I$7:$I$38,"PM 2.5",'abrasion emissions'!$K$7:$K$38,"Re-susp.",'abrasion emissions'!$L$7:$L$38,"b")*POWER(('vehicles specifications'!$Q96/1000),(1/SUMIFS('abrasion emissions'!$M$7:$M$38,'abrasion emissions'!$I$7:$I$38,"PM 2.5",'abrasion emissions'!$K$7:$K$38,"Re-susp.",'abrasion emissions'!$L$7:$L$38,"c"))))+
(SUMIFS('abrasion emissions'!$M$7:$M$38,'abrasion emissions'!$I$7:$I$38,"PM 10",'abrasion emissions'!$K$7:$K$38,"Re-susp.",'abrasion emissions'!$L$7:$L$38,"b")*POWER(('vehicles specifications'!$Q96/1000),(1/SUMIFS('abrasion emissions'!$M$7:$M$38,'abrasion emissions'!$I$7:$I$38,"PM 10",'abrasion emissions'!$K$7:$K$38,"Re-susp.",'abrasion emissions'!$L$7:$L$38,"c")))))/1000000</f>
        <v>3.4620187031132159E-6</v>
      </c>
      <c r="CU96" s="7">
        <f>((SUMIFS('abrasion emissions'!$M$7:$M$38,'abrasion emissions'!$I$7:$I$38,"PM 2.5",'abrasion emissions'!$K$7:$K$38,"Road",'abrasion emissions'!$L$7:$L$38,"b")*POWER(('vehicles specifications'!$Q96/1000),(1/SUMIFS('abrasion emissions'!$M$7:$M$38,'abrasion emissions'!$I$7:$I$38,"PM 2.5",'abrasion emissions'!$K$7:$K$38,"Road",'abrasion emissions'!$L$7:$L$38,"c"))))+
(SUMIFS('abrasion emissions'!$M$7:$M$38,'abrasion emissions'!$I$7:$I$38,"PM 10",'abrasion emissions'!$K$7:$K$38,"Road",'abrasion emissions'!$L$7:$L$38,"b")*POWER(('vehicles specifications'!$Q96/1000),(1/SUMIFS('abrasion emissions'!$M$7:$M$38,'abrasion emissions'!$I$7:$I$38,"PM 10",'abrasion emissions'!$K$7:$K$38,"Road",'abrasion emissions'!$L$7:$L$38,"c")))))/1000000+CT96</f>
        <v>6.7220586146877895E-6</v>
      </c>
      <c r="CV96" s="7">
        <f t="shared" si="79"/>
        <v>5.3756614136129848E-6</v>
      </c>
      <c r="CW96" s="7">
        <f t="shared" si="80"/>
        <v>3.7807642711566629E-6</v>
      </c>
    </row>
    <row r="97" spans="1:101" x14ac:dyDescent="0.2">
      <c r="A97" t="str">
        <f t="shared" si="94"/>
        <v>Scooter, electric, 4-11kW - 2020 - NCA - CH</v>
      </c>
      <c r="B97" t="s">
        <v>344</v>
      </c>
      <c r="D97" s="18">
        <v>2020</v>
      </c>
      <c r="E97" t="s">
        <v>37</v>
      </c>
      <c r="F97" t="s">
        <v>138</v>
      </c>
      <c r="G97" t="s">
        <v>39</v>
      </c>
      <c r="H97" t="s">
        <v>32</v>
      </c>
      <c r="I97" t="s">
        <v>45</v>
      </c>
      <c r="J97">
        <v>30000</v>
      </c>
      <c r="K97">
        <v>1870</v>
      </c>
      <c r="L97" s="2">
        <f t="shared" ref="L97:L100" si="96">J97/K97</f>
        <v>16.042780748663102</v>
      </c>
      <c r="M97">
        <v>1</v>
      </c>
      <c r="N97">
        <v>75</v>
      </c>
      <c r="O97">
        <v>4</v>
      </c>
      <c r="P97" s="2">
        <f t="shared" ref="P97:P100" si="97">SUM(U97,V97,W97,AC97,AF97,AH97)</f>
        <v>128.65217391304347</v>
      </c>
      <c r="Q97" s="2">
        <f t="shared" ref="Q97:Q100" si="98">P97+(M97*N97)+O97</f>
        <v>207.65217391304347</v>
      </c>
      <c r="R97">
        <v>6.1</v>
      </c>
      <c r="S97" s="2">
        <v>84</v>
      </c>
      <c r="T97" s="1">
        <v>0</v>
      </c>
      <c r="U97" s="2">
        <f t="shared" ref="U97:U100" si="99">S97*(1-T97)</f>
        <v>84</v>
      </c>
      <c r="V97">
        <v>10</v>
      </c>
      <c r="W97">
        <v>16</v>
      </c>
      <c r="X97" s="3">
        <v>3.3</v>
      </c>
      <c r="Y97" s="1">
        <v>0.8</v>
      </c>
      <c r="Z97" s="3">
        <f t="shared" ref="Z97:Z100" si="100">Y97*X97</f>
        <v>2.64</v>
      </c>
      <c r="AA97" s="3">
        <f>IF(I97&lt;&gt;"",X97/INDEX('energy battery'!$B$3:$D$6,MATCH('vehicles specifications'!$D97,'energy battery'!$A$3:$A$6,0),MATCH('vehicles specifications'!$I97,'energy battery'!$B$2:$D$2,0)),"")</f>
        <v>14.34782608695652</v>
      </c>
      <c r="AB97" s="3">
        <f t="shared" si="6"/>
        <v>4.3043478260869561</v>
      </c>
      <c r="AC97" s="3">
        <f t="shared" si="95"/>
        <v>18.652173913043477</v>
      </c>
      <c r="AD97" s="3">
        <v>1</v>
      </c>
      <c r="AE97" s="3">
        <v>0</v>
      </c>
      <c r="AF97">
        <f>AE97*'fuels and tailpipe emissions'!$B$3</f>
        <v>0</v>
      </c>
      <c r="AG97">
        <v>0</v>
      </c>
      <c r="AH97" s="3">
        <v>0</v>
      </c>
      <c r="AI97" s="3">
        <v>3</v>
      </c>
      <c r="AJ97" s="3">
        <v>1</v>
      </c>
      <c r="AK97">
        <f t="shared" si="67"/>
        <v>1.2</v>
      </c>
      <c r="AL97">
        <f t="shared" ref="AL97:AL100" si="101">0.000537/1000*Q97</f>
        <v>1.1150921739130435E-4</v>
      </c>
      <c r="AM97">
        <v>1.2899999999999999E-3</v>
      </c>
      <c r="AN97" s="2">
        <f t="shared" ref="AN97:AN100" si="102">U97</f>
        <v>84</v>
      </c>
      <c r="AO97" s="2">
        <f t="shared" ref="AO97:AO100" si="103">SUM(V97:W97)</f>
        <v>26</v>
      </c>
      <c r="AP97" s="2">
        <f t="shared" ref="AP97:AP100" si="104">AC97</f>
        <v>18.652173913043477</v>
      </c>
      <c r="AQ97" s="6" t="s">
        <v>85</v>
      </c>
      <c r="AR97" s="20"/>
      <c r="AS97" s="5">
        <v>0.18941496155676324</v>
      </c>
      <c r="AT97" s="2">
        <f t="shared" si="78"/>
        <v>50.175550663414057</v>
      </c>
      <c r="AU97" s="5">
        <v>0</v>
      </c>
      <c r="AV97" s="5">
        <v>0</v>
      </c>
      <c r="AW97" s="7">
        <v>0</v>
      </c>
      <c r="AX97" s="7">
        <v>0</v>
      </c>
      <c r="AY97" s="7">
        <v>0</v>
      </c>
      <c r="AZ97" s="7">
        <v>0</v>
      </c>
      <c r="BA97" s="7">
        <v>0</v>
      </c>
      <c r="BB97" s="7">
        <v>0</v>
      </c>
      <c r="BC97" s="7">
        <v>0</v>
      </c>
      <c r="BD97" s="7">
        <v>0</v>
      </c>
      <c r="BE97" s="7">
        <v>0</v>
      </c>
      <c r="BF97" s="7">
        <v>0</v>
      </c>
      <c r="BG97" s="7">
        <v>0</v>
      </c>
      <c r="BH97" s="7">
        <v>0</v>
      </c>
      <c r="BI97" s="7">
        <v>0</v>
      </c>
      <c r="BJ97" s="7">
        <v>0</v>
      </c>
      <c r="BK97" s="7">
        <v>0</v>
      </c>
      <c r="BL97" s="7">
        <v>0</v>
      </c>
      <c r="BM97" s="7">
        <v>0</v>
      </c>
      <c r="BN97" s="7">
        <v>0</v>
      </c>
      <c r="BO97" s="7">
        <v>0</v>
      </c>
      <c r="BP97" s="7">
        <v>0</v>
      </c>
      <c r="BQ97" s="7">
        <v>0</v>
      </c>
      <c r="BR97" s="7">
        <v>0</v>
      </c>
      <c r="BS97" s="7">
        <v>0</v>
      </c>
      <c r="BT97" s="7">
        <v>0</v>
      </c>
      <c r="BU97" s="7">
        <v>0</v>
      </c>
      <c r="BV97" s="7">
        <v>0</v>
      </c>
      <c r="BW97" s="7">
        <v>0</v>
      </c>
      <c r="BX97" s="7">
        <v>0</v>
      </c>
      <c r="BY97" s="7">
        <v>0</v>
      </c>
      <c r="BZ97" s="7">
        <v>0</v>
      </c>
      <c r="CA97" s="7">
        <v>0</v>
      </c>
      <c r="CB97" s="7">
        <v>0</v>
      </c>
      <c r="CC97" s="7">
        <v>0</v>
      </c>
      <c r="CD97" s="7">
        <v>0</v>
      </c>
      <c r="CE97" s="7">
        <v>0</v>
      </c>
      <c r="CF97" s="7">
        <v>0</v>
      </c>
      <c r="CG97" s="7">
        <v>0</v>
      </c>
      <c r="CH97" s="7">
        <v>0</v>
      </c>
      <c r="CI97" s="7">
        <v>0</v>
      </c>
      <c r="CJ97" s="7">
        <v>0</v>
      </c>
      <c r="CK97" s="38">
        <f>VLOOKUP($B97,'abrasion emissions'!$O$7:$R$36,2,FALSE)</f>
        <v>0.5</v>
      </c>
      <c r="CL97" s="38">
        <f>VLOOKUP($B97,'abrasion emissions'!$O$7:$R$36,3,FALSE)</f>
        <v>0.5</v>
      </c>
      <c r="CM97" s="38">
        <f>VLOOKUP($B97,'abrasion emissions'!$O$7:$R$36,4,FALSE)</f>
        <v>0</v>
      </c>
      <c r="CN97" s="7">
        <f>((SUMIFS('abrasion emissions'!$M$7:$M$34,'abrasion emissions'!$I$7:$I$34,"PM 2.5",'abrasion emissions'!$J$7:$J$34,"urban",'abrasion emissions'!$K$7:$K$34,"Tyre",'abrasion emissions'!$L$7:$L$34,"b")*POWER(('vehicles specifications'!$Q97/1000),(1/SUMIFS('abrasion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specifications'!$P97/1000),(1/SUMIFS('abrasion emissions'!$M$7:$M$34,'abrasion emissions'!$I$7:$I$34,"PM 10",'abrasion emissions'!$J$7:$J$34,"urban",'abrasion emissions'!$K$7:$K$34,"Tyre",'abrasion emissions'!$L$7:$L$34,"c")))))/1000000</f>
        <v>6.5180652709527172E-6</v>
      </c>
      <c r="CO97" s="7">
        <f>((SUMIFS('abrasion emissions'!$M$7:$M$34,'abrasion emissions'!$I$7:$I$34,"PM 2.5",'abrasion emissions'!$J$7:$J$34,"rural",'abrasion emissions'!$K$7:$K$34,"Tyre",'abrasion emissions'!$L$7:$L$34,"b")*POWER(('vehicles specifications'!$Q97/1000),(1/SUMIFS('abrasion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specifications'!$P97/1000),(1/SUMIFS('abrasion emissions'!$M$7:$M$34,'abrasion emissions'!$I$7:$I$34,"PM 10",'abrasion emissions'!$J$7:$J$34,"rural",'abrasion emissions'!$K$7:$K$34,"Tyre",'abrasion emissions'!$L$7:$L$34,"c")))))/1000000</f>
        <v>5.076270298354759E-6</v>
      </c>
      <c r="CP97" s="7">
        <f>((SUMIFS('abrasion emissions'!$M$7:$M$34,'abrasion emissions'!$I$7:$I$34,"PM 2.5",'abrasion emissions'!$J$7:$J$34,"motorway",'abrasion emissions'!$K$7:$K$34,"Tyre",'abrasion emissions'!$L$7:$L$34,"b")*POWER(('vehicles specifications'!$Q97/1000),(1/SUMIFS('abrasion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specifications'!$P97/1000),(1/SUMIFS('abrasion emissions'!$M$7:$M$34,'abrasion emissions'!$I$7:$I$34,"PM 10",'abrasion emissions'!$J$7:$J$34,"motorway",'abrasion emissions'!$K$7:$K$34,"Tyre",'abrasion emissions'!$L$7:$L$34,"c")))))/1000000</f>
        <v>4.3348725194220593E-6</v>
      </c>
      <c r="CQ97" s="7">
        <f>((SUMIFS('abrasion emissions'!$M$7:$M$34,'abrasion emissions'!$I$7:$I$34,"PM 2.5",'abrasion emissions'!$J$7:$J$34,"urban",'abrasion emissions'!$K$7:$K$34,"Brake",'abrasion emissions'!$L$7:$L$34,"b")*POWER(('vehicles specifications'!$Q97/1000),(1/SUMIFS('abrasion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specifications'!$P97/1000),(1/SUMIFS('abrasion emissions'!$M$7:$M$34,'abrasion emissions'!$I$7:$I$34,"PM 10",'abrasion emissions'!$J$7:$J$34,"urban",'abrasion emissions'!$K$7:$K$34,"Brake",'abrasion emissions'!$L$7:$L$34,"c")))))/1000000</f>
        <v>6.2367779296619021E-6</v>
      </c>
      <c r="CR97" s="7">
        <f>((SUMIFS('abrasion emissions'!$M$7:$M$34,'abrasion emissions'!$I$7:$I$34,"PM 2.5",'abrasion emissions'!$J$7:$J$34,"rural",'abrasion emissions'!$K$7:$K$34,"Brake",'abrasion emissions'!$L$7:$L$34,"b")*POWER(('vehicles specifications'!$Q97/1000),(1/SUMIFS('abrasion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specifications'!$P97/1000),(1/SUMIFS('abrasion emissions'!$M$7:$M$34,'abrasion emissions'!$I$7:$I$34,"PM 10",'abrasion emissions'!$J$7:$J$34,"rural",'abrasion emissions'!$K$7:$K$34,"Brake",'abrasion emissions'!$L$7:$L$34,"c")))))/1000000</f>
        <v>2.0367103732541524E-6</v>
      </c>
      <c r="CS97" s="7">
        <f>((SUMIFS('abrasion emissions'!$M$7:$M$34,'abrasion emissions'!$I$7:$I$34,"PM 2.5",'abrasion emissions'!$J$7:$J$34,"motorway",'abrasion emissions'!$K$7:$K$34,"Brake",'abrasion emissions'!$L$7:$L$34,"b")*POWER(('vehicles specifications'!$Q97/1000),(1/SUMIFS('abrasion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specifications'!$P97/1000),(1/SUMIFS('abrasion emissions'!$M$7:$M$34,'abrasion emissions'!$I$7:$I$34,"PM 10",'abrasion emissions'!$J$7:$J$34,"motorway",'abrasion emissions'!$K$7:$K$34,"Brake",'abrasion emissions'!$L$7:$L$34,"c")))))/1000000</f>
        <v>3.8105489061198876E-7</v>
      </c>
      <c r="CT97" s="7">
        <f>((SUMIFS('abrasion emissions'!$M$7:$M$38,'abrasion emissions'!$I$7:$I$38,"PM 2.5",'abrasion emissions'!$K$7:$K$38,"Re-susp.",'abrasion emissions'!$L$7:$L$38,"b")*POWER(('vehicles specifications'!$Q97/1000),(1/SUMIFS('abrasion emissions'!$M$7:$M$38,'abrasion emissions'!$I$7:$I$38,"PM 2.5",'abrasion emissions'!$K$7:$K$38,"Re-susp.",'abrasion emissions'!$L$7:$L$38,"c"))))+
(SUMIFS('abrasion emissions'!$M$7:$M$38,'abrasion emissions'!$I$7:$I$38,"PM 10",'abrasion emissions'!$K$7:$K$38,"Re-susp.",'abrasion emissions'!$L$7:$L$38,"b")*POWER(('vehicles specifications'!$Q97/1000),(1/SUMIFS('abrasion emissions'!$M$7:$M$38,'abrasion emissions'!$I$7:$I$38,"PM 10",'abrasion emissions'!$K$7:$K$38,"Re-susp.",'abrasion emissions'!$L$7:$L$38,"c")))))/1000000</f>
        <v>3.9286256692865324E-6</v>
      </c>
      <c r="CU97" s="7">
        <f>((SUMIFS('abrasion emissions'!$M$7:$M$38,'abrasion emissions'!$I$7:$I$38,"PM 2.5",'abrasion emissions'!$K$7:$K$38,"Road",'abrasion emissions'!$L$7:$L$38,"b")*POWER(('vehicles specifications'!$Q97/1000),(1/SUMIFS('abrasion emissions'!$M$7:$M$38,'abrasion emissions'!$I$7:$I$38,"PM 2.5",'abrasion emissions'!$K$7:$K$38,"Road",'abrasion emissions'!$L$7:$L$38,"c"))))+
(SUMIFS('abrasion emissions'!$M$7:$M$38,'abrasion emissions'!$I$7:$I$38,"PM 10",'abrasion emissions'!$K$7:$K$38,"Road",'abrasion emissions'!$L$7:$L$38,"b")*POWER(('vehicles specifications'!$Q97/1000),(1/SUMIFS('abrasion emissions'!$M$7:$M$38,'abrasion emissions'!$I$7:$I$38,"PM 10",'abrasion emissions'!$K$7:$K$38,"Road",'abrasion emissions'!$L$7:$L$38,"c")))))/1000000+CT97</f>
        <v>7.505396868269776E-6</v>
      </c>
      <c r="CV97" s="7">
        <f t="shared" si="79"/>
        <v>5.7971677846537385E-6</v>
      </c>
      <c r="CW97" s="7">
        <f t="shared" si="80"/>
        <v>4.1367441514580274E-6</v>
      </c>
    </row>
    <row r="98" spans="1:101" x14ac:dyDescent="0.2">
      <c r="A98" t="str">
        <f t="shared" si="94"/>
        <v>Scooter, electric, 4-11kW - 2030 - NCA - CH</v>
      </c>
      <c r="B98" t="s">
        <v>344</v>
      </c>
      <c r="D98" s="18">
        <v>2030</v>
      </c>
      <c r="E98" t="s">
        <v>37</v>
      </c>
      <c r="F98" t="s">
        <v>138</v>
      </c>
      <c r="G98" t="s">
        <v>39</v>
      </c>
      <c r="H98" t="s">
        <v>32</v>
      </c>
      <c r="I98" t="s">
        <v>45</v>
      </c>
      <c r="J98">
        <v>30000</v>
      </c>
      <c r="K98">
        <v>1870</v>
      </c>
      <c r="L98" s="2">
        <f t="shared" si="96"/>
        <v>16.042780748663102</v>
      </c>
      <c r="M98">
        <v>1</v>
      </c>
      <c r="N98">
        <v>75</v>
      </c>
      <c r="O98">
        <v>4</v>
      </c>
      <c r="P98" s="2">
        <f t="shared" si="97"/>
        <v>132.18</v>
      </c>
      <c r="Q98" s="2">
        <f t="shared" si="98"/>
        <v>211.18</v>
      </c>
      <c r="R98">
        <v>6.1</v>
      </c>
      <c r="S98" s="2">
        <v>84</v>
      </c>
      <c r="T98" s="1">
        <v>0.03</v>
      </c>
      <c r="U98" s="2">
        <f t="shared" si="99"/>
        <v>81.48</v>
      </c>
      <c r="V98">
        <v>10</v>
      </c>
      <c r="W98">
        <v>16</v>
      </c>
      <c r="X98" s="3">
        <v>5.7</v>
      </c>
      <c r="Y98" s="1">
        <v>0.8</v>
      </c>
      <c r="Z98" s="3">
        <f t="shared" si="100"/>
        <v>4.5600000000000005</v>
      </c>
      <c r="AA98" s="3">
        <f>IF(I98&lt;&gt;"",X98/INDEX('energy battery'!$B$3:$D$6,MATCH('vehicles specifications'!$D98,'energy battery'!$A$3:$A$6,0),MATCH('vehicles specifications'!$I98,'energy battery'!$B$2:$D$2,0)),"")</f>
        <v>19</v>
      </c>
      <c r="AB98" s="3">
        <f t="shared" si="6"/>
        <v>5.7</v>
      </c>
      <c r="AC98" s="3">
        <f t="shared" si="95"/>
        <v>24.7</v>
      </c>
      <c r="AD98" s="3">
        <v>0.5</v>
      </c>
      <c r="AE98" s="3">
        <v>0</v>
      </c>
      <c r="AF98">
        <f>AE98*'fuels and tailpipe emissions'!$B$3</f>
        <v>0</v>
      </c>
      <c r="AG98">
        <v>0</v>
      </c>
      <c r="AH98" s="3">
        <v>0</v>
      </c>
      <c r="AI98" s="3">
        <v>3</v>
      </c>
      <c r="AJ98" s="3">
        <v>1</v>
      </c>
      <c r="AK98">
        <f t="shared" si="67"/>
        <v>1.2</v>
      </c>
      <c r="AL98">
        <f t="shared" si="101"/>
        <v>1.1340366E-4</v>
      </c>
      <c r="AM98">
        <v>1.2899999999999999E-3</v>
      </c>
      <c r="AN98" s="2">
        <f t="shared" si="102"/>
        <v>81.48</v>
      </c>
      <c r="AO98" s="2">
        <f t="shared" si="103"/>
        <v>26</v>
      </c>
      <c r="AP98" s="2">
        <f t="shared" si="104"/>
        <v>24.7</v>
      </c>
      <c r="AQ98" s="6" t="s">
        <v>85</v>
      </c>
      <c r="AR98" s="20"/>
      <c r="AS98" s="5">
        <v>0.18941496155676324</v>
      </c>
      <c r="AT98" s="2">
        <f t="shared" si="78"/>
        <v>86.666860236806102</v>
      </c>
      <c r="AU98" s="5">
        <v>0</v>
      </c>
      <c r="AV98" s="5">
        <v>0</v>
      </c>
      <c r="AW98" s="7">
        <v>0</v>
      </c>
      <c r="AX98" s="7">
        <v>0</v>
      </c>
      <c r="AY98" s="7">
        <v>0</v>
      </c>
      <c r="AZ98" s="7">
        <v>0</v>
      </c>
      <c r="BA98" s="7">
        <v>0</v>
      </c>
      <c r="BB98" s="7">
        <v>0</v>
      </c>
      <c r="BC98" s="7">
        <v>0</v>
      </c>
      <c r="BD98" s="7">
        <v>0</v>
      </c>
      <c r="BE98" s="7">
        <v>0</v>
      </c>
      <c r="BF98" s="7">
        <v>0</v>
      </c>
      <c r="BG98" s="7">
        <v>0</v>
      </c>
      <c r="BH98" s="7">
        <v>0</v>
      </c>
      <c r="BI98" s="7">
        <v>0</v>
      </c>
      <c r="BJ98" s="7">
        <v>0</v>
      </c>
      <c r="BK98" s="7">
        <v>0</v>
      </c>
      <c r="BL98" s="7">
        <v>0</v>
      </c>
      <c r="BM98" s="7">
        <v>0</v>
      </c>
      <c r="BN98" s="7">
        <v>0</v>
      </c>
      <c r="BO98" s="7">
        <v>0</v>
      </c>
      <c r="BP98" s="7">
        <v>0</v>
      </c>
      <c r="BQ98" s="7">
        <v>0</v>
      </c>
      <c r="BR98" s="7">
        <v>0</v>
      </c>
      <c r="BS98" s="7">
        <v>0</v>
      </c>
      <c r="BT98" s="7">
        <v>0</v>
      </c>
      <c r="BU98" s="7">
        <v>0</v>
      </c>
      <c r="BV98" s="7">
        <v>0</v>
      </c>
      <c r="BW98" s="7">
        <v>0</v>
      </c>
      <c r="BX98" s="7">
        <v>0</v>
      </c>
      <c r="BY98" s="7">
        <v>0</v>
      </c>
      <c r="BZ98" s="7">
        <v>0</v>
      </c>
      <c r="CA98" s="7">
        <v>0</v>
      </c>
      <c r="CB98" s="7">
        <v>0</v>
      </c>
      <c r="CC98" s="7">
        <v>0</v>
      </c>
      <c r="CD98" s="7">
        <v>0</v>
      </c>
      <c r="CE98" s="7">
        <v>0</v>
      </c>
      <c r="CF98" s="7">
        <v>0</v>
      </c>
      <c r="CG98" s="7">
        <v>0</v>
      </c>
      <c r="CH98" s="7">
        <v>0</v>
      </c>
      <c r="CI98" s="7">
        <v>0</v>
      </c>
      <c r="CJ98" s="7">
        <v>0</v>
      </c>
      <c r="CK98" s="38">
        <f>VLOOKUP($B98,'abrasion emissions'!$O$7:$R$36,2,FALSE)</f>
        <v>0.5</v>
      </c>
      <c r="CL98" s="38">
        <f>VLOOKUP($B98,'abrasion emissions'!$O$7:$R$36,3,FALSE)</f>
        <v>0.5</v>
      </c>
      <c r="CM98" s="38">
        <f>VLOOKUP($B98,'abrasion emissions'!$O$7:$R$36,4,FALSE)</f>
        <v>0</v>
      </c>
      <c r="CN98" s="7">
        <f>((SUMIFS('abrasion emissions'!$M$7:$M$34,'abrasion emissions'!$I$7:$I$34,"PM 2.5",'abrasion emissions'!$J$7:$J$34,"urban",'abrasion emissions'!$K$7:$K$34,"Tyre",'abrasion emissions'!$L$7:$L$34,"b")*POWER(('vehicles specifications'!$Q98/1000),(1/SUMIFS('abrasion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specifications'!$P98/1000),(1/SUMIFS('abrasion emissions'!$M$7:$M$34,'abrasion emissions'!$I$7:$I$34,"PM 10",'abrasion emissions'!$J$7:$J$34,"urban",'abrasion emissions'!$K$7:$K$34,"Tyre",'abrasion emissions'!$L$7:$L$34,"c")))))/1000000</f>
        <v>6.5766355169193657E-6</v>
      </c>
      <c r="CO98" s="7">
        <f>((SUMIFS('abrasion emissions'!$M$7:$M$34,'abrasion emissions'!$I$7:$I$34,"PM 2.5",'abrasion emissions'!$J$7:$J$34,"rural",'abrasion emissions'!$K$7:$K$34,"Tyre",'abrasion emissions'!$L$7:$L$34,"b")*POWER(('vehicles specifications'!$Q98/1000),(1/SUMIFS('abrasion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specifications'!$P98/1000),(1/SUMIFS('abrasion emissions'!$M$7:$M$34,'abrasion emissions'!$I$7:$I$34,"PM 10",'abrasion emissions'!$J$7:$J$34,"rural",'abrasion emissions'!$K$7:$K$34,"Tyre",'abrasion emissions'!$L$7:$L$34,"c")))))/1000000</f>
        <v>5.1218535152818901E-6</v>
      </c>
      <c r="CP98" s="7">
        <f>((SUMIFS('abrasion emissions'!$M$7:$M$34,'abrasion emissions'!$I$7:$I$34,"PM 2.5",'abrasion emissions'!$J$7:$J$34,"motorway",'abrasion emissions'!$K$7:$K$34,"Tyre",'abrasion emissions'!$L$7:$L$34,"b")*POWER(('vehicles specifications'!$Q98/1000),(1/SUMIFS('abrasion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specifications'!$P98/1000),(1/SUMIFS('abrasion emissions'!$M$7:$M$34,'abrasion emissions'!$I$7:$I$34,"PM 10",'abrasion emissions'!$J$7:$J$34,"motorway",'abrasion emissions'!$K$7:$K$34,"Tyre",'abrasion emissions'!$L$7:$L$34,"c")))))/1000000</f>
        <v>4.3737196774239597E-6</v>
      </c>
      <c r="CQ98" s="7">
        <f>((SUMIFS('abrasion emissions'!$M$7:$M$34,'abrasion emissions'!$I$7:$I$34,"PM 2.5",'abrasion emissions'!$J$7:$J$34,"urban",'abrasion emissions'!$K$7:$K$34,"Brake",'abrasion emissions'!$L$7:$L$34,"b")*POWER(('vehicles specifications'!$Q98/1000),(1/SUMIFS('abrasion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specifications'!$P98/1000),(1/SUMIFS('abrasion emissions'!$M$7:$M$34,'abrasion emissions'!$I$7:$I$34,"PM 10",'abrasion emissions'!$J$7:$J$34,"urban",'abrasion emissions'!$K$7:$K$34,"Brake",'abrasion emissions'!$L$7:$L$34,"c")))))/1000000</f>
        <v>6.3000782940442976E-6</v>
      </c>
      <c r="CR98" s="7">
        <f>((SUMIFS('abrasion emissions'!$M$7:$M$34,'abrasion emissions'!$I$7:$I$34,"PM 2.5",'abrasion emissions'!$J$7:$J$34,"rural",'abrasion emissions'!$K$7:$K$34,"Brake",'abrasion emissions'!$L$7:$L$34,"b")*POWER(('vehicles specifications'!$Q98/1000),(1/SUMIFS('abrasion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specifications'!$P98/1000),(1/SUMIFS('abrasion emissions'!$M$7:$M$34,'abrasion emissions'!$I$7:$I$34,"PM 10",'abrasion emissions'!$J$7:$J$34,"rural",'abrasion emissions'!$K$7:$K$34,"Brake",'abrasion emissions'!$L$7:$L$34,"c")))))/1000000</f>
        <v>2.0628805759853273E-6</v>
      </c>
      <c r="CS98" s="7">
        <f>((SUMIFS('abrasion emissions'!$M$7:$M$34,'abrasion emissions'!$I$7:$I$34,"PM 2.5",'abrasion emissions'!$J$7:$J$34,"motorway",'abrasion emissions'!$K$7:$K$34,"Brake",'abrasion emissions'!$L$7:$L$34,"b")*POWER(('vehicles specifications'!$Q98/1000),(1/SUMIFS('abrasion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specifications'!$P98/1000),(1/SUMIFS('abrasion emissions'!$M$7:$M$34,'abrasion emissions'!$I$7:$I$34,"PM 10",'abrasion emissions'!$J$7:$J$34,"motorway",'abrasion emissions'!$K$7:$K$34,"Brake",'abrasion emissions'!$L$7:$L$34,"c")))))/1000000</f>
        <v>3.8668455780672078E-7</v>
      </c>
      <c r="CT98" s="7">
        <f>((SUMIFS('abrasion emissions'!$M$7:$M$38,'abrasion emissions'!$I$7:$I$38,"PM 2.5",'abrasion emissions'!$K$7:$K$38,"Re-susp.",'abrasion emissions'!$L$7:$L$38,"b")*POWER(('vehicles specifications'!$Q98/1000),(1/SUMIFS('abrasion emissions'!$M$7:$M$38,'abrasion emissions'!$I$7:$I$38,"PM 2.5",'abrasion emissions'!$K$7:$K$38,"Re-susp.",'abrasion emissions'!$L$7:$L$38,"c"))))+
(SUMIFS('abrasion emissions'!$M$7:$M$38,'abrasion emissions'!$I$7:$I$38,"PM 10",'abrasion emissions'!$K$7:$K$38,"Re-susp.",'abrasion emissions'!$L$7:$L$38,"b")*POWER(('vehicles specifications'!$Q98/1000),(1/SUMIFS('abrasion emissions'!$M$7:$M$38,'abrasion emissions'!$I$7:$I$38,"PM 10",'abrasion emissions'!$K$7:$K$38,"Re-susp.",'abrasion emissions'!$L$7:$L$38,"c")))))/1000000</f>
        <v>3.9892553385998303E-6</v>
      </c>
      <c r="CU98" s="7">
        <f>((SUMIFS('abrasion emissions'!$M$7:$M$38,'abrasion emissions'!$I$7:$I$38,"PM 2.5",'abrasion emissions'!$K$7:$K$38,"Road",'abrasion emissions'!$L$7:$L$38,"b")*POWER(('vehicles specifications'!$Q98/1000),(1/SUMIFS('abrasion emissions'!$M$7:$M$38,'abrasion emissions'!$I$7:$I$38,"PM 2.5",'abrasion emissions'!$K$7:$K$38,"Road",'abrasion emissions'!$L$7:$L$38,"c"))))+
(SUMIFS('abrasion emissions'!$M$7:$M$38,'abrasion emissions'!$I$7:$I$38,"PM 10",'abrasion emissions'!$K$7:$K$38,"Road",'abrasion emissions'!$L$7:$L$38,"b")*POWER(('vehicles specifications'!$Q98/1000),(1/SUMIFS('abrasion emissions'!$M$7:$M$38,'abrasion emissions'!$I$7:$I$38,"PM 10",'abrasion emissions'!$K$7:$K$38,"Road",'abrasion emissions'!$L$7:$L$38,"c")))))/1000000+CT98</f>
        <v>7.6064234663980656E-6</v>
      </c>
      <c r="CV98" s="7">
        <f t="shared" si="79"/>
        <v>5.8492445161006275E-6</v>
      </c>
      <c r="CW98" s="7">
        <f t="shared" si="80"/>
        <v>4.1814794350148126E-6</v>
      </c>
    </row>
    <row r="99" spans="1:101" x14ac:dyDescent="0.2">
      <c r="A99" t="str">
        <f t="shared" si="94"/>
        <v>Scooter, electric, 4-11kW - 2040 - NCA - CH</v>
      </c>
      <c r="B99" t="s">
        <v>344</v>
      </c>
      <c r="D99" s="18">
        <v>2040</v>
      </c>
      <c r="E99" t="s">
        <v>37</v>
      </c>
      <c r="F99" t="s">
        <v>138</v>
      </c>
      <c r="G99" t="s">
        <v>39</v>
      </c>
      <c r="H99" t="s">
        <v>32</v>
      </c>
      <c r="I99" t="s">
        <v>45</v>
      </c>
      <c r="J99">
        <v>30000</v>
      </c>
      <c r="K99">
        <v>1870</v>
      </c>
      <c r="L99" s="2">
        <f t="shared" si="96"/>
        <v>16.042780748663102</v>
      </c>
      <c r="M99">
        <v>1</v>
      </c>
      <c r="N99">
        <v>75</v>
      </c>
      <c r="O99">
        <v>4</v>
      </c>
      <c r="P99" s="2">
        <f t="shared" si="97"/>
        <v>132.44999999999999</v>
      </c>
      <c r="Q99" s="2">
        <f t="shared" si="98"/>
        <v>211.45</v>
      </c>
      <c r="R99">
        <v>6.1</v>
      </c>
      <c r="S99" s="2">
        <v>84</v>
      </c>
      <c r="T99" s="1">
        <v>0.05</v>
      </c>
      <c r="U99" s="2">
        <f t="shared" si="99"/>
        <v>79.8</v>
      </c>
      <c r="V99">
        <v>10</v>
      </c>
      <c r="W99">
        <v>16</v>
      </c>
      <c r="X99" s="3">
        <v>8.1999999999999993</v>
      </c>
      <c r="Y99" s="1">
        <v>0.8</v>
      </c>
      <c r="Z99" s="3">
        <f t="shared" si="100"/>
        <v>6.56</v>
      </c>
      <c r="AA99" s="3">
        <f>IF(I99&lt;&gt;"",X99/INDEX('energy battery'!$B$3:$D$6,MATCH('vehicles specifications'!$D99,'energy battery'!$A$3:$A$6,0),MATCH('vehicles specifications'!$I99,'energy battery'!$B$2:$D$2,0)),"")</f>
        <v>20.499999999999996</v>
      </c>
      <c r="AB99" s="3">
        <f t="shared" si="6"/>
        <v>6.1499999999999986</v>
      </c>
      <c r="AC99" s="3">
        <f t="shared" si="95"/>
        <v>26.649999999999995</v>
      </c>
      <c r="AD99" s="3">
        <v>0.25</v>
      </c>
      <c r="AE99" s="3">
        <v>0</v>
      </c>
      <c r="AF99">
        <f>AE99*'fuels and tailpipe emissions'!$B$3</f>
        <v>0</v>
      </c>
      <c r="AG99">
        <v>0</v>
      </c>
      <c r="AH99" s="3">
        <v>0</v>
      </c>
      <c r="AI99" s="3">
        <v>3</v>
      </c>
      <c r="AJ99" s="3">
        <v>1</v>
      </c>
      <c r="AK99">
        <f t="shared" si="67"/>
        <v>1.2</v>
      </c>
      <c r="AL99">
        <f t="shared" si="101"/>
        <v>1.1354865E-4</v>
      </c>
      <c r="AM99">
        <v>1.2899999999999999E-3</v>
      </c>
      <c r="AN99" s="2">
        <f t="shared" si="102"/>
        <v>79.8</v>
      </c>
      <c r="AO99" s="2">
        <f t="shared" si="103"/>
        <v>26</v>
      </c>
      <c r="AP99" s="2">
        <f t="shared" si="104"/>
        <v>26.649999999999995</v>
      </c>
      <c r="AQ99" s="6" t="s">
        <v>85</v>
      </c>
      <c r="AR99" s="20"/>
      <c r="AS99" s="5">
        <v>0.18941496155676324</v>
      </c>
      <c r="AT99" s="2">
        <f t="shared" si="78"/>
        <v>124.6786410424228</v>
      </c>
      <c r="AU99" s="5">
        <v>0</v>
      </c>
      <c r="AV99" s="5">
        <v>0</v>
      </c>
      <c r="AW99" s="7">
        <v>0</v>
      </c>
      <c r="AX99" s="7">
        <v>0</v>
      </c>
      <c r="AY99" s="7">
        <v>0</v>
      </c>
      <c r="AZ99" s="7">
        <v>0</v>
      </c>
      <c r="BA99" s="7">
        <v>0</v>
      </c>
      <c r="BB99" s="7">
        <v>0</v>
      </c>
      <c r="BC99" s="7">
        <v>0</v>
      </c>
      <c r="BD99" s="7">
        <v>0</v>
      </c>
      <c r="BE99" s="7">
        <v>0</v>
      </c>
      <c r="BF99" s="7">
        <v>0</v>
      </c>
      <c r="BG99" s="7">
        <v>0</v>
      </c>
      <c r="BH99" s="7">
        <v>0</v>
      </c>
      <c r="BI99" s="7">
        <v>0</v>
      </c>
      <c r="BJ99" s="7">
        <v>0</v>
      </c>
      <c r="BK99" s="7">
        <v>0</v>
      </c>
      <c r="BL99" s="7">
        <v>0</v>
      </c>
      <c r="BM99" s="7">
        <v>0</v>
      </c>
      <c r="BN99" s="7">
        <v>0</v>
      </c>
      <c r="BO99" s="7">
        <v>0</v>
      </c>
      <c r="BP99" s="7">
        <v>0</v>
      </c>
      <c r="BQ99" s="7">
        <v>0</v>
      </c>
      <c r="BR99" s="7">
        <v>0</v>
      </c>
      <c r="BS99" s="7">
        <v>0</v>
      </c>
      <c r="BT99" s="7">
        <v>0</v>
      </c>
      <c r="BU99" s="7">
        <v>0</v>
      </c>
      <c r="BV99" s="7">
        <v>0</v>
      </c>
      <c r="BW99" s="7">
        <v>0</v>
      </c>
      <c r="BX99" s="7">
        <v>0</v>
      </c>
      <c r="BY99" s="7">
        <v>0</v>
      </c>
      <c r="BZ99" s="7">
        <v>0</v>
      </c>
      <c r="CA99" s="7">
        <v>0</v>
      </c>
      <c r="CB99" s="7">
        <v>0</v>
      </c>
      <c r="CC99" s="7">
        <v>0</v>
      </c>
      <c r="CD99" s="7">
        <v>0</v>
      </c>
      <c r="CE99" s="7">
        <v>0</v>
      </c>
      <c r="CF99" s="7">
        <v>0</v>
      </c>
      <c r="CG99" s="7">
        <v>0</v>
      </c>
      <c r="CH99" s="7">
        <v>0</v>
      </c>
      <c r="CI99" s="7">
        <v>0</v>
      </c>
      <c r="CJ99" s="7">
        <v>0</v>
      </c>
      <c r="CK99" s="38">
        <f>VLOOKUP($B99,'abrasion emissions'!$O$7:$R$36,2,FALSE)</f>
        <v>0.5</v>
      </c>
      <c r="CL99" s="38">
        <f>VLOOKUP($B99,'abrasion emissions'!$O$7:$R$36,3,FALSE)</f>
        <v>0.5</v>
      </c>
      <c r="CM99" s="38">
        <f>VLOOKUP($B99,'abrasion emissions'!$O$7:$R$36,4,FALSE)</f>
        <v>0</v>
      </c>
      <c r="CN99" s="7">
        <f>((SUMIFS('abrasion emissions'!$M$7:$M$34,'abrasion emissions'!$I$7:$I$34,"PM 2.5",'abrasion emissions'!$J$7:$J$34,"urban",'abrasion emissions'!$K$7:$K$34,"Tyre",'abrasion emissions'!$L$7:$L$34,"b")*POWER(('vehicles specifications'!$Q99/1000),(1/SUMIFS('abrasion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specifications'!$P99/1000),(1/SUMIFS('abrasion emissions'!$M$7:$M$34,'abrasion emissions'!$I$7:$I$34,"PM 10",'abrasion emissions'!$J$7:$J$34,"urban",'abrasion emissions'!$K$7:$K$34,"Tyre",'abrasion emissions'!$L$7:$L$34,"c")))))/1000000</f>
        <v>6.5810886972386748E-6</v>
      </c>
      <c r="CO99" s="7">
        <f>((SUMIFS('abrasion emissions'!$M$7:$M$34,'abrasion emissions'!$I$7:$I$34,"PM 2.5",'abrasion emissions'!$J$7:$J$34,"rural",'abrasion emissions'!$K$7:$K$34,"Tyre",'abrasion emissions'!$L$7:$L$34,"b")*POWER(('vehicles specifications'!$Q99/1000),(1/SUMIFS('abrasion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specifications'!$P99/1000),(1/SUMIFS('abrasion emissions'!$M$7:$M$34,'abrasion emissions'!$I$7:$I$34,"PM 10",'abrasion emissions'!$J$7:$J$34,"rural",'abrasion emissions'!$K$7:$K$34,"Tyre",'abrasion emissions'!$L$7:$L$34,"c")))))/1000000</f>
        <v>5.1253192889032687E-6</v>
      </c>
      <c r="CP99" s="7">
        <f>((SUMIFS('abrasion emissions'!$M$7:$M$34,'abrasion emissions'!$I$7:$I$34,"PM 2.5",'abrasion emissions'!$J$7:$J$34,"motorway",'abrasion emissions'!$K$7:$K$34,"Tyre",'abrasion emissions'!$L$7:$L$34,"b")*POWER(('vehicles specifications'!$Q99/1000),(1/SUMIFS('abrasion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specifications'!$P99/1000),(1/SUMIFS('abrasion emissions'!$M$7:$M$34,'abrasion emissions'!$I$7:$I$34,"PM 10",'abrasion emissions'!$J$7:$J$34,"motorway",'abrasion emissions'!$K$7:$K$34,"Tyre",'abrasion emissions'!$L$7:$L$34,"c")))))/1000000</f>
        <v>4.3766733362535794E-6</v>
      </c>
      <c r="CQ99" s="7">
        <f>((SUMIFS('abrasion emissions'!$M$7:$M$34,'abrasion emissions'!$I$7:$I$34,"PM 2.5",'abrasion emissions'!$J$7:$J$34,"urban",'abrasion emissions'!$K$7:$K$34,"Brake",'abrasion emissions'!$L$7:$L$34,"b")*POWER(('vehicles specifications'!$Q99/1000),(1/SUMIFS('abrasion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specifications'!$P99/1000),(1/SUMIFS('abrasion emissions'!$M$7:$M$34,'abrasion emissions'!$I$7:$I$34,"PM 10",'abrasion emissions'!$J$7:$J$34,"urban",'abrasion emissions'!$K$7:$K$34,"Brake",'abrasion emissions'!$L$7:$L$34,"c")))))/1000000</f>
        <v>6.3048982122214375E-6</v>
      </c>
      <c r="CR99" s="7">
        <f>((SUMIFS('abrasion emissions'!$M$7:$M$34,'abrasion emissions'!$I$7:$I$34,"PM 2.5",'abrasion emissions'!$J$7:$J$34,"rural",'abrasion emissions'!$K$7:$K$34,"Brake",'abrasion emissions'!$L$7:$L$34,"b")*POWER(('vehicles specifications'!$Q99/1000),(1/SUMIFS('abrasion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specifications'!$P99/1000),(1/SUMIFS('abrasion emissions'!$M$7:$M$34,'abrasion emissions'!$I$7:$I$34,"PM 10",'abrasion emissions'!$J$7:$J$34,"rural",'abrasion emissions'!$K$7:$K$34,"Brake",'abrasion emissions'!$L$7:$L$34,"c")))))/1000000</f>
        <v>2.0648763114685876E-6</v>
      </c>
      <c r="CS99" s="7">
        <f>((SUMIFS('abrasion emissions'!$M$7:$M$34,'abrasion emissions'!$I$7:$I$34,"PM 2.5",'abrasion emissions'!$J$7:$J$34,"motorway",'abrasion emissions'!$K$7:$K$34,"Brake",'abrasion emissions'!$L$7:$L$34,"b")*POWER(('vehicles specifications'!$Q99/1000),(1/SUMIFS('abrasion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specifications'!$P99/1000),(1/SUMIFS('abrasion emissions'!$M$7:$M$34,'abrasion emissions'!$I$7:$I$34,"PM 10",'abrasion emissions'!$J$7:$J$34,"motorway",'abrasion emissions'!$K$7:$K$34,"Brake",'abrasion emissions'!$L$7:$L$34,"c")))))/1000000</f>
        <v>3.871143561051602E-7</v>
      </c>
      <c r="CT99" s="7">
        <f>((SUMIFS('abrasion emissions'!$M$7:$M$38,'abrasion emissions'!$I$7:$I$38,"PM 2.5",'abrasion emissions'!$K$7:$K$38,"Re-susp.",'abrasion emissions'!$L$7:$L$38,"b")*POWER(('vehicles specifications'!$Q99/1000),(1/SUMIFS('abrasion emissions'!$M$7:$M$38,'abrasion emissions'!$I$7:$I$38,"PM 2.5",'abrasion emissions'!$K$7:$K$38,"Re-susp.",'abrasion emissions'!$L$7:$L$38,"c"))))+
(SUMIFS('abrasion emissions'!$M$7:$M$38,'abrasion emissions'!$I$7:$I$38,"PM 10",'abrasion emissions'!$K$7:$K$38,"Re-susp.",'abrasion emissions'!$L$7:$L$38,"b")*POWER(('vehicles specifications'!$Q99/1000),(1/SUMIFS('abrasion emissions'!$M$7:$M$38,'abrasion emissions'!$I$7:$I$38,"PM 10",'abrasion emissions'!$K$7:$K$38,"Re-susp.",'abrasion emissions'!$L$7:$L$38,"c")))))/1000000</f>
        <v>3.9938917813367097E-6</v>
      </c>
      <c r="CU99" s="7">
        <f>((SUMIFS('abrasion emissions'!$M$7:$M$38,'abrasion emissions'!$I$7:$I$38,"PM 2.5",'abrasion emissions'!$K$7:$K$38,"Road",'abrasion emissions'!$L$7:$L$38,"b")*POWER(('vehicles specifications'!$Q99/1000),(1/SUMIFS('abrasion emissions'!$M$7:$M$38,'abrasion emissions'!$I$7:$I$38,"PM 2.5",'abrasion emissions'!$K$7:$K$38,"Road",'abrasion emissions'!$L$7:$L$38,"c"))))+
(SUMIFS('abrasion emissions'!$M$7:$M$38,'abrasion emissions'!$I$7:$I$38,"PM 10",'abrasion emissions'!$K$7:$K$38,"Road",'abrasion emissions'!$L$7:$L$38,"b")*POWER(('vehicles specifications'!$Q99/1000),(1/SUMIFS('abrasion emissions'!$M$7:$M$38,'abrasion emissions'!$I$7:$I$38,"PM 10",'abrasion emissions'!$K$7:$K$38,"Road",'abrasion emissions'!$L$7:$L$38,"c")))))/1000000+CT99</f>
        <v>7.6141423582400934E-6</v>
      </c>
      <c r="CV99" s="7">
        <f t="shared" si="79"/>
        <v>5.8532039930709717E-6</v>
      </c>
      <c r="CW99" s="7">
        <f t="shared" si="80"/>
        <v>4.1848872618450126E-6</v>
      </c>
    </row>
    <row r="100" spans="1:101" x14ac:dyDescent="0.2">
      <c r="A100" t="str">
        <f t="shared" si="94"/>
        <v>Scooter, electric, 4-11kW - 2050 - NCA - CH</v>
      </c>
      <c r="B100" t="s">
        <v>344</v>
      </c>
      <c r="D100" s="18">
        <v>2050</v>
      </c>
      <c r="E100" t="s">
        <v>37</v>
      </c>
      <c r="F100" t="s">
        <v>138</v>
      </c>
      <c r="G100" t="s">
        <v>39</v>
      </c>
      <c r="H100" t="s">
        <v>32</v>
      </c>
      <c r="I100" t="s">
        <v>45</v>
      </c>
      <c r="J100">
        <v>30000</v>
      </c>
      <c r="K100">
        <v>1870</v>
      </c>
      <c r="L100" s="2">
        <f t="shared" si="96"/>
        <v>16.042780748663102</v>
      </c>
      <c r="M100">
        <v>1</v>
      </c>
      <c r="N100">
        <v>75</v>
      </c>
      <c r="O100">
        <v>4</v>
      </c>
      <c r="P100" s="2">
        <f t="shared" si="97"/>
        <v>132.19999999999999</v>
      </c>
      <c r="Q100" s="2">
        <f t="shared" si="98"/>
        <v>211.2</v>
      </c>
      <c r="R100">
        <v>6.1</v>
      </c>
      <c r="S100" s="2">
        <v>84</v>
      </c>
      <c r="T100" s="1">
        <v>7.0000000000000007E-2</v>
      </c>
      <c r="U100" s="2">
        <f t="shared" si="99"/>
        <v>78.11999999999999</v>
      </c>
      <c r="V100">
        <v>10</v>
      </c>
      <c r="W100">
        <v>16</v>
      </c>
      <c r="X100" s="3">
        <v>10.8</v>
      </c>
      <c r="Y100" s="1">
        <v>0.8</v>
      </c>
      <c r="Z100" s="3">
        <f t="shared" si="100"/>
        <v>8.64</v>
      </c>
      <c r="AA100" s="3">
        <f>IF(I100&lt;&gt;"",X100/INDEX('energy battery'!$B$3:$D$6,MATCH('vehicles specifications'!$D100,'energy battery'!$A$3:$A$6,0),MATCH('vehicles specifications'!$I100,'energy battery'!$B$2:$D$2,0)),"")</f>
        <v>21.6</v>
      </c>
      <c r="AB100" s="3">
        <f t="shared" si="6"/>
        <v>6.48</v>
      </c>
      <c r="AC100" s="3">
        <f t="shared" si="95"/>
        <v>28.080000000000002</v>
      </c>
      <c r="AD100" s="3">
        <v>0</v>
      </c>
      <c r="AE100" s="3">
        <v>0</v>
      </c>
      <c r="AF100">
        <f>AE100*'fuels and tailpipe emissions'!$B$3</f>
        <v>0</v>
      </c>
      <c r="AG100">
        <v>0</v>
      </c>
      <c r="AH100" s="3">
        <v>0</v>
      </c>
      <c r="AI100" s="3">
        <v>3</v>
      </c>
      <c r="AJ100" s="3">
        <v>1</v>
      </c>
      <c r="AK100">
        <f t="shared" si="67"/>
        <v>1.2</v>
      </c>
      <c r="AL100">
        <f t="shared" si="101"/>
        <v>1.134144E-4</v>
      </c>
      <c r="AM100">
        <v>1.2899999999999999E-3</v>
      </c>
      <c r="AN100" s="2">
        <f t="shared" si="102"/>
        <v>78.11999999999999</v>
      </c>
      <c r="AO100" s="2">
        <f t="shared" si="103"/>
        <v>26</v>
      </c>
      <c r="AP100" s="2">
        <f t="shared" si="104"/>
        <v>28.080000000000002</v>
      </c>
      <c r="AQ100" s="6" t="s">
        <v>85</v>
      </c>
      <c r="AR100" s="20"/>
      <c r="AS100" s="5">
        <v>0.18941496155676324</v>
      </c>
      <c r="AT100" s="2">
        <f t="shared" si="78"/>
        <v>164.21089308026419</v>
      </c>
      <c r="AU100" s="5">
        <v>0</v>
      </c>
      <c r="AV100" s="5">
        <v>0</v>
      </c>
      <c r="AW100" s="7">
        <v>0</v>
      </c>
      <c r="AX100" s="7">
        <v>0</v>
      </c>
      <c r="AY100" s="7">
        <v>0</v>
      </c>
      <c r="AZ100" s="7">
        <v>0</v>
      </c>
      <c r="BA100" s="7">
        <v>0</v>
      </c>
      <c r="BB100" s="7">
        <v>0</v>
      </c>
      <c r="BC100" s="7">
        <v>0</v>
      </c>
      <c r="BD100" s="7">
        <v>0</v>
      </c>
      <c r="BE100" s="7">
        <v>0</v>
      </c>
      <c r="BF100" s="7">
        <v>0</v>
      </c>
      <c r="BG100" s="7">
        <v>0</v>
      </c>
      <c r="BH100" s="7">
        <v>0</v>
      </c>
      <c r="BI100" s="7">
        <v>0</v>
      </c>
      <c r="BJ100" s="7">
        <v>0</v>
      </c>
      <c r="BK100" s="7">
        <v>0</v>
      </c>
      <c r="BL100" s="7">
        <v>0</v>
      </c>
      <c r="BM100" s="7">
        <v>0</v>
      </c>
      <c r="BN100" s="7">
        <v>0</v>
      </c>
      <c r="BO100" s="7">
        <v>0</v>
      </c>
      <c r="BP100" s="7">
        <v>0</v>
      </c>
      <c r="BQ100" s="7">
        <v>0</v>
      </c>
      <c r="BR100" s="7">
        <v>0</v>
      </c>
      <c r="BS100" s="7">
        <v>0</v>
      </c>
      <c r="BT100" s="7">
        <v>0</v>
      </c>
      <c r="BU100" s="7">
        <v>0</v>
      </c>
      <c r="BV100" s="7">
        <v>0</v>
      </c>
      <c r="BW100" s="7">
        <v>0</v>
      </c>
      <c r="BX100" s="7">
        <v>0</v>
      </c>
      <c r="BY100" s="7">
        <v>0</v>
      </c>
      <c r="BZ100" s="7">
        <v>0</v>
      </c>
      <c r="CA100" s="7">
        <v>0</v>
      </c>
      <c r="CB100" s="7">
        <v>0</v>
      </c>
      <c r="CC100" s="7">
        <v>0</v>
      </c>
      <c r="CD100" s="7">
        <v>0</v>
      </c>
      <c r="CE100" s="7">
        <v>0</v>
      </c>
      <c r="CF100" s="7">
        <v>0</v>
      </c>
      <c r="CG100" s="7">
        <v>0</v>
      </c>
      <c r="CH100" s="7">
        <v>0</v>
      </c>
      <c r="CI100" s="7">
        <v>0</v>
      </c>
      <c r="CJ100" s="7">
        <v>0</v>
      </c>
      <c r="CK100" s="38">
        <f>VLOOKUP($B100,'abrasion emissions'!$O$7:$R$36,2,FALSE)</f>
        <v>0.5</v>
      </c>
      <c r="CL100" s="38">
        <f>VLOOKUP($B100,'abrasion emissions'!$O$7:$R$36,3,FALSE)</f>
        <v>0.5</v>
      </c>
      <c r="CM100" s="38">
        <f>VLOOKUP($B100,'abrasion emissions'!$O$7:$R$36,4,FALSE)</f>
        <v>0</v>
      </c>
      <c r="CN100" s="7">
        <f>((SUMIFS('abrasion emissions'!$M$7:$M$34,'abrasion emissions'!$I$7:$I$34,"PM 2.5",'abrasion emissions'!$J$7:$J$34,"urban",'abrasion emissions'!$K$7:$K$34,"Tyre",'abrasion emissions'!$L$7:$L$34,"b")*POWER(('vehicles specifications'!$Q100/1000),(1/SUMIFS('abrasion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specifications'!$P100/1000),(1/SUMIFS('abrasion emissions'!$M$7:$M$34,'abrasion emissions'!$I$7:$I$34,"PM 10",'abrasion emissions'!$J$7:$J$34,"urban",'abrasion emissions'!$K$7:$K$34,"Tyre",'abrasion emissions'!$L$7:$L$34,"c")))))/1000000</f>
        <v>6.5769655240526869E-6</v>
      </c>
      <c r="CO100" s="7">
        <f>((SUMIFS('abrasion emissions'!$M$7:$M$34,'abrasion emissions'!$I$7:$I$34,"PM 2.5",'abrasion emissions'!$J$7:$J$34,"rural",'abrasion emissions'!$K$7:$K$34,"Tyre",'abrasion emissions'!$L$7:$L$34,"b")*POWER(('vehicles specifications'!$Q100/1000),(1/SUMIFS('abrasion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specifications'!$P100/1000),(1/SUMIFS('abrasion emissions'!$M$7:$M$34,'abrasion emissions'!$I$7:$I$34,"PM 10",'abrasion emissions'!$J$7:$J$34,"rural",'abrasion emissions'!$K$7:$K$34,"Tyre",'abrasion emissions'!$L$7:$L$34,"c")))))/1000000</f>
        <v>5.1221103496332357E-6</v>
      </c>
      <c r="CP100" s="7">
        <f>((SUMIFS('abrasion emissions'!$M$7:$M$34,'abrasion emissions'!$I$7:$I$34,"PM 2.5",'abrasion emissions'!$J$7:$J$34,"motorway",'abrasion emissions'!$K$7:$K$34,"Tyre",'abrasion emissions'!$L$7:$L$34,"b")*POWER(('vehicles specifications'!$Q100/1000),(1/SUMIFS('abrasion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specifications'!$P100/1000),(1/SUMIFS('abrasion emissions'!$M$7:$M$34,'abrasion emissions'!$I$7:$I$34,"PM 10",'abrasion emissions'!$J$7:$J$34,"motorway",'abrasion emissions'!$K$7:$K$34,"Tyre",'abrasion emissions'!$L$7:$L$34,"c")))))/1000000</f>
        <v>4.3739385608451761E-6</v>
      </c>
      <c r="CQ100" s="7">
        <f>((SUMIFS('abrasion emissions'!$M$7:$M$34,'abrasion emissions'!$I$7:$I$34,"PM 2.5",'abrasion emissions'!$J$7:$J$34,"urban",'abrasion emissions'!$K$7:$K$34,"Brake",'abrasion emissions'!$L$7:$L$34,"b")*POWER(('vehicles specifications'!$Q100/1000),(1/SUMIFS('abrasion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specifications'!$P100/1000),(1/SUMIFS('abrasion emissions'!$M$7:$M$34,'abrasion emissions'!$I$7:$I$34,"PM 10",'abrasion emissions'!$J$7:$J$34,"urban",'abrasion emissions'!$K$7:$K$34,"Brake",'abrasion emissions'!$L$7:$L$34,"c")))))/1000000</f>
        <v>6.3004354443800739E-6</v>
      </c>
      <c r="CR100" s="7">
        <f>((SUMIFS('abrasion emissions'!$M$7:$M$34,'abrasion emissions'!$I$7:$I$34,"PM 2.5",'abrasion emissions'!$J$7:$J$34,"rural",'abrasion emissions'!$K$7:$K$34,"Brake",'abrasion emissions'!$L$7:$L$34,"b")*POWER(('vehicles specifications'!$Q100/1000),(1/SUMIFS('abrasion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specifications'!$P100/1000),(1/SUMIFS('abrasion emissions'!$M$7:$M$34,'abrasion emissions'!$I$7:$I$34,"PM 10",'abrasion emissions'!$J$7:$J$34,"rural",'abrasion emissions'!$K$7:$K$34,"Brake",'abrasion emissions'!$L$7:$L$34,"c")))))/1000000</f>
        <v>2.0630284429479404E-6</v>
      </c>
      <c r="CS100" s="7">
        <f>((SUMIFS('abrasion emissions'!$M$7:$M$34,'abrasion emissions'!$I$7:$I$34,"PM 2.5",'abrasion emissions'!$J$7:$J$34,"motorway",'abrasion emissions'!$K$7:$K$34,"Brake",'abrasion emissions'!$L$7:$L$34,"b")*POWER(('vehicles specifications'!$Q100/1000),(1/SUMIFS('abrasion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specifications'!$P100/1000),(1/SUMIFS('abrasion emissions'!$M$7:$M$34,'abrasion emissions'!$I$7:$I$34,"PM 10",'abrasion emissions'!$J$7:$J$34,"motorway",'abrasion emissions'!$K$7:$K$34,"Brake",'abrasion emissions'!$L$7:$L$34,"c")))))/1000000</f>
        <v>3.8671639986502506E-7</v>
      </c>
      <c r="CT100" s="7">
        <f>((SUMIFS('abrasion emissions'!$M$7:$M$38,'abrasion emissions'!$I$7:$I$38,"PM 2.5",'abrasion emissions'!$K$7:$K$38,"Re-susp.",'abrasion emissions'!$L$7:$L$38,"b")*POWER(('vehicles specifications'!$Q100/1000),(1/SUMIFS('abrasion emissions'!$M$7:$M$38,'abrasion emissions'!$I$7:$I$38,"PM 2.5",'abrasion emissions'!$K$7:$K$38,"Re-susp.",'abrasion emissions'!$L$7:$L$38,"c"))))+
(SUMIFS('abrasion emissions'!$M$7:$M$38,'abrasion emissions'!$I$7:$I$38,"PM 10",'abrasion emissions'!$K$7:$K$38,"Re-susp.",'abrasion emissions'!$L$7:$L$38,"b")*POWER(('vehicles specifications'!$Q100/1000),(1/SUMIFS('abrasion emissions'!$M$7:$M$38,'abrasion emissions'!$I$7:$I$38,"PM 10",'abrasion emissions'!$K$7:$K$38,"Re-susp.",'abrasion emissions'!$L$7:$L$38,"c")))))/1000000</f>
        <v>3.9895987972749974E-6</v>
      </c>
      <c r="CU100" s="7">
        <f>((SUMIFS('abrasion emissions'!$M$7:$M$38,'abrasion emissions'!$I$7:$I$38,"PM 2.5",'abrasion emissions'!$K$7:$K$38,"Road",'abrasion emissions'!$L$7:$L$38,"b")*POWER(('vehicles specifications'!$Q100/1000),(1/SUMIFS('abrasion emissions'!$M$7:$M$38,'abrasion emissions'!$I$7:$I$38,"PM 2.5",'abrasion emissions'!$K$7:$K$38,"Road",'abrasion emissions'!$L$7:$L$38,"c"))))+
(SUMIFS('abrasion emissions'!$M$7:$M$38,'abrasion emissions'!$I$7:$I$38,"PM 10",'abrasion emissions'!$K$7:$K$38,"Road",'abrasion emissions'!$L$7:$L$38,"b")*POWER(('vehicles specifications'!$Q100/1000),(1/SUMIFS('abrasion emissions'!$M$7:$M$38,'abrasion emissions'!$I$7:$I$38,"PM 10",'abrasion emissions'!$K$7:$K$38,"Road",'abrasion emissions'!$L$7:$L$38,"c")))))/1000000+CT100</f>
        <v>7.6069952996690376E-6</v>
      </c>
      <c r="CV100" s="7">
        <f t="shared" si="79"/>
        <v>5.8495379368429613E-6</v>
      </c>
      <c r="CW100" s="7">
        <f t="shared" si="80"/>
        <v>4.1817319436640074E-6</v>
      </c>
    </row>
    <row r="101" spans="1:101" x14ac:dyDescent="0.2">
      <c r="A101" t="str">
        <f t="shared" si="1"/>
        <v>Motorbike, gasoline, 4-11kW, EURO-3 - 2006 - CH</v>
      </c>
      <c r="B101" t="s">
        <v>413</v>
      </c>
      <c r="D101" s="18">
        <v>2006</v>
      </c>
      <c r="E101" t="s">
        <v>37</v>
      </c>
      <c r="F101" t="s">
        <v>139</v>
      </c>
      <c r="G101" t="s">
        <v>39</v>
      </c>
      <c r="H101" t="s">
        <v>35</v>
      </c>
      <c r="J101">
        <v>25000</v>
      </c>
      <c r="K101">
        <v>1776</v>
      </c>
      <c r="L101" s="2">
        <f t="shared" si="2"/>
        <v>14.076576576576576</v>
      </c>
      <c r="M101">
        <v>1.1000000000000001</v>
      </c>
      <c r="N101">
        <v>75</v>
      </c>
      <c r="O101">
        <v>6</v>
      </c>
      <c r="P101" s="2">
        <f t="shared" si="64"/>
        <v>122.27169718057486</v>
      </c>
      <c r="Q101" s="2">
        <f t="shared" si="3"/>
        <v>210.77169718057485</v>
      </c>
      <c r="R101">
        <v>9</v>
      </c>
      <c r="S101" s="2">
        <v>65.433826960328489</v>
      </c>
      <c r="T101" s="1">
        <v>-0.05</v>
      </c>
      <c r="U101" s="2">
        <f>S101*(1-T101)</f>
        <v>68.705518308344921</v>
      </c>
      <c r="V101" s="2">
        <f>0.7*S101</f>
        <v>45.803678872229938</v>
      </c>
      <c r="W101" s="2">
        <v>0</v>
      </c>
      <c r="X101" s="3">
        <v>0</v>
      </c>
      <c r="Y101" s="1">
        <v>0.8</v>
      </c>
      <c r="Z101" s="3">
        <f t="shared" si="5"/>
        <v>0</v>
      </c>
      <c r="AA101" s="3" t="str">
        <f>IF(I101&lt;&gt;"",X101/INDEX('energy battery'!$B$3:$D$6,MATCH('vehicles specifications'!$D101,'energy battery'!$A$3:$A$6,0),MATCH('vehicles specifications'!$I101,'energy battery'!$B$2:$D$2,0)),"")</f>
        <v/>
      </c>
      <c r="AB101" s="3" t="str">
        <f t="shared" si="6"/>
        <v/>
      </c>
      <c r="AC101" s="3" t="str">
        <f t="shared" si="7"/>
        <v/>
      </c>
      <c r="AD101" s="3">
        <v>0</v>
      </c>
      <c r="AE101" s="3">
        <v>9</v>
      </c>
      <c r="AF101">
        <f>AE101*'fuels and tailpipe emissions'!$B$3</f>
        <v>6.75</v>
      </c>
      <c r="AG101" s="2">
        <f>AF101*'fuels and tailpipe emissions'!$C$3</f>
        <v>79.875</v>
      </c>
      <c r="AH101" s="3">
        <f>0.15*AF101</f>
        <v>1.0125</v>
      </c>
      <c r="AI101" s="3">
        <v>0</v>
      </c>
      <c r="AJ101" s="3">
        <v>0</v>
      </c>
      <c r="AK101">
        <f t="shared" si="67"/>
        <v>1</v>
      </c>
      <c r="AL101">
        <f t="shared" si="65"/>
        <v>1.131844013859687E-4</v>
      </c>
      <c r="AM101">
        <v>1.2899999999999999E-3</v>
      </c>
      <c r="AN101" s="2">
        <f t="shared" si="9"/>
        <v>68.705518308344921</v>
      </c>
      <c r="AO101" s="2">
        <f t="shared" si="10"/>
        <v>45.803678872229938</v>
      </c>
      <c r="AP101" s="2" t="str">
        <f t="shared" si="11"/>
        <v/>
      </c>
      <c r="AQ101" s="6">
        <v>1.0260802295042515</v>
      </c>
      <c r="AR101" s="20">
        <v>1.2E-2</v>
      </c>
      <c r="AS101" s="6" t="str">
        <f>IF($H101="BEV",SUMPRODUCT(#REF!,#REF!),"")</f>
        <v/>
      </c>
      <c r="AT101" s="2">
        <f t="shared" si="78"/>
        <v>280.24124403890835</v>
      </c>
      <c r="AU101" s="5">
        <f>IF($H101="ICEV-p",$AQ101/('fuels and tailpipe emissions'!$C$3*3.6)*'fuels and tailpipe emissions'!$D$3,"")*(1-AR101)</f>
        <v>7.4723690553888014E-2</v>
      </c>
      <c r="AV101" s="5">
        <f>IF($H101="ICEV-p",$AQ101/('fuels and tailpipe emissions'!$C$3*3.6)*'fuels and tailpipe emissions'!$D$3,"")*AR101</f>
        <v>9.0757518891361954E-4</v>
      </c>
      <c r="AW101" s="7">
        <f>IF($H101="ICEV-p",$AQ101/('fuels and tailpipe emissions'!$C$3*3.6)*'fuels and tailpipe emissions'!$E$3,"")</f>
        <v>3.8538224582319301E-7</v>
      </c>
      <c r="AX101" s="7">
        <f>SUMIFS('fuels and tailpipe emissions'!$F$10:$F$126,'fuels and tailpipe emissions'!$A$10:$A$126,'vehicles specifications'!$F101,'fuels and tailpipe emissions'!$B$10:$B$126,'vehicles specifications'!AX$2)/1000*$AQ101</f>
        <v>3.6529704169004323E-6</v>
      </c>
      <c r="AY101" s="7">
        <f>SUMIFS('fuels and tailpipe emissions'!$F$10:$F$126,'fuels and tailpipe emissions'!$A$10:$A$126,'vehicles specifications'!$F101,'fuels and tailpipe emissions'!$B$10:$B$126,'vehicles specifications'!AY$2)/1000*$AQ101</f>
        <v>5.0143885394914575E-5</v>
      </c>
      <c r="AZ101" s="7">
        <f>SUMIFS('fuels and tailpipe emissions'!$F$10:$F$126,'fuels and tailpipe emissions'!$A$10:$A$126,'vehicles specifications'!$F101,'fuels and tailpipe emissions'!$B$10:$B$126,'vehicles specifications'!AZ$2)/1000*$AQ101</f>
        <v>7.0250030559411121E-4</v>
      </c>
      <c r="BA101" s="7">
        <f>SUMIFS('fuels and tailpipe emissions'!$F$10:$F$126,'fuels and tailpipe emissions'!$A$10:$A$126,'vehicles specifications'!$F101,'fuels and tailpipe emissions'!$B$10:$B$126,'vehicles specifications'!BA$2)/1000*$AQ101</f>
        <v>1.7908530498183775E-6</v>
      </c>
      <c r="BB101" s="7">
        <f>SUMIFS('fuels and tailpipe emissions'!$F$10:$F$126,'fuels and tailpipe emissions'!$A$10:$A$126,'vehicles specifications'!$F101,'fuels and tailpipe emissions'!$B$10:$B$126,'vehicles specifications'!BB$2)/1000*$AQ101</f>
        <v>1.7908530498183775E-6</v>
      </c>
      <c r="BC101" s="7">
        <f>SUMIFS('fuels and tailpipe emissions'!$F$10:$F$126,'fuels and tailpipe emissions'!$A$10:$A$126,'vehicles specifications'!$F101,'fuels and tailpipe emissions'!$B$10:$B$126,'vehicles specifications'!BC$2)/1000*$AQ101</f>
        <v>9.5536088059378408E-5</v>
      </c>
      <c r="BD101" s="7">
        <f>SUMIFS('fuels and tailpipe emissions'!$F$10:$F$126,'fuels and tailpipe emissions'!$A$10:$A$126,'vehicles specifications'!$F101,'fuels and tailpipe emissions'!$B$10:$B$126,'vehicles specifications'!BD$2)/1000*$AQ101</f>
        <v>4.4771326245459437E-6</v>
      </c>
      <c r="BE101" s="7">
        <f>SUMIFS('fuels and tailpipe emissions'!$F$10:$F$126,'fuels and tailpipe emissions'!$A$10:$A$126,'vehicles specifications'!$F101,'fuels and tailpipe emissions'!$B$10:$B$126,'vehicles specifications'!BE$2)/1000*$AQ101</f>
        <v>2.9458178549122205E-5</v>
      </c>
      <c r="BF101" s="7">
        <f>SUMIFS('fuels and tailpipe emissions'!$F$10:$F$126,'fuels and tailpipe emissions'!$A$10:$A$126,'vehicles specifications'!$F101,'fuels and tailpipe emissions'!$B$10:$B$126,'vehicles specifications'!BF$2)/1000*$AQ101</f>
        <v>2.077179256668873E-6</v>
      </c>
      <c r="BG101" s="7">
        <f>SUMIFS('fuels and tailpipe emissions'!$F$10:$F$126,'fuels and tailpipe emissions'!$A$10:$A$126,'vehicles specifications'!$F101,'fuels and tailpipe emissions'!$B$10:$B$126,'vehicles specifications'!BG$2)/1000*$AQ101</f>
        <v>4.232496917977328E-7</v>
      </c>
      <c r="BH101" s="7">
        <f>SUMIFS('fuels and tailpipe emissions'!$F$10:$F$126,'fuels and tailpipe emissions'!$A$10:$A$126,'vehicles specifications'!$F101,'fuels and tailpipe emissions'!$B$10:$B$126,'vehicles specifications'!BH$2)/1000*$AQ101</f>
        <v>3.4120436692617235E-6</v>
      </c>
      <c r="BI101" s="7">
        <f>SUMIFS('fuels and tailpipe emissions'!$F$10:$F$126,'fuels and tailpipe emissions'!$A$10:$A$126,'vehicles specifications'!$F101,'fuels and tailpipe emissions'!$B$10:$B$126,'vehicles specifications'!BI$2)/1000*$AQ101</f>
        <v>1.3999797497925008E-6</v>
      </c>
      <c r="BJ101" s="7">
        <f>SUMIFS('fuels and tailpipe emissions'!$F$10:$F$126,'fuels and tailpipe emissions'!$A$10:$A$126,'vehicles specifications'!$F101,'fuels and tailpipe emissions'!$B$10:$B$126,'vehicles specifications'!BJ$2)/1000*$AQ101</f>
        <v>1.0483569289143844E-6</v>
      </c>
      <c r="BK101" s="7">
        <f>SUMIFS('fuels and tailpipe emissions'!$F$10:$F$126,'fuels and tailpipe emissions'!$A$10:$A$126,'vehicles specifications'!$F101,'fuels and tailpipe emissions'!$B$10:$B$126,'vehicles specifications'!BK$2)/1000*$AQ101</f>
        <v>7.4231484407602367E-7</v>
      </c>
      <c r="BL101" s="7">
        <f>SUMIFS('fuels and tailpipe emissions'!$F$10:$F$126,'fuels and tailpipe emissions'!$A$10:$A$126,'vehicles specifications'!$F101,'fuels and tailpipe emissions'!$B$10:$B$126,'vehicles specifications'!BL$2)/1000*$AQ101</f>
        <v>4.8185349527741892E-7</v>
      </c>
      <c r="BM101" s="7">
        <f>SUMIFS('fuels and tailpipe emissions'!$F$10:$F$126,'fuels and tailpipe emissions'!$A$10:$A$126,'vehicles specifications'!$F101,'fuels and tailpipe emissions'!$B$10:$B$126,'vehicles specifications'!BM$2)/1000*$AQ101</f>
        <v>4.7534196155745371E-6</v>
      </c>
      <c r="BN101" s="7">
        <f>SUMIFS('fuels and tailpipe emissions'!$F$10:$F$126,'fuels and tailpipe emissions'!$A$10:$A$126,'vehicles specifications'!$F101,'fuels and tailpipe emissions'!$B$10:$B$126,'vehicles specifications'!BN$2)/1000*$AQ101</f>
        <v>2.4874058810266758E-6</v>
      </c>
      <c r="BO101" s="7">
        <f>SUMIFS('fuels and tailpipe emissions'!$F$10:$F$126,'fuels and tailpipe emissions'!$A$10:$A$126,'vehicles specifications'!$F101,'fuels and tailpipe emissions'!$B$10:$B$126,'vehicles specifications'!BO$2)/1000*$AQ101</f>
        <v>7.162687091961634E-8</v>
      </c>
      <c r="BP101" s="7">
        <f>SUMIFS('fuels and tailpipe emissions'!$F$10:$F$126,'fuels and tailpipe emissions'!$A$10:$A$126,'vehicles specifications'!$F101,'fuels and tailpipe emissions'!$B$10:$B$126,'vehicles specifications'!BP$2)/1000*$AQ101</f>
        <v>3.6529704169004323E-6</v>
      </c>
      <c r="BQ101" s="7">
        <f>SUMIFS('fuels and tailpipe emissions'!$F$10:$F$126,'fuels and tailpipe emissions'!$A$10:$A$126,'vehicles specifications'!$F101,'fuels and tailpipe emissions'!$B$10:$B$126,'vehicles specifications'!BQ$2)/1000*$AQ101</f>
        <v>7.1496640245217014E-6</v>
      </c>
      <c r="BR101" s="7">
        <f>SUMIFS('fuels and tailpipe emissions'!$F$10:$F$126,'fuels and tailpipe emissions'!$A$10:$A$126,'vehicles specifications'!$F101,'fuels and tailpipe emissions'!$B$10:$B$126,'vehicles specifications'!BR$2)/1000*$AQ101</f>
        <v>3.5357628099410601E-6</v>
      </c>
      <c r="BS101" s="7">
        <f>SUMIFS('fuels and tailpipe emissions'!$F$10:$F$126,'fuels and tailpipe emissions'!$A$10:$A$126,'vehicles specifications'!$F101,'fuels and tailpipe emissions'!$B$10:$B$126,'vehicles specifications'!BS$2)/1000*$AQ101</f>
        <v>1.471606620712117E-6</v>
      </c>
      <c r="BT101" s="7">
        <f>SUMIFS('fuels and tailpipe emissions'!$F$10:$F$126,'fuels and tailpipe emissions'!$A$10:$A$126,'vehicles specifications'!$F101,'fuels and tailpipe emissions'!$B$10:$B$126,'vehicles specifications'!BT$2)/1000*$AQ101</f>
        <v>1.1069607323940704E-6</v>
      </c>
      <c r="BU101" s="7">
        <f>SUMIFS('fuels and tailpipe emissions'!$F$10:$F$126,'fuels and tailpipe emissions'!$A$10:$A$126,'vehicles specifications'!$F101,'fuels and tailpipe emissions'!$B$10:$B$126,'vehicles specifications'!BU$2)/1000*$AQ101</f>
        <v>4.8836502899738398E-7</v>
      </c>
      <c r="BV101" s="7">
        <f>SUMIFS('fuels and tailpipe emissions'!$F$10:$F$126,'fuels and tailpipe emissions'!$A$10:$A$126,'vehicles specifications'!$F101,'fuels and tailpipe emissions'!$B$10:$B$126,'vehicles specifications'!BV$2)/1000*$AQ101</f>
        <v>1.4325374183923268E-7</v>
      </c>
      <c r="BW101" s="7">
        <f>SUMIFS('fuels and tailpipe emissions'!$F$10:$F$126,'fuels and tailpipe emissions'!$A$10:$A$126,'vehicles specifications'!$F101,'fuels and tailpipe emissions'!$B$10:$B$126,'vehicles specifications'!BW$2)/1000*$AQ101</f>
        <v>3.972035569178724E-7</v>
      </c>
      <c r="BX101" s="7">
        <f>SUMIFS('fuels and tailpipe emissions'!$F$10:$F$126,'fuels and tailpipe emissions'!$A$10:$A$126,'vehicles specifications'!$F101,'fuels and tailpipe emissions'!$B$10:$B$126,'vehicles specifications'!BX$2)/1000*$AQ101</f>
        <v>3.25576685998256E-8</v>
      </c>
      <c r="BY101" s="7">
        <f>SUMIFS('fuels and tailpipe emissions'!$F$10:$F$126,'fuels and tailpipe emissions'!$A$10:$A$126,'vehicles specifications'!$F101,'fuels and tailpipe emissions'!$B$10:$B$126,'vehicles specifications'!BY$2)/1000*$AQ101</f>
        <v>1.2371914067933729E-7</v>
      </c>
      <c r="BZ101" s="7">
        <f>SUMIFS('fuels and tailpipe emissions'!$F$10:$F$126,'fuels and tailpipe emissions'!$A$10:$A$126,'vehicles specifications'!$F101,'fuels and tailpipe emissions'!$B$10:$B$126,'vehicles specifications'!BZ$2)/1000*$AQ101</f>
        <v>6.5766490571647714E-7</v>
      </c>
      <c r="CA101" s="7">
        <f>SUMIFS('fuels and tailpipe emissions'!$F$10:$F$126,'fuels and tailpipe emissions'!$A$10:$A$126,'vehicles specifications'!$F101,'fuels and tailpipe emissions'!$B$10:$B$126,'vehicles specifications'!CA$2)/1000*$AQ101</f>
        <v>8.4017863498230475E-10</v>
      </c>
      <c r="CB101" s="7">
        <f>SUMIFS('fuels and tailpipe emissions'!$F$10:$F$126,'fuels and tailpipe emissions'!$A$10:$A$126,'vehicles specifications'!$F101,'fuels and tailpipe emissions'!$B$10:$B$126,'vehicles specifications'!CB$2)/1000*$AQ101</f>
        <v>7.2429192670888341E-12</v>
      </c>
      <c r="CC101" s="7">
        <f>SUMIFS('fuels and tailpipe emissions'!$F$10:$F$126,'fuels and tailpipe emissions'!$A$10:$A$126,'vehicles specifications'!$F101,'fuels and tailpipe emissions'!$B$10:$B$126,'vehicles specifications'!CC$2)/1000*$AQ101</f>
        <v>4.8286128447258891E-12</v>
      </c>
      <c r="CD101" s="7">
        <f>SUMIFS('fuels and tailpipe emissions'!$F$10:$F$126,'fuels and tailpipe emissions'!$A$10:$A$126,'vehicles specifications'!$F101,'fuels and tailpipe emissions'!$B$10:$B$126,'vehicles specifications'!CD$2)/1000*$AQ101</f>
        <v>5.2149018723039611E-8</v>
      </c>
      <c r="CE101" s="7">
        <f>SUMIFS('fuels and tailpipe emissions'!$F$10:$F$126,'fuels and tailpipe emissions'!$A$10:$A$126,'vehicles specifications'!$F101,'fuels and tailpipe emissions'!$B$10:$B$126,'vehicles specifications'!CE$2)/1000*$AQ101</f>
        <v>1.0140086973924367E-9</v>
      </c>
      <c r="CF101" s="7">
        <f>SUMIFS('fuels and tailpipe emissions'!$F$10:$F$126,'fuels and tailpipe emissions'!$A$10:$A$126,'vehicles specifications'!$F101,'fuels and tailpipe emissions'!$B$10:$B$126,'vehicles specifications'!CF$2)/1000*$AQ101</f>
        <v>3.1385983490718282E-10</v>
      </c>
      <c r="CG101" s="7">
        <f>SUMIFS('fuels and tailpipe emissions'!$F$10:$F$126,'fuels and tailpipe emissions'!$A$10:$A$126,'vehicles specifications'!$F101,'fuels and tailpipe emissions'!$B$10:$B$126,'vehicles specifications'!CG$2)/1000*$AQ101</f>
        <v>3.862890275780712E-10</v>
      </c>
      <c r="CH101" s="7">
        <f>SUMIFS('fuels and tailpipe emissions'!$F$10:$F$126,'fuels and tailpipe emissions'!$A$10:$A$126,'vehicles specifications'!$F101,'fuels and tailpipe emissions'!$B$10:$B$126,'vehicles specifications'!CH$2)/1000*$AQ101</f>
        <v>7.7257805515614221E-13</v>
      </c>
      <c r="CI101" s="7">
        <f>SUMIFS('fuels and tailpipe emissions'!$F$10:$F$126,'fuels and tailpipe emissions'!$A$10:$A$126,'vehicles specifications'!$F101,'fuels and tailpipe emissions'!$B$10:$B$126,'vehicles specifications'!CI$2)/1000*$AQ101</f>
        <v>2.1004465874557619E-10</v>
      </c>
      <c r="CJ101" s="7">
        <f>SUMIFS('fuels and tailpipe emissions'!$F$10:$F$126,'fuels and tailpipe emissions'!$A$10:$A$126,'vehicles specifications'!$F101,'fuels and tailpipe emissions'!$B$10:$B$126,'vehicles specifications'!CJ$2)/1000*$AQ101</f>
        <v>2.6074509361519809E-10</v>
      </c>
      <c r="CK101" s="38">
        <f>VLOOKUP($B101,'abrasion emissions'!$O$7:$R$36,2,FALSE)</f>
        <v>0.5</v>
      </c>
      <c r="CL101" s="38">
        <f>VLOOKUP($B101,'abrasion emissions'!$O$7:$R$36,3,FALSE)</f>
        <v>0.5</v>
      </c>
      <c r="CM101" s="38">
        <f>VLOOKUP($B101,'abrasion emissions'!$O$7:$R$36,4,FALSE)</f>
        <v>0</v>
      </c>
      <c r="CN101" s="7">
        <f>((SUMIFS('abrasion emissions'!$M$7:$M$34,'abrasion emissions'!$I$7:$I$34,"PM 2.5",'abrasion emissions'!$J$7:$J$34,"urban",'abrasion emissions'!$K$7:$K$34,"Tyre",'abrasion emissions'!$L$7:$L$34,"b")*POWER(('vehicles specifications'!$Q101/1000),(1/SUMIFS('abrasion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specifications'!$P101/1000),(1/SUMIFS('abrasion emissions'!$M$7:$M$34,'abrasion emissions'!$I$7:$I$34,"PM 10",'abrasion emissions'!$J$7:$J$34,"urban",'abrasion emissions'!$K$7:$K$34,"Tyre",'abrasion emissions'!$L$7:$L$34,"c")))))/1000000</f>
        <v>6.4929773186288809E-6</v>
      </c>
      <c r="CO101" s="7">
        <f>((SUMIFS('abrasion emissions'!$M$7:$M$34,'abrasion emissions'!$I$7:$I$34,"PM 2.5",'abrasion emissions'!$J$7:$J$34,"rural",'abrasion emissions'!$K$7:$K$34,"Tyre",'abrasion emissions'!$L$7:$L$34,"b")*POWER(('vehicles specifications'!$Q101/1000),(1/SUMIFS('abrasion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specifications'!$P101/1000),(1/SUMIFS('abrasion emissions'!$M$7:$M$34,'abrasion emissions'!$I$7:$I$34,"PM 10",'abrasion emissions'!$J$7:$J$34,"rural",'abrasion emissions'!$K$7:$K$34,"Tyre",'abrasion emissions'!$L$7:$L$34,"c")))))/1000000</f>
        <v>5.056930066723435E-6</v>
      </c>
      <c r="CP101" s="7">
        <f>((SUMIFS('abrasion emissions'!$M$7:$M$34,'abrasion emissions'!$I$7:$I$34,"PM 2.5",'abrasion emissions'!$J$7:$J$34,"motorway",'abrasion emissions'!$K$7:$K$34,"Tyre",'abrasion emissions'!$L$7:$L$34,"b")*POWER(('vehicles specifications'!$Q101/1000),(1/SUMIFS('abrasion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specifications'!$P101/1000),(1/SUMIFS('abrasion emissions'!$M$7:$M$34,'abrasion emissions'!$I$7:$I$34,"PM 10",'abrasion emissions'!$J$7:$J$34,"motorway",'abrasion emissions'!$K$7:$K$34,"Tyre",'abrasion emissions'!$L$7:$L$34,"c")))))/1000000</f>
        <v>4.3188545562041961E-6</v>
      </c>
      <c r="CQ101" s="7">
        <f>((SUMIFS('abrasion emissions'!$M$7:$M$34,'abrasion emissions'!$I$7:$I$34,"PM 2.5",'abrasion emissions'!$J$7:$J$34,"urban",'abrasion emissions'!$K$7:$K$34,"Brake",'abrasion emissions'!$L$7:$L$34,"b")*POWER(('vehicles specifications'!$Q101/1000),(1/SUMIFS('abrasion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specifications'!$P101/1000),(1/SUMIFS('abrasion emissions'!$M$7:$M$34,'abrasion emissions'!$I$7:$I$34,"PM 10",'abrasion emissions'!$J$7:$J$34,"urban",'abrasion emissions'!$K$7:$K$34,"Brake",'abrasion emissions'!$L$7:$L$34,"c")))))/1000000</f>
        <v>6.23696553044657E-6</v>
      </c>
      <c r="CR101" s="7">
        <f>((SUMIFS('abrasion emissions'!$M$7:$M$34,'abrasion emissions'!$I$7:$I$34,"PM 2.5",'abrasion emissions'!$J$7:$J$34,"rural",'abrasion emissions'!$K$7:$K$34,"Brake",'abrasion emissions'!$L$7:$L$34,"b")*POWER(('vehicles specifications'!$Q101/1000),(1/SUMIFS('abrasion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specifications'!$P101/1000),(1/SUMIFS('abrasion emissions'!$M$7:$M$34,'abrasion emissions'!$I$7:$I$34,"PM 10",'abrasion emissions'!$J$7:$J$34,"rural",'abrasion emissions'!$K$7:$K$34,"Brake",'abrasion emissions'!$L$7:$L$34,"c")))))/1000000</f>
        <v>2.0371798949652502E-6</v>
      </c>
      <c r="CS101" s="7">
        <f>((SUMIFS('abrasion emissions'!$M$7:$M$34,'abrasion emissions'!$I$7:$I$34,"PM 2.5",'abrasion emissions'!$J$7:$J$34,"motorway",'abrasion emissions'!$K$7:$K$34,"Brake",'abrasion emissions'!$L$7:$L$34,"b")*POWER(('vehicles specifications'!$Q101/1000),(1/SUMIFS('abrasion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specifications'!$P101/1000),(1/SUMIFS('abrasion emissions'!$M$7:$M$34,'abrasion emissions'!$I$7:$I$34,"PM 10",'abrasion emissions'!$J$7:$J$34,"motorway",'abrasion emissions'!$K$7:$K$34,"Brake",'abrasion emissions'!$L$7:$L$34,"c")))))/1000000</f>
        <v>3.8132816036809112E-7</v>
      </c>
      <c r="CT101" s="7">
        <f>((SUMIFS('abrasion emissions'!$M$7:$M$38,'abrasion emissions'!$I$7:$I$38,"PM 2.5",'abrasion emissions'!$K$7:$K$38,"Re-susp.",'abrasion emissions'!$L$7:$L$38,"b")*POWER(('vehicles specifications'!$Q101/1000),(1/SUMIFS('abrasion emissions'!$M$7:$M$38,'abrasion emissions'!$I$7:$I$38,"PM 2.5",'abrasion emissions'!$K$7:$K$38,"Re-susp.",'abrasion emissions'!$L$7:$L$38,"c"))))+
(SUMIFS('abrasion emissions'!$M$7:$M$38,'abrasion emissions'!$I$7:$I$38,"PM 10",'abrasion emissions'!$K$7:$K$38,"Re-susp.",'abrasion emissions'!$L$7:$L$38,"b")*POWER(('vehicles specifications'!$Q101/1000),(1/SUMIFS('abrasion emissions'!$M$7:$M$38,'abrasion emissions'!$I$7:$I$38,"PM 10",'abrasion emissions'!$K$7:$K$38,"Re-susp.",'abrasion emissions'!$L$7:$L$38,"c")))))/1000000</f>
        <v>3.9822429344916161E-6</v>
      </c>
      <c r="CU101" s="7">
        <f>((SUMIFS('abrasion emissions'!$M$7:$M$38,'abrasion emissions'!$I$7:$I$38,"PM 2.5",'abrasion emissions'!$K$7:$K$38,"Road",'abrasion emissions'!$L$7:$L$38,"b")*POWER(('vehicles specifications'!$Q101/1000),(1/SUMIFS('abrasion emissions'!$M$7:$M$38,'abrasion emissions'!$I$7:$I$38,"PM 2.5",'abrasion emissions'!$K$7:$K$38,"Road",'abrasion emissions'!$L$7:$L$38,"c"))))+
(SUMIFS('abrasion emissions'!$M$7:$M$38,'abrasion emissions'!$I$7:$I$38,"PM 10",'abrasion emissions'!$K$7:$K$38,"Road",'abrasion emissions'!$L$7:$L$38,"b")*POWER(('vehicles specifications'!$Q101/1000),(1/SUMIFS('abrasion emissions'!$M$7:$M$38,'abrasion emissions'!$I$7:$I$38,"PM 10",'abrasion emissions'!$K$7:$K$38,"Road",'abrasion emissions'!$L$7:$L$38,"c")))))/1000000+CT101</f>
        <v>7.5947471854411634E-6</v>
      </c>
      <c r="CV101" s="7">
        <f t="shared" si="79"/>
        <v>5.7749536926761575E-6</v>
      </c>
      <c r="CW101" s="7">
        <f t="shared" si="80"/>
        <v>4.1370727127059103E-6</v>
      </c>
    </row>
    <row r="102" spans="1:101" x14ac:dyDescent="0.2">
      <c r="A102" t="str">
        <f t="shared" si="1"/>
        <v>Motorbike, gasoline, 4-11kW, EURO-4 - 2016 - CH</v>
      </c>
      <c r="B102" t="s">
        <v>414</v>
      </c>
      <c r="D102" s="18">
        <v>2016</v>
      </c>
      <c r="E102" t="s">
        <v>37</v>
      </c>
      <c r="F102" t="s">
        <v>140</v>
      </c>
      <c r="G102" t="s">
        <v>39</v>
      </c>
      <c r="H102" t="s">
        <v>35</v>
      </c>
      <c r="J102">
        <v>25000</v>
      </c>
      <c r="K102">
        <v>1776</v>
      </c>
      <c r="L102" s="2">
        <f t="shared" si="2"/>
        <v>14.076576576576576</v>
      </c>
      <c r="M102">
        <v>1.1000000000000001</v>
      </c>
      <c r="N102">
        <v>75</v>
      </c>
      <c r="O102">
        <v>6</v>
      </c>
      <c r="P102" s="2">
        <f t="shared" si="64"/>
        <v>120.308682371765</v>
      </c>
      <c r="Q102" s="2">
        <f t="shared" si="3"/>
        <v>208.808682371765</v>
      </c>
      <c r="R102">
        <v>9</v>
      </c>
      <c r="S102" s="2">
        <v>65.433826960328489</v>
      </c>
      <c r="T102" s="1">
        <v>-0.02</v>
      </c>
      <c r="U102" s="2">
        <f t="shared" ref="U102:U150" si="105">S102*(1-T102)</f>
        <v>66.742503499535061</v>
      </c>
      <c r="V102" s="2">
        <f>0.7*S102</f>
        <v>45.803678872229938</v>
      </c>
      <c r="W102" s="2">
        <v>0</v>
      </c>
      <c r="X102" s="3">
        <v>0</v>
      </c>
      <c r="Y102" s="1">
        <v>0.8</v>
      </c>
      <c r="Z102" s="3">
        <f t="shared" si="5"/>
        <v>0</v>
      </c>
      <c r="AA102" s="3" t="str">
        <f>IF(I102&lt;&gt;"",X102/INDEX('energy battery'!$B$3:$D$6,MATCH('vehicles specifications'!$D102,'energy battery'!$A$3:$A$6,0),MATCH('vehicles specifications'!$I102,'energy battery'!$B$2:$D$2,0)),"")</f>
        <v/>
      </c>
      <c r="AB102" s="3" t="str">
        <f t="shared" si="6"/>
        <v/>
      </c>
      <c r="AC102" s="3" t="str">
        <f t="shared" si="7"/>
        <v/>
      </c>
      <c r="AD102" s="3">
        <v>0</v>
      </c>
      <c r="AE102" s="3">
        <v>9</v>
      </c>
      <c r="AF102">
        <f>AE102*'fuels and tailpipe emissions'!$B$3</f>
        <v>6.75</v>
      </c>
      <c r="AG102" s="2">
        <f>AF102*'fuels and tailpipe emissions'!$C$3</f>
        <v>79.875</v>
      </c>
      <c r="AH102" s="3">
        <f t="shared" ref="AH102:AH118" si="106">0.15*AF102</f>
        <v>1.0125</v>
      </c>
      <c r="AI102" s="3">
        <v>0</v>
      </c>
      <c r="AJ102" s="3">
        <v>0</v>
      </c>
      <c r="AK102">
        <f t="shared" si="67"/>
        <v>1</v>
      </c>
      <c r="AL102">
        <f t="shared" si="65"/>
        <v>1.1213026243363781E-4</v>
      </c>
      <c r="AM102">
        <v>1.2899999999999999E-3</v>
      </c>
      <c r="AN102" s="2">
        <f t="shared" si="9"/>
        <v>66.742503499535061</v>
      </c>
      <c r="AO102" s="2">
        <f t="shared" si="10"/>
        <v>45.803678872229938</v>
      </c>
      <c r="AP102" s="2" t="str">
        <f t="shared" si="11"/>
        <v/>
      </c>
      <c r="AQ102" s="6">
        <v>1.0159210193111401</v>
      </c>
      <c r="AR102" s="20">
        <v>1.2E-2</v>
      </c>
      <c r="AS102" s="6" t="str">
        <f>IF($H102="BEV",SUMPRODUCT(#REF!,#REF!),"")</f>
        <v/>
      </c>
      <c r="AT102" s="2">
        <f t="shared" si="78"/>
        <v>283.0436564792974</v>
      </c>
      <c r="AU102" s="5">
        <f>IF($H102="ICEV-p",$AQ102/('fuels and tailpipe emissions'!$C$3*3.6)*'fuels and tailpipe emissions'!$D$3,"")*(1-AR102)</f>
        <v>7.3983852033552483E-2</v>
      </c>
      <c r="AV102" s="5">
        <f>IF($H102="ICEV-p",$AQ102/('fuels and tailpipe emissions'!$C$3*3.6)*'fuels and tailpipe emissions'!$D$3,"")*AR102</f>
        <v>8.9858929595407883E-4</v>
      </c>
      <c r="AW102" s="7">
        <f>IF($H102="ICEV-p",$AQ102/('fuels and tailpipe emissions'!$C$3*3.6)*'fuels and tailpipe emissions'!$E$3,"")</f>
        <v>3.8156658002296336E-7</v>
      </c>
      <c r="AX102" s="7">
        <f>SUMIFS('fuels and tailpipe emissions'!$F$10:$F$126,'fuels and tailpipe emissions'!$A$10:$A$126,'vehicles specifications'!$F102,'fuels and tailpipe emissions'!$B$10:$B$126,'vehicles specifications'!AX$2)/1000*$AQ102</f>
        <v>5.1657452836225586E-6</v>
      </c>
      <c r="AY102" s="7">
        <f>SUMIFS('fuels and tailpipe emissions'!$F$10:$F$126,'fuels and tailpipe emissions'!$A$10:$A$126,'vehicles specifications'!$F102,'fuels and tailpipe emissions'!$B$10:$B$126,'vehicles specifications'!AY$2)/1000*$AQ102</f>
        <v>5.6307019006388424E-5</v>
      </c>
      <c r="AZ102" s="7">
        <f>SUMIFS('fuels and tailpipe emissions'!$F$10:$F$126,'fuels and tailpipe emissions'!$A$10:$A$126,'vehicles specifications'!$F102,'fuels and tailpipe emissions'!$B$10:$B$126,'vehicles specifications'!AZ$2)/1000*$AQ102</f>
        <v>8.2177593124772407E-4</v>
      </c>
      <c r="BA102" s="7">
        <f>SUMIFS('fuels and tailpipe emissions'!$F$10:$F$126,'fuels and tailpipe emissions'!$A$10:$A$126,'vehicles specifications'!$F102,'fuels and tailpipe emissions'!$B$10:$B$126,'vehicles specifications'!BA$2)/1000*$AQ102</f>
        <v>2.0109649645138723E-6</v>
      </c>
      <c r="BB102" s="7">
        <f>SUMIFS('fuels and tailpipe emissions'!$F$10:$F$126,'fuels and tailpipe emissions'!$A$10:$A$126,'vehicles specifications'!$F102,'fuels and tailpipe emissions'!$B$10:$B$126,'vehicles specifications'!BB$2)/1000*$AQ102</f>
        <v>2.0109649645138723E-6</v>
      </c>
      <c r="BC102" s="7">
        <f>SUMIFS('fuels and tailpipe emissions'!$F$10:$F$126,'fuels and tailpipe emissions'!$A$10:$A$126,'vehicles specifications'!$F102,'fuels and tailpipe emissions'!$B$10:$B$126,'vehicles specifications'!BC$2)/1000*$AQ102</f>
        <v>2.7297678240826657E-5</v>
      </c>
      <c r="BD102" s="7">
        <f>SUMIFS('fuels and tailpipe emissions'!$F$10:$F$126,'fuels and tailpipe emissions'!$A$10:$A$126,'vehicles specifications'!$F102,'fuels and tailpipe emissions'!$B$10:$B$126,'vehicles specifications'!BD$2)/1000*$AQ102</f>
        <v>5.0274124112846799E-6</v>
      </c>
      <c r="BE102" s="7">
        <f>SUMIFS('fuels and tailpipe emissions'!$F$10:$F$126,'fuels and tailpipe emissions'!$A$10:$A$126,'vehicles specifications'!$F102,'fuels and tailpipe emissions'!$B$10:$B$126,'vehicles specifications'!BE$2)/1000*$AQ102</f>
        <v>4.1657453944934862E-5</v>
      </c>
      <c r="BF102" s="7">
        <f>SUMIFS('fuels and tailpipe emissions'!$F$10:$F$126,'fuels and tailpipe emissions'!$A$10:$A$126,'vehicles specifications'!$F102,'fuels and tailpipe emissions'!$B$10:$B$126,'vehicles specifications'!BF$2)/1000*$AQ102</f>
        <v>2.9373845730402788E-6</v>
      </c>
      <c r="BG102" s="7">
        <f>SUMIFS('fuels and tailpipe emissions'!$F$10:$F$126,'fuels and tailpipe emissions'!$A$10:$A$126,'vehicles specifications'!$F102,'fuels and tailpipe emissions'!$B$10:$B$126,'vehicles specifications'!BG$2)/1000*$AQ102</f>
        <v>5.9852663713986867E-7</v>
      </c>
      <c r="BH102" s="7">
        <f>SUMIFS('fuels and tailpipe emissions'!$F$10:$F$126,'fuels and tailpipe emissions'!$A$10:$A$126,'vehicles specifications'!$F102,'fuels and tailpipe emissions'!$B$10:$B$126,'vehicles specifications'!BH$2)/1000*$AQ102</f>
        <v>4.8250455055583258E-6</v>
      </c>
      <c r="BI102" s="7">
        <f>SUMIFS('fuels and tailpipe emissions'!$F$10:$F$126,'fuels and tailpipe emissions'!$A$10:$A$126,'vehicles specifications'!$F102,'fuels and tailpipe emissions'!$B$10:$B$126,'vehicles specifications'!BI$2)/1000*$AQ102</f>
        <v>1.9797419536164887E-6</v>
      </c>
      <c r="BJ102" s="7">
        <f>SUMIFS('fuels and tailpipe emissions'!$F$10:$F$126,'fuels and tailpipe emissions'!$A$10:$A$126,'vehicles specifications'!$F102,'fuels and tailpipe emissions'!$B$10:$B$126,'vehicles specifications'!BJ$2)/1000*$AQ102</f>
        <v>1.4825044396849054E-6</v>
      </c>
      <c r="BK102" s="7">
        <f>SUMIFS('fuels and tailpipe emissions'!$F$10:$F$126,'fuels and tailpipe emissions'!$A$10:$A$126,'vehicles specifications'!$F102,'fuels and tailpipe emissions'!$B$10:$B$126,'vehicles specifications'!BK$2)/1000*$AQ102</f>
        <v>1.0497236405222313E-6</v>
      </c>
      <c r="BL102" s="7">
        <f>SUMIFS('fuels and tailpipe emissions'!$F$10:$F$126,'fuels and tailpipe emissions'!$A$10:$A$126,'vehicles specifications'!$F102,'fuels and tailpipe emissions'!$B$10:$B$126,'vehicles specifications'!BL$2)/1000*$AQ102</f>
        <v>6.8139955612846592E-7</v>
      </c>
      <c r="BM102" s="7">
        <f>SUMIFS('fuels and tailpipe emissions'!$F$10:$F$126,'fuels and tailpipe emissions'!$A$10:$A$126,'vehicles specifications'!$F102,'fuels and tailpipe emissions'!$B$10:$B$126,'vehicles specifications'!BM$2)/1000*$AQ102</f>
        <v>6.7219145401862166E-6</v>
      </c>
      <c r="BN102" s="7">
        <f>SUMIFS('fuels and tailpipe emissions'!$F$10:$F$126,'fuels and tailpipe emissions'!$A$10:$A$126,'vehicles specifications'!$F102,'fuels and tailpipe emissions'!$B$10:$B$126,'vehicles specifications'!BN$2)/1000*$AQ102</f>
        <v>3.5174950059604585E-6</v>
      </c>
      <c r="BO102" s="7">
        <f>SUMIFS('fuels and tailpipe emissions'!$F$10:$F$126,'fuels and tailpipe emissions'!$A$10:$A$126,'vehicles specifications'!$F102,'fuels and tailpipe emissions'!$B$10:$B$126,'vehicles specifications'!BO$2)/1000*$AQ102</f>
        <v>1.0128912320828547E-7</v>
      </c>
      <c r="BP102" s="7">
        <f>SUMIFS('fuels and tailpipe emissions'!$F$10:$F$126,'fuels and tailpipe emissions'!$A$10:$A$126,'vehicles specifications'!$F102,'fuels and tailpipe emissions'!$B$10:$B$126,'vehicles specifications'!BP$2)/1000*$AQ102</f>
        <v>5.1657452836225586E-6</v>
      </c>
      <c r="BQ102" s="7">
        <f>SUMIFS('fuels and tailpipe emissions'!$F$10:$F$126,'fuels and tailpipe emissions'!$A$10:$A$126,'vehicles specifications'!$F102,'fuels and tailpipe emissions'!$B$10:$B$126,'vehicles specifications'!BQ$2)/1000*$AQ102</f>
        <v>1.0110496116608857E-5</v>
      </c>
      <c r="BR102" s="7">
        <f>SUMIFS('fuels and tailpipe emissions'!$F$10:$F$126,'fuels and tailpipe emissions'!$A$10:$A$126,'vehicles specifications'!$F102,'fuels and tailpipe emissions'!$B$10:$B$126,'vehicles specifications'!BR$2)/1000*$AQ102</f>
        <v>4.9999994456453646E-6</v>
      </c>
      <c r="BS102" s="7">
        <f>SUMIFS('fuels and tailpipe emissions'!$F$10:$F$126,'fuels and tailpipe emissions'!$A$10:$A$126,'vehicles specifications'!$F102,'fuels and tailpipe emissions'!$B$10:$B$126,'vehicles specifications'!BS$2)/1000*$AQ102</f>
        <v>2.0810310768247739E-6</v>
      </c>
      <c r="BT102" s="7">
        <f>SUMIFS('fuels and tailpipe emissions'!$F$10:$F$126,'fuels and tailpipe emissions'!$A$10:$A$126,'vehicles specifications'!$F102,'fuels and tailpipe emissions'!$B$10:$B$126,'vehicles specifications'!BT$2)/1000*$AQ102</f>
        <v>1.5653773586735031E-6</v>
      </c>
      <c r="BU102" s="7">
        <f>SUMIFS('fuels and tailpipe emissions'!$F$10:$F$126,'fuels and tailpipe emissions'!$A$10:$A$126,'vehicles specifications'!$F102,'fuels and tailpipe emissions'!$B$10:$B$126,'vehicles specifications'!BU$2)/1000*$AQ102</f>
        <v>6.9060765823831001E-7</v>
      </c>
      <c r="BV102" s="7">
        <f>SUMIFS('fuels and tailpipe emissions'!$F$10:$F$126,'fuels and tailpipe emissions'!$A$10:$A$126,'vehicles specifications'!$F102,'fuels and tailpipe emissions'!$B$10:$B$126,'vehicles specifications'!BV$2)/1000*$AQ102</f>
        <v>2.0257824641657093E-7</v>
      </c>
      <c r="BW102" s="7">
        <f>SUMIFS('fuels and tailpipe emissions'!$F$10:$F$126,'fuels and tailpipe emissions'!$A$10:$A$126,'vehicles specifications'!$F102,'fuels and tailpipe emissions'!$B$10:$B$126,'vehicles specifications'!BW$2)/1000*$AQ102</f>
        <v>5.616942287004922E-7</v>
      </c>
      <c r="BX102" s="7">
        <f>SUMIFS('fuels and tailpipe emissions'!$F$10:$F$126,'fuels and tailpipe emissions'!$A$10:$A$126,'vehicles specifications'!$F102,'fuels and tailpipe emissions'!$B$10:$B$126,'vehicles specifications'!BX$2)/1000*$AQ102</f>
        <v>0</v>
      </c>
      <c r="BY102" s="7">
        <f>SUMIFS('fuels and tailpipe emissions'!$F$10:$F$126,'fuels and tailpipe emissions'!$A$10:$A$126,'vehicles specifications'!$F102,'fuels and tailpipe emissions'!$B$10:$B$126,'vehicles specifications'!BY$2)/1000*$AQ102</f>
        <v>1.7495394008703853E-7</v>
      </c>
      <c r="BZ102" s="7">
        <f>SUMIFS('fuels and tailpipe emissions'!$F$10:$F$126,'fuels and tailpipe emissions'!$A$10:$A$126,'vehicles specifications'!$F102,'fuels and tailpipe emissions'!$B$10:$B$126,'vehicles specifications'!BZ$2)/1000*$AQ102</f>
        <v>9.3001831309425754E-7</v>
      </c>
      <c r="CA102" s="7">
        <f>SUMIFS('fuels and tailpipe emissions'!$F$10:$F$126,'fuels and tailpipe emissions'!$A$10:$A$126,'vehicles specifications'!$F102,'fuels and tailpipe emissions'!$B$10:$B$126,'vehicles specifications'!CA$2)/1000*$AQ102</f>
        <v>8.3186003463594531E-10</v>
      </c>
      <c r="CB102" s="7">
        <f>SUMIFS('fuels and tailpipe emissions'!$F$10:$F$126,'fuels and tailpipe emissions'!$A$10:$A$126,'vehicles specifications'!$F102,'fuels and tailpipe emissions'!$B$10:$B$126,'vehicles specifications'!CB$2)/1000*$AQ102</f>
        <v>7.1712071951374601E-12</v>
      </c>
      <c r="CC102" s="7">
        <f>SUMIFS('fuels and tailpipe emissions'!$F$10:$F$126,'fuels and tailpipe emissions'!$A$10:$A$126,'vehicles specifications'!$F102,'fuels and tailpipe emissions'!$B$10:$B$126,'vehicles specifications'!CC$2)/1000*$AQ102</f>
        <v>4.7808047967583062E-12</v>
      </c>
      <c r="CD102" s="7">
        <f>SUMIFS('fuels and tailpipe emissions'!$F$10:$F$126,'fuels and tailpipe emissions'!$A$10:$A$126,'vehicles specifications'!$F102,'fuels and tailpipe emissions'!$B$10:$B$126,'vehicles specifications'!CD$2)/1000*$AQ102</f>
        <v>5.1632691804989713E-8</v>
      </c>
      <c r="CE102" s="7">
        <f>SUMIFS('fuels and tailpipe emissions'!$F$10:$F$126,'fuels and tailpipe emissions'!$A$10:$A$126,'vehicles specifications'!$F102,'fuels and tailpipe emissions'!$B$10:$B$126,'vehicles specifications'!CE$2)/1000*$AQ102</f>
        <v>1.0039690073192443E-9</v>
      </c>
      <c r="CF102" s="7">
        <f>SUMIFS('fuels and tailpipe emissions'!$F$10:$F$126,'fuels and tailpipe emissions'!$A$10:$A$126,'vehicles specifications'!$F102,'fuels and tailpipe emissions'!$B$10:$B$126,'vehicles specifications'!CF$2)/1000*$AQ102</f>
        <v>3.1075231178928993E-10</v>
      </c>
      <c r="CG102" s="7">
        <f>SUMIFS('fuels and tailpipe emissions'!$F$10:$F$126,'fuels and tailpipe emissions'!$A$10:$A$126,'vehicles specifications'!$F102,'fuels and tailpipe emissions'!$B$10:$B$126,'vehicles specifications'!CG$2)/1000*$AQ102</f>
        <v>3.8246438374066455E-10</v>
      </c>
      <c r="CH102" s="7">
        <f>SUMIFS('fuels and tailpipe emissions'!$F$10:$F$126,'fuels and tailpipe emissions'!$A$10:$A$126,'vehicles specifications'!$F102,'fuels and tailpipe emissions'!$B$10:$B$126,'vehicles specifications'!CH$2)/1000*$AQ102</f>
        <v>7.6492876748132895E-13</v>
      </c>
      <c r="CI102" s="7">
        <f>SUMIFS('fuels and tailpipe emissions'!$F$10:$F$126,'fuels and tailpipe emissions'!$A$10:$A$126,'vehicles specifications'!$F102,'fuels and tailpipe emissions'!$B$10:$B$126,'vehicles specifications'!CI$2)/1000*$AQ102</f>
        <v>2.0796500865898633E-10</v>
      </c>
      <c r="CJ102" s="7">
        <f>SUMIFS('fuels and tailpipe emissions'!$F$10:$F$126,'fuels and tailpipe emissions'!$A$10:$A$126,'vehicles specifications'!$F102,'fuels and tailpipe emissions'!$B$10:$B$126,'vehicles specifications'!CJ$2)/1000*$AQ102</f>
        <v>2.5816345902494862E-10</v>
      </c>
      <c r="CK102" s="38">
        <f>VLOOKUP($B102,'abrasion emissions'!$O$7:$R$36,2,FALSE)</f>
        <v>0.5</v>
      </c>
      <c r="CL102" s="38">
        <f>VLOOKUP($B102,'abrasion emissions'!$O$7:$R$36,3,FALSE)</f>
        <v>0.5</v>
      </c>
      <c r="CM102" s="38">
        <f>VLOOKUP($B102,'abrasion emissions'!$O$7:$R$36,4,FALSE)</f>
        <v>0</v>
      </c>
      <c r="CN102" s="7">
        <f>((SUMIFS('abrasion emissions'!$M$7:$M$34,'abrasion emissions'!$I$7:$I$34,"PM 2.5",'abrasion emissions'!$J$7:$J$34,"urban",'abrasion emissions'!$K$7:$K$34,"Tyre",'abrasion emissions'!$L$7:$L$34,"b")*POWER(('vehicles specifications'!$Q102/1000),(1/SUMIFS('abrasion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specifications'!$P102/1000),(1/SUMIFS('abrasion emissions'!$M$7:$M$34,'abrasion emissions'!$I$7:$I$34,"PM 10",'abrasion emissions'!$J$7:$J$34,"urban",'abrasion emissions'!$K$7:$K$34,"Tyre",'abrasion emissions'!$L$7:$L$34,"c")))))/1000000</f>
        <v>6.4597488512953998E-6</v>
      </c>
      <c r="CO102" s="7">
        <f>((SUMIFS('abrasion emissions'!$M$7:$M$34,'abrasion emissions'!$I$7:$I$34,"PM 2.5",'abrasion emissions'!$J$7:$J$34,"rural",'abrasion emissions'!$K$7:$K$34,"Tyre",'abrasion emissions'!$L$7:$L$34,"b")*POWER(('vehicles specifications'!$Q102/1000),(1/SUMIFS('abrasion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specifications'!$P102/1000),(1/SUMIFS('abrasion emissions'!$M$7:$M$34,'abrasion emissions'!$I$7:$I$34,"PM 10",'abrasion emissions'!$J$7:$J$34,"rural",'abrasion emissions'!$K$7:$K$34,"Tyre",'abrasion emissions'!$L$7:$L$34,"c")))))/1000000</f>
        <v>5.0310711009675511E-6</v>
      </c>
      <c r="CP102" s="7">
        <f>((SUMIFS('abrasion emissions'!$M$7:$M$34,'abrasion emissions'!$I$7:$I$34,"PM 2.5",'abrasion emissions'!$J$7:$J$34,"motorway",'abrasion emissions'!$K$7:$K$34,"Tyre",'abrasion emissions'!$L$7:$L$34,"b")*POWER(('vehicles specifications'!$Q102/1000),(1/SUMIFS('abrasion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specifications'!$P102/1000),(1/SUMIFS('abrasion emissions'!$M$7:$M$34,'abrasion emissions'!$I$7:$I$34,"PM 10",'abrasion emissions'!$J$7:$J$34,"motorway",'abrasion emissions'!$K$7:$K$34,"Tyre",'abrasion emissions'!$L$7:$L$34,"c")))))/1000000</f>
        <v>4.2968209484498459E-6</v>
      </c>
      <c r="CQ102" s="7">
        <f>((SUMIFS('abrasion emissions'!$M$7:$M$34,'abrasion emissions'!$I$7:$I$34,"PM 2.5",'abrasion emissions'!$J$7:$J$34,"urban",'abrasion emissions'!$K$7:$K$34,"Brake",'abrasion emissions'!$L$7:$L$34,"b")*POWER(('vehicles specifications'!$Q102/1000),(1/SUMIFS('abrasion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specifications'!$P102/1000),(1/SUMIFS('abrasion emissions'!$M$7:$M$34,'abrasion emissions'!$I$7:$I$34,"PM 10",'abrasion emissions'!$J$7:$J$34,"urban",'abrasion emissions'!$K$7:$K$34,"Brake",'abrasion emissions'!$L$7:$L$34,"c")))))/1000000</f>
        <v>6.2013651123062881E-6</v>
      </c>
      <c r="CR102" s="7">
        <f>((SUMIFS('abrasion emissions'!$M$7:$M$34,'abrasion emissions'!$I$7:$I$34,"PM 2.5",'abrasion emissions'!$J$7:$J$34,"rural",'abrasion emissions'!$K$7:$K$34,"Brake",'abrasion emissions'!$L$7:$L$34,"b")*POWER(('vehicles specifications'!$Q102/1000),(1/SUMIFS('abrasion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specifications'!$P102/1000),(1/SUMIFS('abrasion emissions'!$M$7:$M$34,'abrasion emissions'!$I$7:$I$34,"PM 10",'abrasion emissions'!$J$7:$J$34,"rural",'abrasion emissions'!$K$7:$K$34,"Brake",'abrasion emissions'!$L$7:$L$34,"c")))))/1000000</f>
        <v>2.0225100925216942E-6</v>
      </c>
      <c r="CS102" s="7">
        <f>((SUMIFS('abrasion emissions'!$M$7:$M$34,'abrasion emissions'!$I$7:$I$34,"PM 2.5",'abrasion emissions'!$J$7:$J$34,"motorway",'abrasion emissions'!$K$7:$K$34,"Brake",'abrasion emissions'!$L$7:$L$34,"b")*POWER(('vehicles specifications'!$Q102/1000),(1/SUMIFS('abrasion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specifications'!$P102/1000),(1/SUMIFS('abrasion emissions'!$M$7:$M$34,'abrasion emissions'!$I$7:$I$34,"PM 10",'abrasion emissions'!$J$7:$J$34,"motorway",'abrasion emissions'!$K$7:$K$34,"Brake",'abrasion emissions'!$L$7:$L$34,"c")))))/1000000</f>
        <v>3.781801885900582E-7</v>
      </c>
      <c r="CT102" s="7">
        <f>((SUMIFS('abrasion emissions'!$M$7:$M$38,'abrasion emissions'!$I$7:$I$38,"PM 2.5",'abrasion emissions'!$K$7:$K$38,"Re-susp.",'abrasion emissions'!$L$7:$L$38,"b")*POWER(('vehicles specifications'!$Q102/1000),(1/SUMIFS('abrasion emissions'!$M$7:$M$38,'abrasion emissions'!$I$7:$I$38,"PM 2.5",'abrasion emissions'!$K$7:$K$38,"Re-susp.",'abrasion emissions'!$L$7:$L$38,"c"))))+
(SUMIFS('abrasion emissions'!$M$7:$M$38,'abrasion emissions'!$I$7:$I$38,"PM 10",'abrasion emissions'!$K$7:$K$38,"Re-susp.",'abrasion emissions'!$L$7:$L$38,"b")*POWER(('vehicles specifications'!$Q102/1000),(1/SUMIFS('abrasion emissions'!$M$7:$M$38,'abrasion emissions'!$I$7:$I$38,"PM 10",'abrasion emissions'!$K$7:$K$38,"Re-susp.",'abrasion emissions'!$L$7:$L$38,"c")))))/1000000</f>
        <v>3.9485118123653546E-6</v>
      </c>
      <c r="CU102" s="7">
        <f>((SUMIFS('abrasion emissions'!$M$7:$M$38,'abrasion emissions'!$I$7:$I$38,"PM 2.5",'abrasion emissions'!$K$7:$K$38,"Road",'abrasion emissions'!$L$7:$L$38,"b")*POWER(('vehicles specifications'!$Q102/1000),(1/SUMIFS('abrasion emissions'!$M$7:$M$38,'abrasion emissions'!$I$7:$I$38,"PM 2.5",'abrasion emissions'!$K$7:$K$38,"Road",'abrasion emissions'!$L$7:$L$38,"c"))))+
(SUMIFS('abrasion emissions'!$M$7:$M$38,'abrasion emissions'!$I$7:$I$38,"PM 10",'abrasion emissions'!$K$7:$K$38,"Road",'abrasion emissions'!$L$7:$L$38,"b")*POWER(('vehicles specifications'!$Q102/1000),(1/SUMIFS('abrasion emissions'!$M$7:$M$38,'abrasion emissions'!$I$7:$I$38,"PM 10",'abrasion emissions'!$K$7:$K$38,"Road",'abrasion emissions'!$L$7:$L$38,"c")))))/1000000+CT102</f>
        <v>7.5385511472227333E-6</v>
      </c>
      <c r="CV102" s="7">
        <f t="shared" si="79"/>
        <v>5.7454099761314755E-6</v>
      </c>
      <c r="CW102" s="7">
        <f t="shared" si="80"/>
        <v>4.1119376024139909E-6</v>
      </c>
    </row>
    <row r="103" spans="1:101" x14ac:dyDescent="0.2">
      <c r="A103" t="str">
        <f t="shared" si="1"/>
        <v>Motorbike, gasoline, 4-11kW, EURO-5 - 2020 - CH</v>
      </c>
      <c r="B103" t="s">
        <v>415</v>
      </c>
      <c r="D103" s="18">
        <v>2020</v>
      </c>
      <c r="E103" t="s">
        <v>37</v>
      </c>
      <c r="F103" t="s">
        <v>141</v>
      </c>
      <c r="G103" t="s">
        <v>39</v>
      </c>
      <c r="H103" t="s">
        <v>35</v>
      </c>
      <c r="J103">
        <v>25000</v>
      </c>
      <c r="K103">
        <v>1776</v>
      </c>
      <c r="L103" s="2">
        <f t="shared" si="2"/>
        <v>14.076576576576576</v>
      </c>
      <c r="M103">
        <v>1.1000000000000001</v>
      </c>
      <c r="N103">
        <v>75</v>
      </c>
      <c r="O103">
        <v>6</v>
      </c>
      <c r="P103" s="2">
        <f t="shared" si="64"/>
        <v>119.00000583255843</v>
      </c>
      <c r="Q103" s="2">
        <f t="shared" si="3"/>
        <v>207.50000583255843</v>
      </c>
      <c r="R103">
        <v>9</v>
      </c>
      <c r="S103" s="2">
        <v>65.433826960328489</v>
      </c>
      <c r="T103" s="1">
        <v>0</v>
      </c>
      <c r="U103" s="2">
        <f t="shared" si="105"/>
        <v>65.433826960328489</v>
      </c>
      <c r="V103" s="2">
        <f>0.7*S103</f>
        <v>45.803678872229938</v>
      </c>
      <c r="W103" s="2">
        <v>0</v>
      </c>
      <c r="X103" s="3">
        <v>0</v>
      </c>
      <c r="Y103" s="1">
        <v>0.8</v>
      </c>
      <c r="Z103" s="3">
        <f t="shared" si="5"/>
        <v>0</v>
      </c>
      <c r="AA103" s="3" t="str">
        <f>IF(I103&lt;&gt;"",X103/INDEX('energy battery'!$B$3:$D$6,MATCH('vehicles specifications'!$D103,'energy battery'!$A$3:$A$6,0),MATCH('vehicles specifications'!$I103,'energy battery'!$B$2:$D$2,0)),"")</f>
        <v/>
      </c>
      <c r="AB103" s="3" t="str">
        <f t="shared" si="6"/>
        <v/>
      </c>
      <c r="AC103" s="3" t="str">
        <f t="shared" si="7"/>
        <v/>
      </c>
      <c r="AD103" s="3">
        <v>0</v>
      </c>
      <c r="AE103" s="3">
        <v>9</v>
      </c>
      <c r="AF103">
        <f>AE103*'fuels and tailpipe emissions'!$B$3</f>
        <v>6.75</v>
      </c>
      <c r="AG103" s="2">
        <f>AF103*'fuels and tailpipe emissions'!$C$3</f>
        <v>79.875</v>
      </c>
      <c r="AH103" s="3">
        <f t="shared" si="106"/>
        <v>1.0125</v>
      </c>
      <c r="AI103" s="3">
        <v>0</v>
      </c>
      <c r="AJ103" s="3">
        <v>0</v>
      </c>
      <c r="AK103">
        <f t="shared" si="67"/>
        <v>1</v>
      </c>
      <c r="AL103">
        <f t="shared" si="65"/>
        <v>1.1142750313208388E-4</v>
      </c>
      <c r="AM103">
        <v>1.2899999999999999E-3</v>
      </c>
      <c r="AN103" s="2">
        <f t="shared" si="9"/>
        <v>65.433826960328489</v>
      </c>
      <c r="AO103" s="2">
        <f t="shared" si="10"/>
        <v>45.803678872229938</v>
      </c>
      <c r="AP103" s="2" t="str">
        <f t="shared" si="11"/>
        <v/>
      </c>
      <c r="AQ103" s="6">
        <v>1.0057618091180287</v>
      </c>
      <c r="AR103" s="20">
        <v>1.2E-2</v>
      </c>
      <c r="AS103" s="6" t="str">
        <f>IF($H103="BEV",SUMPRODUCT(#REF!,#REF!),"")</f>
        <v/>
      </c>
      <c r="AT103" s="2">
        <f t="shared" si="78"/>
        <v>285.90268331242163</v>
      </c>
      <c r="AU103" s="5">
        <f>IF($H103="ICEV-p",$AQ103/('fuels and tailpipe emissions'!$C$3*3.6)*'fuels and tailpipe emissions'!$D$3,"")*(1-AR103)</f>
        <v>7.3244013513216966E-2</v>
      </c>
      <c r="AV103" s="5">
        <f>IF($H103="ICEV-p",$AQ103/('fuels and tailpipe emissions'!$C$3*3.6)*'fuels and tailpipe emissions'!$D$3,"")*AR103</f>
        <v>8.8960340299453812E-4</v>
      </c>
      <c r="AW103" s="7">
        <f>IF($H103="ICEV-p",$AQ103/('fuels and tailpipe emissions'!$C$3*3.6)*'fuels and tailpipe emissions'!$E$3,"")</f>
        <v>3.7775091422273376E-7</v>
      </c>
      <c r="AX103" s="7">
        <f>SUMIFS('fuels and tailpipe emissions'!$F$10:$F$126,'fuels and tailpipe emissions'!$A$10:$A$126,'vehicles specifications'!$F103,'fuels and tailpipe emissions'!$B$10:$B$126,'vehicles specifications'!AX$2)/1000*$AQ103</f>
        <v>3.0028551502939905E-6</v>
      </c>
      <c r="AY103" s="7">
        <f>SUMIFS('fuels and tailpipe emissions'!$F$10:$F$126,'fuels and tailpipe emissions'!$A$10:$A$126,'vehicles specifications'!$F103,'fuels and tailpipe emissions'!$B$10:$B$126,'vehicles specifications'!AY$2)/1000*$AQ103</f>
        <v>5.5743948816324545E-5</v>
      </c>
      <c r="AZ103" s="7">
        <f>SUMIFS('fuels and tailpipe emissions'!$F$10:$F$126,'fuels and tailpipe emissions'!$A$10:$A$126,'vehicles specifications'!$F103,'fuels and tailpipe emissions'!$B$10:$B$126,'vehicles specifications'!AZ$2)/1000*$AQ103</f>
        <v>7.1242322292383402E-4</v>
      </c>
      <c r="BA103" s="7">
        <f>SUMIFS('fuels and tailpipe emissions'!$F$10:$F$126,'fuels and tailpipe emissions'!$A$10:$A$126,'vehicles specifications'!$F103,'fuels and tailpipe emissions'!$B$10:$B$126,'vehicles specifications'!BA$2)/1000*$AQ103</f>
        <v>1.9908553148687333E-6</v>
      </c>
      <c r="BB103" s="7">
        <f>SUMIFS('fuels and tailpipe emissions'!$F$10:$F$126,'fuels and tailpipe emissions'!$A$10:$A$126,'vehicles specifications'!$F103,'fuels and tailpipe emissions'!$B$10:$B$126,'vehicles specifications'!BB$2)/1000*$AQ103</f>
        <v>1.9908553148687333E-6</v>
      </c>
      <c r="BC103" s="7">
        <f>SUMIFS('fuels and tailpipe emissions'!$F$10:$F$126,'fuels and tailpipe emissions'!$A$10:$A$126,'vehicles specifications'!$F103,'fuels and tailpipe emissions'!$B$10:$B$126,'vehicles specifications'!BC$2)/1000*$AQ103</f>
        <v>1.8315516128898121E-5</v>
      </c>
      <c r="BD103" s="7">
        <f>SUMIFS('fuels and tailpipe emissions'!$F$10:$F$126,'fuels and tailpipe emissions'!$A$10:$A$126,'vehicles specifications'!$F103,'fuels and tailpipe emissions'!$B$10:$B$126,'vehicles specifications'!BD$2)/1000*$AQ103</f>
        <v>4.9771382871718332E-6</v>
      </c>
      <c r="BE103" s="7">
        <f>SUMIFS('fuels and tailpipe emissions'!$F$10:$F$126,'fuels and tailpipe emissions'!$A$10:$A$126,'vehicles specifications'!$F103,'fuels and tailpipe emissions'!$B$10:$B$126,'vehicles specifications'!BE$2)/1000*$AQ103</f>
        <v>2.4215537789536568E-5</v>
      </c>
      <c r="BF103" s="7">
        <f>SUMIFS('fuels and tailpipe emissions'!$F$10:$F$126,'fuels and tailpipe emissions'!$A$10:$A$126,'vehicles specifications'!$F103,'fuels and tailpipe emissions'!$B$10:$B$126,'vehicles specifications'!BF$2)/1000*$AQ103</f>
        <v>1.7075058697750144E-6</v>
      </c>
      <c r="BG103" s="7">
        <f>SUMIFS('fuels and tailpipe emissions'!$F$10:$F$126,'fuels and tailpipe emissions'!$A$10:$A$126,'vehicles specifications'!$F103,'fuels and tailpipe emissions'!$B$10:$B$126,'vehicles specifications'!BG$2)/1000*$AQ103</f>
        <v>3.4792439352782425E-7</v>
      </c>
      <c r="BH103" s="7">
        <f>SUMIFS('fuels and tailpipe emissions'!$F$10:$F$126,'fuels and tailpipe emissions'!$A$10:$A$126,'vehicles specifications'!$F103,'fuels and tailpipe emissions'!$B$10:$B$126,'vehicles specifications'!BH$2)/1000*$AQ103</f>
        <v>2.804805880131999E-6</v>
      </c>
      <c r="BI103" s="7">
        <f>SUMIFS('fuels and tailpipe emissions'!$F$10:$F$126,'fuels and tailpipe emissions'!$A$10:$A$126,'vehicles specifications'!$F103,'fuels and tailpipe emissions'!$B$10:$B$126,'vehicles specifications'!BI$2)/1000*$AQ103</f>
        <v>1.1508268401304956E-6</v>
      </c>
      <c r="BJ103" s="7">
        <f>SUMIFS('fuels and tailpipe emissions'!$F$10:$F$126,'fuels and tailpipe emissions'!$A$10:$A$126,'vehicles specifications'!$F103,'fuels and tailpipe emissions'!$B$10:$B$126,'vehicles specifications'!BJ$2)/1000*$AQ103</f>
        <v>8.6178195935353402E-7</v>
      </c>
      <c r="BK103" s="7">
        <f>SUMIFS('fuels and tailpipe emissions'!$F$10:$F$126,'fuels and tailpipe emissions'!$A$10:$A$126,'vehicles specifications'!$F103,'fuels and tailpipe emissions'!$B$10:$B$126,'vehicles specifications'!BK$2)/1000*$AQ103</f>
        <v>6.1020585941803032E-7</v>
      </c>
      <c r="BL103" s="7">
        <f>SUMIFS('fuels and tailpipe emissions'!$F$10:$F$126,'fuels and tailpipe emissions'!$A$10:$A$126,'vehicles specifications'!$F103,'fuels and tailpipe emissions'!$B$10:$B$126,'vehicles specifications'!BL$2)/1000*$AQ103</f>
        <v>3.960985403239846E-7</v>
      </c>
      <c r="BM103" s="7">
        <f>SUMIFS('fuels and tailpipe emissions'!$F$10:$F$126,'fuels and tailpipe emissions'!$A$10:$A$126,'vehicles specifications'!$F103,'fuels and tailpipe emissions'!$B$10:$B$126,'vehicles specifications'!BM$2)/1000*$AQ103</f>
        <v>3.9074585734663338E-6</v>
      </c>
      <c r="BN103" s="7">
        <f>SUMIFS('fuels and tailpipe emissions'!$F$10:$F$126,'fuels and tailpipe emissions'!$A$10:$A$126,'vehicles specifications'!$F103,'fuels and tailpipe emissions'!$B$10:$B$126,'vehicles specifications'!BN$2)/1000*$AQ103</f>
        <v>2.0447248973481361E-6</v>
      </c>
      <c r="BO103" s="7">
        <f>SUMIFS('fuels and tailpipe emissions'!$F$10:$F$126,'fuels and tailpipe emissions'!$A$10:$A$126,'vehicles specifications'!$F103,'fuels and tailpipe emissions'!$B$10:$B$126,'vehicles specifications'!BO$2)/1000*$AQ103</f>
        <v>5.8879512750862572E-8</v>
      </c>
      <c r="BP103" s="7">
        <f>SUMIFS('fuels and tailpipe emissions'!$F$10:$F$126,'fuels and tailpipe emissions'!$A$10:$A$126,'vehicles specifications'!$F103,'fuels and tailpipe emissions'!$B$10:$B$126,'vehicles specifications'!BP$2)/1000*$AQ103</f>
        <v>3.0028551502939905E-6</v>
      </c>
      <c r="BQ103" s="7">
        <f>SUMIFS('fuels and tailpipe emissions'!$F$10:$F$126,'fuels and tailpipe emissions'!$A$10:$A$126,'vehicles specifications'!$F103,'fuels and tailpipe emissions'!$B$10:$B$126,'vehicles specifications'!BQ$2)/1000*$AQ103</f>
        <v>5.877245909131555E-6</v>
      </c>
      <c r="BR103" s="7">
        <f>SUMIFS('fuels and tailpipe emissions'!$F$10:$F$126,'fuels and tailpipe emissions'!$A$10:$A$126,'vehicles specifications'!$F103,'fuels and tailpipe emissions'!$B$10:$B$126,'vehicles specifications'!BR$2)/1000*$AQ103</f>
        <v>2.9065068567016706E-6</v>
      </c>
      <c r="BS103" s="7">
        <f>SUMIFS('fuels and tailpipe emissions'!$F$10:$F$126,'fuels and tailpipe emissions'!$A$10:$A$126,'vehicles specifications'!$F103,'fuels and tailpipe emissions'!$B$10:$B$126,'vehicles specifications'!BS$2)/1000*$AQ103</f>
        <v>1.2097063528813583E-6</v>
      </c>
      <c r="BT103" s="7">
        <f>SUMIFS('fuels and tailpipe emissions'!$F$10:$F$126,'fuels and tailpipe emissions'!$A$10:$A$126,'vehicles specifications'!$F103,'fuels and tailpipe emissions'!$B$10:$B$126,'vehicles specifications'!BT$2)/1000*$AQ103</f>
        <v>9.0995610614969421E-7</v>
      </c>
      <c r="BU103" s="7">
        <f>SUMIFS('fuels and tailpipe emissions'!$F$10:$F$126,'fuels and tailpipe emissions'!$A$10:$A$126,'vehicles specifications'!$F103,'fuels and tailpipe emissions'!$B$10:$B$126,'vehicles specifications'!BU$2)/1000*$AQ103</f>
        <v>4.0145122330133565E-7</v>
      </c>
      <c r="BV103" s="7">
        <f>SUMIFS('fuels and tailpipe emissions'!$F$10:$F$126,'fuels and tailpipe emissions'!$A$10:$A$126,'vehicles specifications'!$F103,'fuels and tailpipe emissions'!$B$10:$B$126,'vehicles specifications'!BV$2)/1000*$AQ103</f>
        <v>1.1775902550172514E-7</v>
      </c>
      <c r="BW103" s="7">
        <f>SUMIFS('fuels and tailpipe emissions'!$F$10:$F$126,'fuels and tailpipe emissions'!$A$10:$A$126,'vehicles specifications'!$F103,'fuels and tailpipe emissions'!$B$10:$B$126,'vehicles specifications'!BW$2)/1000*$AQ103</f>
        <v>3.2651366161841968E-7</v>
      </c>
      <c r="BX103" s="7">
        <f>SUMIFS('fuels and tailpipe emissions'!$F$10:$F$126,'fuels and tailpipe emissions'!$A$10:$A$126,'vehicles specifications'!$F103,'fuels and tailpipe emissions'!$B$10:$B$126,'vehicles specifications'!BX$2)/1000*$AQ103</f>
        <v>0</v>
      </c>
      <c r="BY103" s="7">
        <f>SUMIFS('fuels and tailpipe emissions'!$F$10:$F$126,'fuels and tailpipe emissions'!$A$10:$A$126,'vehicles specifications'!$F103,'fuels and tailpipe emissions'!$B$10:$B$126,'vehicles specifications'!BY$2)/1000*$AQ103</f>
        <v>1.017009765696717E-7</v>
      </c>
      <c r="BZ103" s="7">
        <f>SUMIFS('fuels and tailpipe emissions'!$F$10:$F$126,'fuels and tailpipe emissions'!$A$10:$A$126,'vehicles specifications'!$F103,'fuels and tailpipe emissions'!$B$10:$B$126,'vehicles specifications'!BZ$2)/1000*$AQ103</f>
        <v>5.4062098071246539E-7</v>
      </c>
      <c r="CA103" s="7">
        <f>SUMIFS('fuels and tailpipe emissions'!$F$10:$F$126,'fuels and tailpipe emissions'!$A$10:$A$126,'vehicles specifications'!$F103,'fuels and tailpipe emissions'!$B$10:$B$126,'vehicles specifications'!CA$2)/1000*$AQ103</f>
        <v>8.2354143428958587E-10</v>
      </c>
      <c r="CB103" s="7">
        <f>SUMIFS('fuels and tailpipe emissions'!$F$10:$F$126,'fuels and tailpipe emissions'!$A$10:$A$126,'vehicles specifications'!$F103,'fuels and tailpipe emissions'!$B$10:$B$126,'vehicles specifications'!CB$2)/1000*$AQ103</f>
        <v>7.0994951231860852E-12</v>
      </c>
      <c r="CC103" s="7">
        <f>SUMIFS('fuels and tailpipe emissions'!$F$10:$F$126,'fuels and tailpipe emissions'!$A$10:$A$126,'vehicles specifications'!$F103,'fuels and tailpipe emissions'!$B$10:$B$126,'vehicles specifications'!CC$2)/1000*$AQ103</f>
        <v>4.7329967487907232E-12</v>
      </c>
      <c r="CD103" s="7">
        <f>SUMIFS('fuels and tailpipe emissions'!$F$10:$F$126,'fuels and tailpipe emissions'!$A$10:$A$126,'vehicles specifications'!$F103,'fuels and tailpipe emissions'!$B$10:$B$126,'vehicles specifications'!CD$2)/1000*$AQ103</f>
        <v>5.1116364886939815E-8</v>
      </c>
      <c r="CE103" s="7">
        <f>SUMIFS('fuels and tailpipe emissions'!$F$10:$F$126,'fuels and tailpipe emissions'!$A$10:$A$126,'vehicles specifications'!$F103,'fuels and tailpipe emissions'!$B$10:$B$126,'vehicles specifications'!CE$2)/1000*$AQ103</f>
        <v>9.9392931724605184E-10</v>
      </c>
      <c r="CF103" s="7">
        <f>SUMIFS('fuels and tailpipe emissions'!$F$10:$F$126,'fuels and tailpipe emissions'!$A$10:$A$126,'vehicles specifications'!$F103,'fuels and tailpipe emissions'!$B$10:$B$126,'vehicles specifications'!CF$2)/1000*$AQ103</f>
        <v>3.0764478867139705E-10</v>
      </c>
      <c r="CG103" s="7">
        <f>SUMIFS('fuels and tailpipe emissions'!$F$10:$F$126,'fuels and tailpipe emissions'!$A$10:$A$126,'vehicles specifications'!$F103,'fuels and tailpipe emissions'!$B$10:$B$126,'vehicles specifications'!CG$2)/1000*$AQ103</f>
        <v>3.786397399032579E-10</v>
      </c>
      <c r="CH103" s="7">
        <f>SUMIFS('fuels and tailpipe emissions'!$F$10:$F$126,'fuels and tailpipe emissions'!$A$10:$A$126,'vehicles specifications'!$F103,'fuels and tailpipe emissions'!$B$10:$B$126,'vehicles specifications'!CH$2)/1000*$AQ103</f>
        <v>7.5727947980651569E-13</v>
      </c>
      <c r="CI103" s="7">
        <f>SUMIFS('fuels and tailpipe emissions'!$F$10:$F$126,'fuels and tailpipe emissions'!$A$10:$A$126,'vehicles specifications'!$F103,'fuels and tailpipe emissions'!$B$10:$B$126,'vehicles specifications'!CI$2)/1000*$AQ103</f>
        <v>2.0588535857239647E-10</v>
      </c>
      <c r="CJ103" s="7">
        <f>SUMIFS('fuels and tailpipe emissions'!$F$10:$F$126,'fuels and tailpipe emissions'!$A$10:$A$126,'vehicles specifications'!$F103,'fuels and tailpipe emissions'!$B$10:$B$126,'vehicles specifications'!CJ$2)/1000*$AQ103</f>
        <v>2.5558182443469911E-10</v>
      </c>
      <c r="CK103" s="38">
        <f>VLOOKUP($B103,'abrasion emissions'!$O$7:$R$36,2,FALSE)</f>
        <v>0.5</v>
      </c>
      <c r="CL103" s="38">
        <f>VLOOKUP($B103,'abrasion emissions'!$O$7:$R$36,3,FALSE)</f>
        <v>0.5</v>
      </c>
      <c r="CM103" s="38">
        <f>VLOOKUP($B103,'abrasion emissions'!$O$7:$R$36,4,FALSE)</f>
        <v>0</v>
      </c>
      <c r="CN103" s="7">
        <f>((SUMIFS('abrasion emissions'!$M$7:$M$34,'abrasion emissions'!$I$7:$I$34,"PM 2.5",'abrasion emissions'!$J$7:$J$34,"urban",'abrasion emissions'!$K$7:$K$34,"Tyre",'abrasion emissions'!$L$7:$L$34,"b")*POWER(('vehicles specifications'!$Q103/1000),(1/SUMIFS('abrasion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specifications'!$P103/1000),(1/SUMIFS('abrasion emissions'!$M$7:$M$34,'abrasion emissions'!$I$7:$I$34,"PM 10",'abrasion emissions'!$J$7:$J$34,"urban",'abrasion emissions'!$K$7:$K$34,"Tyre",'abrasion emissions'!$L$7:$L$34,"c")))))/1000000</f>
        <v>6.4374628273737208E-6</v>
      </c>
      <c r="CO103" s="7">
        <f>((SUMIFS('abrasion emissions'!$M$7:$M$34,'abrasion emissions'!$I$7:$I$34,"PM 2.5",'abrasion emissions'!$J$7:$J$34,"rural",'abrasion emissions'!$K$7:$K$34,"Tyre",'abrasion emissions'!$L$7:$L$34,"b")*POWER(('vehicles specifications'!$Q103/1000),(1/SUMIFS('abrasion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specifications'!$P103/1000),(1/SUMIFS('abrasion emissions'!$M$7:$M$34,'abrasion emissions'!$I$7:$I$34,"PM 10",'abrasion emissions'!$J$7:$J$34,"rural",'abrasion emissions'!$K$7:$K$34,"Tyre",'abrasion emissions'!$L$7:$L$34,"c")))))/1000000</f>
        <v>5.0137278168521609E-6</v>
      </c>
      <c r="CP103" s="7">
        <f>((SUMIFS('abrasion emissions'!$M$7:$M$34,'abrasion emissions'!$I$7:$I$34,"PM 2.5",'abrasion emissions'!$J$7:$J$34,"motorway",'abrasion emissions'!$K$7:$K$34,"Tyre",'abrasion emissions'!$L$7:$L$34,"b")*POWER(('vehicles specifications'!$Q103/1000),(1/SUMIFS('abrasion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specifications'!$P103/1000),(1/SUMIFS('abrasion emissions'!$M$7:$M$34,'abrasion emissions'!$I$7:$I$34,"PM 10",'abrasion emissions'!$J$7:$J$34,"motorway",'abrasion emissions'!$K$7:$K$34,"Tyre",'abrasion emissions'!$L$7:$L$34,"c")))))/1000000</f>
        <v>4.2820434940904498E-6</v>
      </c>
      <c r="CQ103" s="7">
        <f>((SUMIFS('abrasion emissions'!$M$7:$M$34,'abrasion emissions'!$I$7:$I$34,"PM 2.5",'abrasion emissions'!$J$7:$J$34,"urban",'abrasion emissions'!$K$7:$K$34,"Brake",'abrasion emissions'!$L$7:$L$34,"b")*POWER(('vehicles specifications'!$Q103/1000),(1/SUMIFS('abrasion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specifications'!$P103/1000),(1/SUMIFS('abrasion emissions'!$M$7:$M$34,'abrasion emissions'!$I$7:$I$34,"PM 10",'abrasion emissions'!$J$7:$J$34,"urban",'abrasion emissions'!$K$7:$K$34,"Brake",'abrasion emissions'!$L$7:$L$34,"c")))))/1000000</f>
        <v>6.1775218725325214E-6</v>
      </c>
      <c r="CR103" s="7">
        <f>((SUMIFS('abrasion emissions'!$M$7:$M$34,'abrasion emissions'!$I$7:$I$34,"PM 2.5",'abrasion emissions'!$J$7:$J$34,"rural",'abrasion emissions'!$K$7:$K$34,"Brake",'abrasion emissions'!$L$7:$L$34,"b")*POWER(('vehicles specifications'!$Q103/1000),(1/SUMIFS('abrasion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specifications'!$P103/1000),(1/SUMIFS('abrasion emissions'!$M$7:$M$34,'abrasion emissions'!$I$7:$I$34,"PM 10",'abrasion emissions'!$J$7:$J$34,"rural",'abrasion emissions'!$K$7:$K$34,"Brake",'abrasion emissions'!$L$7:$L$34,"c")))))/1000000</f>
        <v>2.0126985827534303E-6</v>
      </c>
      <c r="CS103" s="7">
        <f>((SUMIFS('abrasion emissions'!$M$7:$M$34,'abrasion emissions'!$I$7:$I$34,"PM 2.5",'abrasion emissions'!$J$7:$J$34,"motorway",'abrasion emissions'!$K$7:$K$34,"Brake",'abrasion emissions'!$L$7:$L$34,"b")*POWER(('vehicles specifications'!$Q103/1000),(1/SUMIFS('abrasion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specifications'!$P103/1000),(1/SUMIFS('abrasion emissions'!$M$7:$M$34,'abrasion emissions'!$I$7:$I$34,"PM 10",'abrasion emissions'!$J$7:$J$34,"motorway",'abrasion emissions'!$K$7:$K$34,"Brake",'abrasion emissions'!$L$7:$L$34,"c")))))/1000000</f>
        <v>3.7607687640700252E-7</v>
      </c>
      <c r="CT103" s="7">
        <f>((SUMIFS('abrasion emissions'!$M$7:$M$38,'abrasion emissions'!$I$7:$I$38,"PM 2.5",'abrasion emissions'!$K$7:$K$38,"Re-susp.",'abrasion emissions'!$L$7:$L$38,"b")*POWER(('vehicles specifications'!$Q103/1000),(1/SUMIFS('abrasion emissions'!$M$7:$M$38,'abrasion emissions'!$I$7:$I$38,"PM 2.5",'abrasion emissions'!$K$7:$K$38,"Re-susp.",'abrasion emissions'!$L$7:$L$38,"c"))))+
(SUMIFS('abrasion emissions'!$M$7:$M$38,'abrasion emissions'!$I$7:$I$38,"PM 10",'abrasion emissions'!$K$7:$K$38,"Re-susp.",'abrasion emissions'!$L$7:$L$38,"b")*POWER(('vehicles specifications'!$Q103/1000),(1/SUMIFS('abrasion emissions'!$M$7:$M$38,'abrasion emissions'!$I$7:$I$38,"PM 10",'abrasion emissions'!$K$7:$K$38,"Re-susp.",'abrasion emissions'!$L$7:$L$38,"c")))))/1000000</f>
        <v>3.9260083933358541E-6</v>
      </c>
      <c r="CU103" s="7">
        <f>((SUMIFS('abrasion emissions'!$M$7:$M$38,'abrasion emissions'!$I$7:$I$38,"PM 2.5",'abrasion emissions'!$K$7:$K$38,"Road",'abrasion emissions'!$L$7:$L$38,"b")*POWER(('vehicles specifications'!$Q103/1000),(1/SUMIFS('abrasion emissions'!$M$7:$M$38,'abrasion emissions'!$I$7:$I$38,"PM 2.5",'abrasion emissions'!$K$7:$K$38,"Road",'abrasion emissions'!$L$7:$L$38,"c"))))+
(SUMIFS('abrasion emissions'!$M$7:$M$38,'abrasion emissions'!$I$7:$I$38,"PM 10",'abrasion emissions'!$K$7:$K$38,"Road",'abrasion emissions'!$L$7:$L$38,"b")*POWER(('vehicles specifications'!$Q103/1000),(1/SUMIFS('abrasion emissions'!$M$7:$M$38,'abrasion emissions'!$I$7:$I$38,"PM 10",'abrasion emissions'!$K$7:$K$38,"Road",'abrasion emissions'!$L$7:$L$38,"c")))))/1000000+CT103</f>
        <v>7.5010320003631441E-6</v>
      </c>
      <c r="CV103" s="7">
        <f t="shared" si="79"/>
        <v>5.7255953221129413E-6</v>
      </c>
      <c r="CW103" s="7">
        <f t="shared" si="80"/>
        <v>4.0951102276429758E-6</v>
      </c>
    </row>
    <row r="104" spans="1:101" x14ac:dyDescent="0.2">
      <c r="A104" t="str">
        <f t="shared" si="1"/>
        <v>Motorbike, gasoline, 4-11kW, EURO-5 - 2030 - CH</v>
      </c>
      <c r="B104" t="s">
        <v>415</v>
      </c>
      <c r="D104" s="18">
        <v>2030</v>
      </c>
      <c r="E104" t="s">
        <v>37</v>
      </c>
      <c r="F104" t="s">
        <v>141</v>
      </c>
      <c r="G104" t="s">
        <v>39</v>
      </c>
      <c r="H104" t="s">
        <v>35</v>
      </c>
      <c r="J104">
        <v>25000</v>
      </c>
      <c r="K104">
        <v>1776</v>
      </c>
      <c r="L104" s="2">
        <f t="shared" si="2"/>
        <v>14.076576576576576</v>
      </c>
      <c r="M104">
        <v>1.1000000000000001</v>
      </c>
      <c r="N104">
        <v>75</v>
      </c>
      <c r="O104">
        <v>6</v>
      </c>
      <c r="P104" s="2">
        <f t="shared" si="64"/>
        <v>117.03699102374857</v>
      </c>
      <c r="Q104" s="2">
        <f t="shared" si="3"/>
        <v>205.53699102374856</v>
      </c>
      <c r="R104">
        <v>9</v>
      </c>
      <c r="S104" s="2">
        <v>65.433826960328489</v>
      </c>
      <c r="T104" s="1">
        <v>0.03</v>
      </c>
      <c r="U104" s="2">
        <f t="shared" si="105"/>
        <v>63.470812151518629</v>
      </c>
      <c r="V104" s="2">
        <f t="shared" ref="V104:V106" si="107">0.7*S104</f>
        <v>45.803678872229938</v>
      </c>
      <c r="W104" s="2">
        <v>0</v>
      </c>
      <c r="X104" s="3">
        <v>0</v>
      </c>
      <c r="Y104" s="1">
        <v>0.8</v>
      </c>
      <c r="Z104" s="3">
        <f t="shared" si="5"/>
        <v>0</v>
      </c>
      <c r="AA104" s="3" t="str">
        <f>IF(I104&lt;&gt;"",X104/INDEX('energy battery'!$B$3:$D$6,MATCH('vehicles specifications'!$D104,'energy battery'!$A$3:$A$6,0),MATCH('vehicles specifications'!$I104,'energy battery'!$B$2:$D$2,0)),"")</f>
        <v/>
      </c>
      <c r="AB104" s="3" t="str">
        <f t="shared" si="6"/>
        <v/>
      </c>
      <c r="AC104" s="3" t="str">
        <f t="shared" si="7"/>
        <v/>
      </c>
      <c r="AD104" s="3">
        <v>0</v>
      </c>
      <c r="AE104" s="3">
        <v>9</v>
      </c>
      <c r="AF104">
        <f>AE104*'fuels and tailpipe emissions'!$B$3</f>
        <v>6.75</v>
      </c>
      <c r="AG104" s="2">
        <f>AF104*'fuels and tailpipe emissions'!$C$3</f>
        <v>79.875</v>
      </c>
      <c r="AH104" s="3">
        <f t="shared" si="106"/>
        <v>1.0125</v>
      </c>
      <c r="AI104" s="3">
        <v>0</v>
      </c>
      <c r="AJ104" s="3">
        <v>0</v>
      </c>
      <c r="AK104">
        <f t="shared" si="67"/>
        <v>1</v>
      </c>
      <c r="AL104">
        <f t="shared" si="65"/>
        <v>1.1037336417975297E-4</v>
      </c>
      <c r="AM104">
        <v>1.2899999999999999E-3</v>
      </c>
      <c r="AN104" s="2">
        <f t="shared" si="9"/>
        <v>63.470812151518629</v>
      </c>
      <c r="AO104" s="2">
        <f t="shared" si="10"/>
        <v>45.803678872229938</v>
      </c>
      <c r="AP104" s="2" t="str">
        <f t="shared" si="11"/>
        <v/>
      </c>
      <c r="AQ104" s="6">
        <v>0.99570419102684837</v>
      </c>
      <c r="AR104" s="20">
        <v>1.2E-2</v>
      </c>
      <c r="AS104" s="6" t="str">
        <f>IF($H104="BEV",SUMPRODUCT(#REF!,#REF!),"")</f>
        <v/>
      </c>
      <c r="AT104" s="2">
        <f t="shared" si="78"/>
        <v>288.7905892044663</v>
      </c>
      <c r="AU104" s="5">
        <f>IF($H104="ICEV-p",$AQ104/('fuels and tailpipe emissions'!$C$3*3.6)*'fuels and tailpipe emissions'!$D$3,"")*(1-AR104)</f>
        <v>7.2511573378084795E-2</v>
      </c>
      <c r="AV104" s="5">
        <f>IF($H104="ICEV-p",$AQ104/('fuels and tailpipe emissions'!$C$3*3.6)*'fuels and tailpipe emissions'!$D$3,"")*AR104</f>
        <v>8.807073689645926E-4</v>
      </c>
      <c r="AW104" s="7">
        <f>IF($H104="ICEV-p",$AQ104/('fuels and tailpipe emissions'!$C$3*3.6)*'fuels and tailpipe emissions'!$E$3,"")</f>
        <v>3.7397340508050638E-7</v>
      </c>
      <c r="AX104" s="7">
        <f>SUMIFS('fuels and tailpipe emissions'!$F$10:$F$126,'fuels and tailpipe emissions'!$A$10:$A$126,'vehicles specifications'!$F104,'fuels and tailpipe emissions'!$B$10:$B$126,'vehicles specifications'!AX$2)/1000*$AQ104</f>
        <v>2.9728265987910503E-6</v>
      </c>
      <c r="AY104" s="7">
        <f>SUMIFS('fuels and tailpipe emissions'!$F$10:$F$126,'fuels and tailpipe emissions'!$A$10:$A$126,'vehicles specifications'!$F104,'fuels and tailpipe emissions'!$B$10:$B$126,'vehicles specifications'!AY$2)/1000*$AQ104</f>
        <v>5.5186509328161295E-5</v>
      </c>
      <c r="AZ104" s="7">
        <f>SUMIFS('fuels and tailpipe emissions'!$F$10:$F$126,'fuels and tailpipe emissions'!$A$10:$A$126,'vehicles specifications'!$F104,'fuels and tailpipe emissions'!$B$10:$B$126,'vehicles specifications'!AZ$2)/1000*$AQ104</f>
        <v>7.0529899069459573E-4</v>
      </c>
      <c r="BA104" s="7">
        <f>SUMIFS('fuels and tailpipe emissions'!$F$10:$F$126,'fuels and tailpipe emissions'!$A$10:$A$126,'vehicles specifications'!$F104,'fuels and tailpipe emissions'!$B$10:$B$126,'vehicles specifications'!BA$2)/1000*$AQ104</f>
        <v>1.9709467617200459E-6</v>
      </c>
      <c r="BB104" s="7">
        <f>SUMIFS('fuels and tailpipe emissions'!$F$10:$F$126,'fuels and tailpipe emissions'!$A$10:$A$126,'vehicles specifications'!$F104,'fuels and tailpipe emissions'!$B$10:$B$126,'vehicles specifications'!BB$2)/1000*$AQ104</f>
        <v>1.9709467617200459E-6</v>
      </c>
      <c r="BC104" s="7">
        <f>SUMIFS('fuels and tailpipe emissions'!$F$10:$F$126,'fuels and tailpipe emissions'!$A$10:$A$126,'vehicles specifications'!$F104,'fuels and tailpipe emissions'!$B$10:$B$126,'vehicles specifications'!BC$2)/1000*$AQ104</f>
        <v>1.8132360967609141E-5</v>
      </c>
      <c r="BD104" s="7">
        <f>SUMIFS('fuels and tailpipe emissions'!$F$10:$F$126,'fuels and tailpipe emissions'!$A$10:$A$126,'vehicles specifications'!$F104,'fuels and tailpipe emissions'!$B$10:$B$126,'vehicles specifications'!BD$2)/1000*$AQ104</f>
        <v>4.9273669043001146E-6</v>
      </c>
      <c r="BE104" s="7">
        <f>SUMIFS('fuels and tailpipe emissions'!$F$10:$F$126,'fuels and tailpipe emissions'!$A$10:$A$126,'vehicles specifications'!$F104,'fuels and tailpipe emissions'!$B$10:$B$126,'vehicles specifications'!BE$2)/1000*$AQ104</f>
        <v>2.3973382411641201E-5</v>
      </c>
      <c r="BF104" s="7">
        <f>SUMIFS('fuels and tailpipe emissions'!$F$10:$F$126,'fuels and tailpipe emissions'!$A$10:$A$126,'vehicles specifications'!$F104,'fuels and tailpipe emissions'!$B$10:$B$126,'vehicles specifications'!BF$2)/1000*$AQ104</f>
        <v>1.690430811077264E-6</v>
      </c>
      <c r="BG104" s="7">
        <f>SUMIFS('fuels and tailpipe emissions'!$F$10:$F$126,'fuels and tailpipe emissions'!$A$10:$A$126,'vehicles specifications'!$F104,'fuels and tailpipe emissions'!$B$10:$B$126,'vehicles specifications'!BG$2)/1000*$AQ104</f>
        <v>3.44445149592546E-7</v>
      </c>
      <c r="BH104" s="7">
        <f>SUMIFS('fuels and tailpipe emissions'!$F$10:$F$126,'fuels and tailpipe emissions'!$A$10:$A$126,'vehicles specifications'!$F104,'fuels and tailpipe emissions'!$B$10:$B$126,'vehicles specifications'!BH$2)/1000*$AQ104</f>
        <v>2.7767578213306791E-6</v>
      </c>
      <c r="BI104" s="7">
        <f>SUMIFS('fuels and tailpipe emissions'!$F$10:$F$126,'fuels and tailpipe emissions'!$A$10:$A$126,'vehicles specifications'!$F104,'fuels and tailpipe emissions'!$B$10:$B$126,'vehicles specifications'!BI$2)/1000*$AQ104</f>
        <v>1.1393185717291907E-6</v>
      </c>
      <c r="BJ104" s="7">
        <f>SUMIFS('fuels and tailpipe emissions'!$F$10:$F$126,'fuels and tailpipe emissions'!$A$10:$A$126,'vehicles specifications'!$F104,'fuels and tailpipe emissions'!$B$10:$B$126,'vehicles specifications'!BJ$2)/1000*$AQ104</f>
        <v>8.5316413975999859E-7</v>
      </c>
      <c r="BK104" s="7">
        <f>SUMIFS('fuels and tailpipe emissions'!$F$10:$F$126,'fuels and tailpipe emissions'!$A$10:$A$126,'vehicles specifications'!$F104,'fuels and tailpipe emissions'!$B$10:$B$126,'vehicles specifications'!BK$2)/1000*$AQ104</f>
        <v>6.0410380082384996E-7</v>
      </c>
      <c r="BL104" s="7">
        <f>SUMIFS('fuels and tailpipe emissions'!$F$10:$F$126,'fuels and tailpipe emissions'!$A$10:$A$126,'vehicles specifications'!$F104,'fuels and tailpipe emissions'!$B$10:$B$126,'vehicles specifications'!BL$2)/1000*$AQ104</f>
        <v>3.921375549207447E-7</v>
      </c>
      <c r="BM104" s="7">
        <f>SUMIFS('fuels and tailpipe emissions'!$F$10:$F$126,'fuels and tailpipe emissions'!$A$10:$A$126,'vehicles specifications'!$F104,'fuels and tailpipe emissions'!$B$10:$B$126,'vehicles specifications'!BM$2)/1000*$AQ104</f>
        <v>3.868383987731671E-6</v>
      </c>
      <c r="BN104" s="7">
        <f>SUMIFS('fuels and tailpipe emissions'!$F$10:$F$126,'fuels and tailpipe emissions'!$A$10:$A$126,'vehicles specifications'!$F104,'fuels and tailpipe emissions'!$B$10:$B$126,'vehicles specifications'!BN$2)/1000*$AQ104</f>
        <v>2.0242776483746546E-6</v>
      </c>
      <c r="BO104" s="7">
        <f>SUMIFS('fuels and tailpipe emissions'!$F$10:$F$126,'fuels and tailpipe emissions'!$A$10:$A$126,'vehicles specifications'!$F104,'fuels and tailpipe emissions'!$B$10:$B$126,'vehicles specifications'!BO$2)/1000*$AQ104</f>
        <v>5.8290717623353947E-8</v>
      </c>
      <c r="BP104" s="7">
        <f>SUMIFS('fuels and tailpipe emissions'!$F$10:$F$126,'fuels and tailpipe emissions'!$A$10:$A$126,'vehicles specifications'!$F104,'fuels and tailpipe emissions'!$B$10:$B$126,'vehicles specifications'!BP$2)/1000*$AQ104</f>
        <v>2.9728265987910503E-6</v>
      </c>
      <c r="BQ104" s="7">
        <f>SUMIFS('fuels and tailpipe emissions'!$F$10:$F$126,'fuels and tailpipe emissions'!$A$10:$A$126,'vehicles specifications'!$F104,'fuels and tailpipe emissions'!$B$10:$B$126,'vehicles specifications'!BQ$2)/1000*$AQ104</f>
        <v>5.8184734500402395E-6</v>
      </c>
      <c r="BR104" s="7">
        <f>SUMIFS('fuels and tailpipe emissions'!$F$10:$F$126,'fuels and tailpipe emissions'!$A$10:$A$126,'vehicles specifications'!$F104,'fuels and tailpipe emissions'!$B$10:$B$126,'vehicles specifications'!BR$2)/1000*$AQ104</f>
        <v>2.8774417881346538E-6</v>
      </c>
      <c r="BS104" s="7">
        <f>SUMIFS('fuels and tailpipe emissions'!$F$10:$F$126,'fuels and tailpipe emissions'!$A$10:$A$126,'vehicles specifications'!$F104,'fuels and tailpipe emissions'!$B$10:$B$126,'vehicles specifications'!BS$2)/1000*$AQ104</f>
        <v>1.1976092893525445E-6</v>
      </c>
      <c r="BT104" s="7">
        <f>SUMIFS('fuels and tailpipe emissions'!$F$10:$F$126,'fuels and tailpipe emissions'!$A$10:$A$126,'vehicles specifications'!$F104,'fuels and tailpipe emissions'!$B$10:$B$126,'vehicles specifications'!BT$2)/1000*$AQ104</f>
        <v>9.0085654508819725E-7</v>
      </c>
      <c r="BU104" s="7">
        <f>SUMIFS('fuels and tailpipe emissions'!$F$10:$F$126,'fuels and tailpipe emissions'!$A$10:$A$126,'vehicles specifications'!$F104,'fuels and tailpipe emissions'!$B$10:$B$126,'vehicles specifications'!BU$2)/1000*$AQ104</f>
        <v>3.9743671106832228E-7</v>
      </c>
      <c r="BV104" s="7">
        <f>SUMIFS('fuels and tailpipe emissions'!$F$10:$F$126,'fuels and tailpipe emissions'!$A$10:$A$126,'vehicles specifications'!$F104,'fuels and tailpipe emissions'!$B$10:$B$126,'vehicles specifications'!BV$2)/1000*$AQ104</f>
        <v>1.1658143524670789E-7</v>
      </c>
      <c r="BW104" s="7">
        <f>SUMIFS('fuels and tailpipe emissions'!$F$10:$F$126,'fuels and tailpipe emissions'!$A$10:$A$126,'vehicles specifications'!$F104,'fuels and tailpipe emissions'!$B$10:$B$126,'vehicles specifications'!BW$2)/1000*$AQ104</f>
        <v>3.2324852500223546E-7</v>
      </c>
      <c r="BX104" s="7">
        <f>SUMIFS('fuels and tailpipe emissions'!$F$10:$F$126,'fuels and tailpipe emissions'!$A$10:$A$126,'vehicles specifications'!$F104,'fuels and tailpipe emissions'!$B$10:$B$126,'vehicles specifications'!BX$2)/1000*$AQ104</f>
        <v>0</v>
      </c>
      <c r="BY104" s="7">
        <f>SUMIFS('fuels and tailpipe emissions'!$F$10:$F$126,'fuels and tailpipe emissions'!$A$10:$A$126,'vehicles specifications'!$F104,'fuels and tailpipe emissions'!$B$10:$B$126,'vehicles specifications'!BY$2)/1000*$AQ104</f>
        <v>1.0068396680397498E-7</v>
      </c>
      <c r="BZ104" s="7">
        <f>SUMIFS('fuels and tailpipe emissions'!$F$10:$F$126,'fuels and tailpipe emissions'!$A$10:$A$126,'vehicles specifications'!$F104,'fuels and tailpipe emissions'!$B$10:$B$126,'vehicles specifications'!BZ$2)/1000*$AQ104</f>
        <v>5.3521477090534066E-7</v>
      </c>
      <c r="CA104" s="7">
        <f>SUMIFS('fuels and tailpipe emissions'!$F$10:$F$126,'fuels and tailpipe emissions'!$A$10:$A$126,'vehicles specifications'!$F104,'fuels and tailpipe emissions'!$B$10:$B$126,'vehicles specifications'!CA$2)/1000*$AQ104</f>
        <v>8.1530601994668997E-10</v>
      </c>
      <c r="CB104" s="7">
        <f>SUMIFS('fuels and tailpipe emissions'!$F$10:$F$126,'fuels and tailpipe emissions'!$A$10:$A$126,'vehicles specifications'!$F104,'fuels and tailpipe emissions'!$B$10:$B$126,'vehicles specifications'!CB$2)/1000*$AQ104</f>
        <v>7.0285001719542239E-12</v>
      </c>
      <c r="CC104" s="7">
        <f>SUMIFS('fuels and tailpipe emissions'!$F$10:$F$126,'fuels and tailpipe emissions'!$A$10:$A$126,'vehicles specifications'!$F104,'fuels and tailpipe emissions'!$B$10:$B$126,'vehicles specifications'!CC$2)/1000*$AQ104</f>
        <v>4.6856667813028157E-12</v>
      </c>
      <c r="CD104" s="7">
        <f>SUMIFS('fuels and tailpipe emissions'!$F$10:$F$126,'fuels and tailpipe emissions'!$A$10:$A$126,'vehicles specifications'!$F104,'fuels and tailpipe emissions'!$B$10:$B$126,'vehicles specifications'!CD$2)/1000*$AQ104</f>
        <v>5.0605201238070412E-8</v>
      </c>
      <c r="CE104" s="7">
        <f>SUMIFS('fuels and tailpipe emissions'!$F$10:$F$126,'fuels and tailpipe emissions'!$A$10:$A$126,'vehicles specifications'!$F104,'fuels and tailpipe emissions'!$B$10:$B$126,'vehicles specifications'!CE$2)/1000*$AQ104</f>
        <v>9.8399002407359125E-10</v>
      </c>
      <c r="CF104" s="7">
        <f>SUMIFS('fuels and tailpipe emissions'!$F$10:$F$126,'fuels and tailpipe emissions'!$A$10:$A$126,'vehicles specifications'!$F104,'fuels and tailpipe emissions'!$B$10:$B$126,'vehicles specifications'!CF$2)/1000*$AQ104</f>
        <v>3.0456834078468303E-10</v>
      </c>
      <c r="CG104" s="7">
        <f>SUMIFS('fuels and tailpipe emissions'!$F$10:$F$126,'fuels and tailpipe emissions'!$A$10:$A$126,'vehicles specifications'!$F104,'fuels and tailpipe emissions'!$B$10:$B$126,'vehicles specifications'!CG$2)/1000*$AQ104</f>
        <v>3.7485334250422529E-10</v>
      </c>
      <c r="CH104" s="7">
        <f>SUMIFS('fuels and tailpipe emissions'!$F$10:$F$126,'fuels and tailpipe emissions'!$A$10:$A$126,'vehicles specifications'!$F104,'fuels and tailpipe emissions'!$B$10:$B$126,'vehicles specifications'!CH$2)/1000*$AQ104</f>
        <v>7.4970668500845046E-13</v>
      </c>
      <c r="CI104" s="7">
        <f>SUMIFS('fuels and tailpipe emissions'!$F$10:$F$126,'fuels and tailpipe emissions'!$A$10:$A$126,'vehicles specifications'!$F104,'fuels and tailpipe emissions'!$B$10:$B$126,'vehicles specifications'!CI$2)/1000*$AQ104</f>
        <v>2.0382650498667249E-10</v>
      </c>
      <c r="CJ104" s="7">
        <f>SUMIFS('fuels and tailpipe emissions'!$F$10:$F$126,'fuels and tailpipe emissions'!$A$10:$A$126,'vehicles specifications'!$F104,'fuels and tailpipe emissions'!$B$10:$B$126,'vehicles specifications'!CJ$2)/1000*$AQ104</f>
        <v>2.5302600619035213E-10</v>
      </c>
      <c r="CK104" s="38">
        <f>VLOOKUP($B104,'abrasion emissions'!$O$7:$R$36,2,FALSE)</f>
        <v>0.5</v>
      </c>
      <c r="CL104" s="38">
        <f>VLOOKUP($B104,'abrasion emissions'!$O$7:$R$36,3,FALSE)</f>
        <v>0.5</v>
      </c>
      <c r="CM104" s="38">
        <f>VLOOKUP($B104,'abrasion emissions'!$O$7:$R$36,4,FALSE)</f>
        <v>0</v>
      </c>
      <c r="CN104" s="7">
        <f>((SUMIFS('abrasion emissions'!$M$7:$M$34,'abrasion emissions'!$I$7:$I$34,"PM 2.5",'abrasion emissions'!$J$7:$J$34,"urban",'abrasion emissions'!$K$7:$K$34,"Tyre",'abrasion emissions'!$L$7:$L$34,"b")*POWER(('vehicles specifications'!$Q104/1000),(1/SUMIFS('abrasion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specifications'!$P104/1000),(1/SUMIFS('abrasion emissions'!$M$7:$M$34,'abrasion emissions'!$I$7:$I$34,"PM 10",'abrasion emissions'!$J$7:$J$34,"urban",'abrasion emissions'!$K$7:$K$34,"Tyre",'abrasion emissions'!$L$7:$L$34,"c")))))/1000000</f>
        <v>6.4038293328569971E-6</v>
      </c>
      <c r="CO104" s="7">
        <f>((SUMIFS('abrasion emissions'!$M$7:$M$34,'abrasion emissions'!$I$7:$I$34,"PM 2.5",'abrasion emissions'!$J$7:$J$34,"rural",'abrasion emissions'!$K$7:$K$34,"Tyre",'abrasion emissions'!$L$7:$L$34,"b")*POWER(('vehicles specifications'!$Q104/1000),(1/SUMIFS('abrasion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specifications'!$P104/1000),(1/SUMIFS('abrasion emissions'!$M$7:$M$34,'abrasion emissions'!$I$7:$I$34,"PM 10",'abrasion emissions'!$J$7:$J$34,"rural",'abrasion emissions'!$K$7:$K$34,"Tyre",'abrasion emissions'!$L$7:$L$34,"c")))))/1000000</f>
        <v>4.9875539075107491E-6</v>
      </c>
      <c r="CP104" s="7">
        <f>((SUMIFS('abrasion emissions'!$M$7:$M$34,'abrasion emissions'!$I$7:$I$34,"PM 2.5",'abrasion emissions'!$J$7:$J$34,"motorway",'abrasion emissions'!$K$7:$K$34,"Tyre",'abrasion emissions'!$L$7:$L$34,"b")*POWER(('vehicles specifications'!$Q104/1000),(1/SUMIFS('abrasion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specifications'!$P104/1000),(1/SUMIFS('abrasion emissions'!$M$7:$M$34,'abrasion emissions'!$I$7:$I$34,"PM 10",'abrasion emissions'!$J$7:$J$34,"motorway",'abrasion emissions'!$K$7:$K$34,"Tyre",'abrasion emissions'!$L$7:$L$34,"c")))))/1000000</f>
        <v>4.2597421746792975E-6</v>
      </c>
      <c r="CQ104" s="7">
        <f>((SUMIFS('abrasion emissions'!$M$7:$M$34,'abrasion emissions'!$I$7:$I$34,"PM 2.5",'abrasion emissions'!$J$7:$J$34,"urban",'abrasion emissions'!$K$7:$K$34,"Brake",'abrasion emissions'!$L$7:$L$34,"b")*POWER(('vehicles specifications'!$Q104/1000),(1/SUMIFS('abrasion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specifications'!$P104/1000),(1/SUMIFS('abrasion emissions'!$M$7:$M$34,'abrasion emissions'!$I$7:$I$34,"PM 10",'abrasion emissions'!$J$7:$J$34,"urban",'abrasion emissions'!$K$7:$K$34,"Brake",'abrasion emissions'!$L$7:$L$34,"c")))))/1000000</f>
        <v>6.1415898207601093E-6</v>
      </c>
      <c r="CR104" s="7">
        <f>((SUMIFS('abrasion emissions'!$M$7:$M$34,'abrasion emissions'!$I$7:$I$34,"PM 2.5",'abrasion emissions'!$J$7:$J$34,"rural",'abrasion emissions'!$K$7:$K$34,"Brake",'abrasion emissions'!$L$7:$L$34,"b")*POWER(('vehicles specifications'!$Q104/1000),(1/SUMIFS('abrasion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specifications'!$P104/1000),(1/SUMIFS('abrasion emissions'!$M$7:$M$34,'abrasion emissions'!$I$7:$I$34,"PM 10",'abrasion emissions'!$J$7:$J$34,"rural",'abrasion emissions'!$K$7:$K$34,"Brake",'abrasion emissions'!$L$7:$L$34,"c")))))/1000000</f>
        <v>1.9979331412648386E-6</v>
      </c>
      <c r="CS104" s="7">
        <f>((SUMIFS('abrasion emissions'!$M$7:$M$34,'abrasion emissions'!$I$7:$I$34,"PM 2.5",'abrasion emissions'!$J$7:$J$34,"motorway",'abrasion emissions'!$K$7:$K$34,"Brake",'abrasion emissions'!$L$7:$L$34,"b")*POWER(('vehicles specifications'!$Q104/1000),(1/SUMIFS('abrasion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specifications'!$P104/1000),(1/SUMIFS('abrasion emissions'!$M$7:$M$34,'abrasion emissions'!$I$7:$I$34,"PM 10",'abrasion emissions'!$J$7:$J$34,"motorway",'abrasion emissions'!$K$7:$K$34,"Brake",'abrasion emissions'!$L$7:$L$34,"c")))))/1000000</f>
        <v>3.7291481521144681E-7</v>
      </c>
      <c r="CT104" s="7">
        <f>((SUMIFS('abrasion emissions'!$M$7:$M$38,'abrasion emissions'!$I$7:$I$38,"PM 2.5",'abrasion emissions'!$K$7:$K$38,"Re-susp.",'abrasion emissions'!$L$7:$L$38,"b")*POWER(('vehicles specifications'!$Q104/1000),(1/SUMIFS('abrasion emissions'!$M$7:$M$38,'abrasion emissions'!$I$7:$I$38,"PM 2.5",'abrasion emissions'!$K$7:$K$38,"Re-susp.",'abrasion emissions'!$L$7:$L$38,"c"))))+
(SUMIFS('abrasion emissions'!$M$7:$M$38,'abrasion emissions'!$I$7:$I$38,"PM 10",'abrasion emissions'!$K$7:$K$38,"Re-susp.",'abrasion emissions'!$L$7:$L$38,"b")*POWER(('vehicles specifications'!$Q104/1000),(1/SUMIFS('abrasion emissions'!$M$7:$M$38,'abrasion emissions'!$I$7:$I$38,"PM 10",'abrasion emissions'!$K$7:$K$38,"Re-susp.",'abrasion emissions'!$L$7:$L$38,"c")))))/1000000</f>
        <v>3.8922290378264043E-6</v>
      </c>
      <c r="CU104" s="7">
        <f>((SUMIFS('abrasion emissions'!$M$7:$M$38,'abrasion emissions'!$I$7:$I$38,"PM 2.5",'abrasion emissions'!$K$7:$K$38,"Road",'abrasion emissions'!$L$7:$L$38,"b")*POWER(('vehicles specifications'!$Q104/1000),(1/SUMIFS('abrasion emissions'!$M$7:$M$38,'abrasion emissions'!$I$7:$I$38,"PM 2.5",'abrasion emissions'!$K$7:$K$38,"Road",'abrasion emissions'!$L$7:$L$38,"c"))))+
(SUMIFS('abrasion emissions'!$M$7:$M$38,'abrasion emissions'!$I$7:$I$38,"PM 10",'abrasion emissions'!$K$7:$K$38,"Road",'abrasion emissions'!$L$7:$L$38,"b")*POWER(('vehicles specifications'!$Q104/1000),(1/SUMIFS('abrasion emissions'!$M$7:$M$38,'abrasion emissions'!$I$7:$I$38,"PM 10",'abrasion emissions'!$K$7:$K$38,"Road",'abrasion emissions'!$L$7:$L$38,"c")))))/1000000+CT104</f>
        <v>7.4446697179391853E-6</v>
      </c>
      <c r="CV104" s="7">
        <f t="shared" si="79"/>
        <v>5.6956916201838731E-6</v>
      </c>
      <c r="CW104" s="7">
        <f t="shared" si="80"/>
        <v>4.0697614810124742E-6</v>
      </c>
    </row>
    <row r="105" spans="1:101" x14ac:dyDescent="0.2">
      <c r="A105" t="str">
        <f t="shared" si="1"/>
        <v>Motorbike, gasoline, 4-11kW, EURO-5 - 2040 - CH</v>
      </c>
      <c r="B105" t="s">
        <v>415</v>
      </c>
      <c r="D105" s="18">
        <v>2040</v>
      </c>
      <c r="E105" t="s">
        <v>37</v>
      </c>
      <c r="F105" t="s">
        <v>141</v>
      </c>
      <c r="G105" t="s">
        <v>39</v>
      </c>
      <c r="H105" t="s">
        <v>35</v>
      </c>
      <c r="J105">
        <v>25000</v>
      </c>
      <c r="K105">
        <v>1776</v>
      </c>
      <c r="L105" s="2">
        <f t="shared" si="2"/>
        <v>14.076576576576576</v>
      </c>
      <c r="M105">
        <v>1.1000000000000001</v>
      </c>
      <c r="N105">
        <v>75</v>
      </c>
      <c r="O105">
        <v>6</v>
      </c>
      <c r="P105" s="2">
        <f t="shared" si="64"/>
        <v>115.728314484542</v>
      </c>
      <c r="Q105" s="2">
        <f t="shared" si="3"/>
        <v>204.22831448454201</v>
      </c>
      <c r="R105">
        <v>9</v>
      </c>
      <c r="S105" s="2">
        <v>65.433826960328489</v>
      </c>
      <c r="T105" s="1">
        <v>0.05</v>
      </c>
      <c r="U105" s="2">
        <f t="shared" si="105"/>
        <v>62.162135612312063</v>
      </c>
      <c r="V105" s="2">
        <f t="shared" si="107"/>
        <v>45.803678872229938</v>
      </c>
      <c r="W105" s="2">
        <v>0</v>
      </c>
      <c r="X105" s="3">
        <v>0</v>
      </c>
      <c r="Y105" s="1">
        <v>0.8</v>
      </c>
      <c r="Z105" s="3">
        <f t="shared" si="5"/>
        <v>0</v>
      </c>
      <c r="AA105" s="3" t="str">
        <f>IF(I105&lt;&gt;"",X105/INDEX('energy battery'!$B$3:$D$6,MATCH('vehicles specifications'!$D105,'energy battery'!$A$3:$A$6,0),MATCH('vehicles specifications'!$I105,'energy battery'!$B$2:$D$2,0)),"")</f>
        <v/>
      </c>
      <c r="AB105" s="3" t="str">
        <f t="shared" si="6"/>
        <v/>
      </c>
      <c r="AC105" s="3" t="str">
        <f t="shared" si="7"/>
        <v/>
      </c>
      <c r="AD105" s="3">
        <v>0</v>
      </c>
      <c r="AE105" s="3">
        <v>9</v>
      </c>
      <c r="AF105">
        <f>AE105*'fuels and tailpipe emissions'!$B$3</f>
        <v>6.75</v>
      </c>
      <c r="AG105" s="2">
        <f>AF105*'fuels and tailpipe emissions'!$C$3</f>
        <v>79.875</v>
      </c>
      <c r="AH105" s="3">
        <f t="shared" si="106"/>
        <v>1.0125</v>
      </c>
      <c r="AI105" s="3">
        <v>0</v>
      </c>
      <c r="AJ105" s="3">
        <v>0</v>
      </c>
      <c r="AK105">
        <f t="shared" si="67"/>
        <v>1</v>
      </c>
      <c r="AL105">
        <f t="shared" si="65"/>
        <v>1.0967060487819905E-4</v>
      </c>
      <c r="AM105">
        <v>1.2899999999999999E-3</v>
      </c>
      <c r="AN105" s="2">
        <f t="shared" si="9"/>
        <v>62.162135612312063</v>
      </c>
      <c r="AO105" s="2">
        <f t="shared" si="10"/>
        <v>45.803678872229938</v>
      </c>
      <c r="AP105" s="2" t="str">
        <f t="shared" si="11"/>
        <v/>
      </c>
      <c r="AQ105" s="6">
        <v>0.9857471491165799</v>
      </c>
      <c r="AR105" s="20">
        <v>1.2E-2</v>
      </c>
      <c r="AS105" s="6" t="str">
        <f>IF($H105="BEV",SUMPRODUCT(#REF!,#REF!),"")</f>
        <v/>
      </c>
      <c r="AT105" s="2">
        <f t="shared" si="78"/>
        <v>291.70766586309725</v>
      </c>
      <c r="AU105" s="5">
        <f>IF($H105="ICEV-p",$AQ105/('fuels and tailpipe emissions'!$C$3*3.6)*'fuels and tailpipe emissions'!$D$3,"")*(1-AR105)</f>
        <v>7.1786457644303941E-2</v>
      </c>
      <c r="AV105" s="5">
        <f>IF($H105="ICEV-p",$AQ105/('fuels and tailpipe emissions'!$C$3*3.6)*'fuels and tailpipe emissions'!$D$3,"")*AR105</f>
        <v>8.7190029527494674E-4</v>
      </c>
      <c r="AW105" s="7">
        <f>IF($H105="ICEV-p",$AQ105/('fuels and tailpipe emissions'!$C$3*3.6)*'fuels and tailpipe emissions'!$E$3,"")</f>
        <v>3.7023367102970135E-7</v>
      </c>
      <c r="AX105" s="7">
        <f>SUMIFS('fuels and tailpipe emissions'!$F$10:$F$126,'fuels and tailpipe emissions'!$A$10:$A$126,'vehicles specifications'!$F105,'fuels and tailpipe emissions'!$B$10:$B$126,'vehicles specifications'!AX$2)/1000*$AQ105</f>
        <v>2.9430983328031398E-6</v>
      </c>
      <c r="AY105" s="7">
        <f>SUMIFS('fuels and tailpipe emissions'!$F$10:$F$126,'fuels and tailpipe emissions'!$A$10:$A$126,'vehicles specifications'!$F105,'fuels and tailpipe emissions'!$B$10:$B$126,'vehicles specifications'!AY$2)/1000*$AQ105</f>
        <v>5.4634644234879682E-5</v>
      </c>
      <c r="AZ105" s="7">
        <f>SUMIFS('fuels and tailpipe emissions'!$F$10:$F$126,'fuels and tailpipe emissions'!$A$10:$A$126,'vehicles specifications'!$F105,'fuels and tailpipe emissions'!$B$10:$B$126,'vehicles specifications'!AZ$2)/1000*$AQ105</f>
        <v>6.982460007876497E-4</v>
      </c>
      <c r="BA105" s="7">
        <f>SUMIFS('fuels and tailpipe emissions'!$F$10:$F$126,'fuels and tailpipe emissions'!$A$10:$A$126,'vehicles specifications'!$F105,'fuels and tailpipe emissions'!$B$10:$B$126,'vehicles specifications'!BA$2)/1000*$AQ105</f>
        <v>1.9512372941028455E-6</v>
      </c>
      <c r="BB105" s="7">
        <f>SUMIFS('fuels and tailpipe emissions'!$F$10:$F$126,'fuels and tailpipe emissions'!$A$10:$A$126,'vehicles specifications'!$F105,'fuels and tailpipe emissions'!$B$10:$B$126,'vehicles specifications'!BB$2)/1000*$AQ105</f>
        <v>1.9512372941028455E-6</v>
      </c>
      <c r="BC105" s="7">
        <f>SUMIFS('fuels and tailpipe emissions'!$F$10:$F$126,'fuels and tailpipe emissions'!$A$10:$A$126,'vehicles specifications'!$F105,'fuels and tailpipe emissions'!$B$10:$B$126,'vehicles specifications'!BC$2)/1000*$AQ105</f>
        <v>1.795103735793305E-5</v>
      </c>
      <c r="BD105" s="7">
        <f>SUMIFS('fuels and tailpipe emissions'!$F$10:$F$126,'fuels and tailpipe emissions'!$A$10:$A$126,'vehicles specifications'!$F105,'fuels and tailpipe emissions'!$B$10:$B$126,'vehicles specifications'!BD$2)/1000*$AQ105</f>
        <v>4.8780932352571135E-6</v>
      </c>
      <c r="BE105" s="7">
        <f>SUMIFS('fuels and tailpipe emissions'!$F$10:$F$126,'fuels and tailpipe emissions'!$A$10:$A$126,'vehicles specifications'!$F105,'fuels and tailpipe emissions'!$B$10:$B$126,'vehicles specifications'!BE$2)/1000*$AQ105</f>
        <v>2.3733648587524791E-5</v>
      </c>
      <c r="BF105" s="7">
        <f>SUMIFS('fuels and tailpipe emissions'!$F$10:$F$126,'fuels and tailpipe emissions'!$A$10:$A$126,'vehicles specifications'!$F105,'fuels and tailpipe emissions'!$B$10:$B$126,'vehicles specifications'!BF$2)/1000*$AQ105</f>
        <v>1.6735265029664914E-6</v>
      </c>
      <c r="BG105" s="7">
        <f>SUMIFS('fuels and tailpipe emissions'!$F$10:$F$126,'fuels and tailpipe emissions'!$A$10:$A$126,'vehicles specifications'!$F105,'fuels and tailpipe emissions'!$B$10:$B$126,'vehicles specifications'!BG$2)/1000*$AQ105</f>
        <v>3.4100069809662051E-7</v>
      </c>
      <c r="BH105" s="7">
        <f>SUMIFS('fuels and tailpipe emissions'!$F$10:$F$126,'fuels and tailpipe emissions'!$A$10:$A$126,'vehicles specifications'!$F105,'fuels and tailpipe emissions'!$B$10:$B$126,'vehicles specifications'!BH$2)/1000*$AQ105</f>
        <v>2.7489902431173722E-6</v>
      </c>
      <c r="BI105" s="7">
        <f>SUMIFS('fuels and tailpipe emissions'!$F$10:$F$126,'fuels and tailpipe emissions'!$A$10:$A$126,'vehicles specifications'!$F105,'fuels and tailpipe emissions'!$B$10:$B$126,'vehicles specifications'!BI$2)/1000*$AQ105</f>
        <v>1.1279253860118987E-6</v>
      </c>
      <c r="BJ105" s="7">
        <f>SUMIFS('fuels and tailpipe emissions'!$F$10:$F$126,'fuels and tailpipe emissions'!$A$10:$A$126,'vehicles specifications'!$F105,'fuels and tailpipe emissions'!$B$10:$B$126,'vehicles specifications'!BJ$2)/1000*$AQ105</f>
        <v>8.4463249836239867E-7</v>
      </c>
      <c r="BK105" s="7">
        <f>SUMIFS('fuels and tailpipe emissions'!$F$10:$F$126,'fuels and tailpipe emissions'!$A$10:$A$126,'vehicles specifications'!$F105,'fuels and tailpipe emissions'!$B$10:$B$126,'vehicles specifications'!BK$2)/1000*$AQ105</f>
        <v>5.9806276281561148E-7</v>
      </c>
      <c r="BL105" s="7">
        <f>SUMIFS('fuels and tailpipe emissions'!$F$10:$F$126,'fuels and tailpipe emissions'!$A$10:$A$126,'vehicles specifications'!$F105,'fuels and tailpipe emissions'!$B$10:$B$126,'vehicles specifications'!BL$2)/1000*$AQ105</f>
        <v>3.8821617937153727E-7</v>
      </c>
      <c r="BM105" s="7">
        <f>SUMIFS('fuels and tailpipe emissions'!$F$10:$F$126,'fuels and tailpipe emissions'!$A$10:$A$126,'vehicles specifications'!$F105,'fuels and tailpipe emissions'!$B$10:$B$126,'vehicles specifications'!BM$2)/1000*$AQ105</f>
        <v>3.8297001478543544E-6</v>
      </c>
      <c r="BN105" s="7">
        <f>SUMIFS('fuels and tailpipe emissions'!$F$10:$F$126,'fuels and tailpipe emissions'!$A$10:$A$126,'vehicles specifications'!$F105,'fuels and tailpipe emissions'!$B$10:$B$126,'vehicles specifications'!BN$2)/1000*$AQ105</f>
        <v>2.0040348718909082E-6</v>
      </c>
      <c r="BO105" s="7">
        <f>SUMIFS('fuels and tailpipe emissions'!$F$10:$F$126,'fuels and tailpipe emissions'!$A$10:$A$126,'vehicles specifications'!$F105,'fuels and tailpipe emissions'!$B$10:$B$126,'vehicles specifications'!BO$2)/1000*$AQ105</f>
        <v>5.7707810447120405E-8</v>
      </c>
      <c r="BP105" s="7">
        <f>SUMIFS('fuels and tailpipe emissions'!$F$10:$F$126,'fuels and tailpipe emissions'!$A$10:$A$126,'vehicles specifications'!$F105,'fuels and tailpipe emissions'!$B$10:$B$126,'vehicles specifications'!BP$2)/1000*$AQ105</f>
        <v>2.9430983328031398E-6</v>
      </c>
      <c r="BQ105" s="7">
        <f>SUMIFS('fuels and tailpipe emissions'!$F$10:$F$126,'fuels and tailpipe emissions'!$A$10:$A$126,'vehicles specifications'!$F105,'fuels and tailpipe emissions'!$B$10:$B$126,'vehicles specifications'!BQ$2)/1000*$AQ105</f>
        <v>5.7602887155398365E-6</v>
      </c>
      <c r="BR105" s="7">
        <f>SUMIFS('fuels and tailpipe emissions'!$F$10:$F$126,'fuels and tailpipe emissions'!$A$10:$A$126,'vehicles specifications'!$F105,'fuels and tailpipe emissions'!$B$10:$B$126,'vehicles specifications'!BR$2)/1000*$AQ105</f>
        <v>2.8486673702533073E-6</v>
      </c>
      <c r="BS105" s="7">
        <f>SUMIFS('fuels and tailpipe emissions'!$F$10:$F$126,'fuels and tailpipe emissions'!$A$10:$A$126,'vehicles specifications'!$F105,'fuels and tailpipe emissions'!$B$10:$B$126,'vehicles specifications'!BS$2)/1000*$AQ105</f>
        <v>1.1856331964590191E-6</v>
      </c>
      <c r="BT105" s="7">
        <f>SUMIFS('fuels and tailpipe emissions'!$F$10:$F$126,'fuels and tailpipe emissions'!$A$10:$A$126,'vehicles specifications'!$F105,'fuels and tailpipe emissions'!$B$10:$B$126,'vehicles specifications'!BT$2)/1000*$AQ105</f>
        <v>8.9184797963731528E-7</v>
      </c>
      <c r="BU105" s="7">
        <f>SUMIFS('fuels and tailpipe emissions'!$F$10:$F$126,'fuels and tailpipe emissions'!$A$10:$A$126,'vehicles specifications'!$F105,'fuels and tailpipe emissions'!$B$10:$B$126,'vehicles specifications'!BU$2)/1000*$AQ105</f>
        <v>3.9346234395763905E-7</v>
      </c>
      <c r="BV105" s="7">
        <f>SUMIFS('fuels and tailpipe emissions'!$F$10:$F$126,'fuels and tailpipe emissions'!$A$10:$A$126,'vehicles specifications'!$F105,'fuels and tailpipe emissions'!$B$10:$B$126,'vehicles specifications'!BV$2)/1000*$AQ105</f>
        <v>1.1541562089424081E-7</v>
      </c>
      <c r="BW105" s="7">
        <f>SUMIFS('fuels and tailpipe emissions'!$F$10:$F$126,'fuels and tailpipe emissions'!$A$10:$A$126,'vehicles specifications'!$F105,'fuels and tailpipe emissions'!$B$10:$B$126,'vehicles specifications'!BW$2)/1000*$AQ105</f>
        <v>3.2001603975221312E-7</v>
      </c>
      <c r="BX105" s="7">
        <f>SUMIFS('fuels and tailpipe emissions'!$F$10:$F$126,'fuels and tailpipe emissions'!$A$10:$A$126,'vehicles specifications'!$F105,'fuels and tailpipe emissions'!$B$10:$B$126,'vehicles specifications'!BX$2)/1000*$AQ105</f>
        <v>0</v>
      </c>
      <c r="BY105" s="7">
        <f>SUMIFS('fuels and tailpipe emissions'!$F$10:$F$126,'fuels and tailpipe emissions'!$A$10:$A$126,'vehicles specifications'!$F105,'fuels and tailpipe emissions'!$B$10:$B$126,'vehicles specifications'!BY$2)/1000*$AQ105</f>
        <v>9.9677127135935233E-8</v>
      </c>
      <c r="BZ105" s="7">
        <f>SUMIFS('fuels and tailpipe emissions'!$F$10:$F$126,'fuels and tailpipe emissions'!$A$10:$A$126,'vehicles specifications'!$F105,'fuels and tailpipe emissions'!$B$10:$B$126,'vehicles specifications'!BZ$2)/1000*$AQ105</f>
        <v>5.2986262319628733E-7</v>
      </c>
      <c r="CA105" s="7">
        <f>SUMIFS('fuels and tailpipe emissions'!$F$10:$F$126,'fuels and tailpipe emissions'!$A$10:$A$126,'vehicles specifications'!$F105,'fuels and tailpipe emissions'!$B$10:$B$126,'vehicles specifications'!CA$2)/1000*$AQ105</f>
        <v>8.0715295974722312E-10</v>
      </c>
      <c r="CB105" s="7">
        <f>SUMIFS('fuels and tailpipe emissions'!$F$10:$F$126,'fuels and tailpipe emissions'!$A$10:$A$126,'vehicles specifications'!$F105,'fuels and tailpipe emissions'!$B$10:$B$126,'vehicles specifications'!CB$2)/1000*$AQ105</f>
        <v>6.9582151702346818E-12</v>
      </c>
      <c r="CC105" s="7">
        <f>SUMIFS('fuels and tailpipe emissions'!$F$10:$F$126,'fuels and tailpipe emissions'!$A$10:$A$126,'vehicles specifications'!$F105,'fuels and tailpipe emissions'!$B$10:$B$126,'vehicles specifications'!CC$2)/1000*$AQ105</f>
        <v>4.6388101134897876E-12</v>
      </c>
      <c r="CD105" s="7">
        <f>SUMIFS('fuels and tailpipe emissions'!$F$10:$F$126,'fuels and tailpipe emissions'!$A$10:$A$126,'vehicles specifications'!$F105,'fuels and tailpipe emissions'!$B$10:$B$126,'vehicles specifications'!CD$2)/1000*$AQ105</f>
        <v>5.0099149225689714E-8</v>
      </c>
      <c r="CE105" s="7">
        <f>SUMIFS('fuels and tailpipe emissions'!$F$10:$F$126,'fuels and tailpipe emissions'!$A$10:$A$126,'vehicles specifications'!$F105,'fuels and tailpipe emissions'!$B$10:$B$126,'vehicles specifications'!CE$2)/1000*$AQ105</f>
        <v>9.7415012383285542E-10</v>
      </c>
      <c r="CF105" s="7">
        <f>SUMIFS('fuels and tailpipe emissions'!$F$10:$F$126,'fuels and tailpipe emissions'!$A$10:$A$126,'vehicles specifications'!$F105,'fuels and tailpipe emissions'!$B$10:$B$126,'vehicles specifications'!CF$2)/1000*$AQ105</f>
        <v>3.0152265737683623E-10</v>
      </c>
      <c r="CG105" s="7">
        <f>SUMIFS('fuels and tailpipe emissions'!$F$10:$F$126,'fuels and tailpipe emissions'!$A$10:$A$126,'vehicles specifications'!$F105,'fuels and tailpipe emissions'!$B$10:$B$126,'vehicles specifications'!CG$2)/1000*$AQ105</f>
        <v>3.7110480907918307E-10</v>
      </c>
      <c r="CH105" s="7">
        <f>SUMIFS('fuels and tailpipe emissions'!$F$10:$F$126,'fuels and tailpipe emissions'!$A$10:$A$126,'vehicles specifications'!$F105,'fuels and tailpipe emissions'!$B$10:$B$126,'vehicles specifications'!CH$2)/1000*$AQ105</f>
        <v>7.4220961815836594E-13</v>
      </c>
      <c r="CI105" s="7">
        <f>SUMIFS('fuels and tailpipe emissions'!$F$10:$F$126,'fuels and tailpipe emissions'!$A$10:$A$126,'vehicles specifications'!$F105,'fuels and tailpipe emissions'!$B$10:$B$126,'vehicles specifications'!CI$2)/1000*$AQ105</f>
        <v>2.0178823993680578E-10</v>
      </c>
      <c r="CJ105" s="7">
        <f>SUMIFS('fuels and tailpipe emissions'!$F$10:$F$126,'fuels and tailpipe emissions'!$A$10:$A$126,'vehicles specifications'!$F105,'fuels and tailpipe emissions'!$B$10:$B$126,'vehicles specifications'!CJ$2)/1000*$AQ105</f>
        <v>2.5049574612844861E-10</v>
      </c>
      <c r="CK105" s="38">
        <f>VLOOKUP($B105,'abrasion emissions'!$O$7:$R$36,2,FALSE)</f>
        <v>0.5</v>
      </c>
      <c r="CL105" s="38">
        <f>VLOOKUP($B105,'abrasion emissions'!$O$7:$R$36,3,FALSE)</f>
        <v>0.5</v>
      </c>
      <c r="CM105" s="38">
        <f>VLOOKUP($B105,'abrasion emissions'!$O$7:$R$36,4,FALSE)</f>
        <v>0</v>
      </c>
      <c r="CN105" s="7">
        <f>((SUMIFS('abrasion emissions'!$M$7:$M$34,'abrasion emissions'!$I$7:$I$34,"PM 2.5",'abrasion emissions'!$J$7:$J$34,"urban",'abrasion emissions'!$K$7:$K$34,"Tyre",'abrasion emissions'!$L$7:$L$34,"b")*POWER(('vehicles specifications'!$Q105/1000),(1/SUMIFS('abrasion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specifications'!$P105/1000),(1/SUMIFS('abrasion emissions'!$M$7:$M$34,'abrasion emissions'!$I$7:$I$34,"PM 10",'abrasion emissions'!$J$7:$J$34,"urban",'abrasion emissions'!$K$7:$K$34,"Tyre",'abrasion emissions'!$L$7:$L$34,"c")))))/1000000</f>
        <v>6.381268355654537E-6</v>
      </c>
      <c r="CO105" s="7">
        <f>((SUMIFS('abrasion emissions'!$M$7:$M$34,'abrasion emissions'!$I$7:$I$34,"PM 2.5",'abrasion emissions'!$J$7:$J$34,"rural",'abrasion emissions'!$K$7:$K$34,"Tyre",'abrasion emissions'!$L$7:$L$34,"b")*POWER(('vehicles specifications'!$Q105/1000),(1/SUMIFS('abrasion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specifications'!$P105/1000),(1/SUMIFS('abrasion emissions'!$M$7:$M$34,'abrasion emissions'!$I$7:$I$34,"PM 10",'abrasion emissions'!$J$7:$J$34,"rural",'abrasion emissions'!$K$7:$K$34,"Tyre",'abrasion emissions'!$L$7:$L$34,"c")))))/1000000</f>
        <v>4.9699968262210205E-6</v>
      </c>
      <c r="CP105" s="7">
        <f>((SUMIFS('abrasion emissions'!$M$7:$M$34,'abrasion emissions'!$I$7:$I$34,"PM 2.5",'abrasion emissions'!$J$7:$J$34,"motorway",'abrasion emissions'!$K$7:$K$34,"Tyre",'abrasion emissions'!$L$7:$L$34,"b")*POWER(('vehicles specifications'!$Q105/1000),(1/SUMIFS('abrasion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specifications'!$P105/1000),(1/SUMIFS('abrasion emissions'!$M$7:$M$34,'abrasion emissions'!$I$7:$I$34,"PM 10",'abrasion emissions'!$J$7:$J$34,"motorway",'abrasion emissions'!$K$7:$K$34,"Tyre",'abrasion emissions'!$L$7:$L$34,"c")))))/1000000</f>
        <v>4.2447829930550182E-6</v>
      </c>
      <c r="CQ105" s="7">
        <f>((SUMIFS('abrasion emissions'!$M$7:$M$34,'abrasion emissions'!$I$7:$I$34,"PM 2.5",'abrasion emissions'!$J$7:$J$34,"urban",'abrasion emissions'!$K$7:$K$34,"Brake",'abrasion emissions'!$L$7:$L$34,"b")*POWER(('vehicles specifications'!$Q105/1000),(1/SUMIFS('abrasion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specifications'!$P105/1000),(1/SUMIFS('abrasion emissions'!$M$7:$M$34,'abrasion emissions'!$I$7:$I$34,"PM 10",'abrasion emissions'!$J$7:$J$34,"urban",'abrasion emissions'!$K$7:$K$34,"Brake",'abrasion emissions'!$L$7:$L$34,"c")))))/1000000</f>
        <v>6.1175220076877672E-6</v>
      </c>
      <c r="CR105" s="7">
        <f>((SUMIFS('abrasion emissions'!$M$7:$M$34,'abrasion emissions'!$I$7:$I$34,"PM 2.5",'abrasion emissions'!$J$7:$J$34,"rural",'abrasion emissions'!$K$7:$K$34,"Brake",'abrasion emissions'!$L$7:$L$34,"b")*POWER(('vehicles specifications'!$Q105/1000),(1/SUMIFS('abrasion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specifications'!$P105/1000),(1/SUMIFS('abrasion emissions'!$M$7:$M$34,'abrasion emissions'!$I$7:$I$34,"PM 10",'abrasion emissions'!$J$7:$J$34,"rural",'abrasion emissions'!$K$7:$K$34,"Brake",'abrasion emissions'!$L$7:$L$34,"c")))))/1000000</f>
        <v>1.9880569676362356E-6</v>
      </c>
      <c r="CS105" s="7">
        <f>((SUMIFS('abrasion emissions'!$M$7:$M$34,'abrasion emissions'!$I$7:$I$34,"PM 2.5",'abrasion emissions'!$J$7:$J$34,"motorway",'abrasion emissions'!$K$7:$K$34,"Brake",'abrasion emissions'!$L$7:$L$34,"b")*POWER(('vehicles specifications'!$Q105/1000),(1/SUMIFS('abrasion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specifications'!$P105/1000),(1/SUMIFS('abrasion emissions'!$M$7:$M$34,'abrasion emissions'!$I$7:$I$34,"PM 10",'abrasion emissions'!$J$7:$J$34,"motorway",'abrasion emissions'!$K$7:$K$34,"Brake",'abrasion emissions'!$L$7:$L$34,"c")))))/1000000</f>
        <v>3.7080198811768085E-7</v>
      </c>
      <c r="CT105" s="7">
        <f>((SUMIFS('abrasion emissions'!$M$7:$M$38,'abrasion emissions'!$I$7:$I$38,"PM 2.5",'abrasion emissions'!$K$7:$K$38,"Re-susp.",'abrasion emissions'!$L$7:$L$38,"b")*POWER(('vehicles specifications'!$Q105/1000),(1/SUMIFS('abrasion emissions'!$M$7:$M$38,'abrasion emissions'!$I$7:$I$38,"PM 2.5",'abrasion emissions'!$K$7:$K$38,"Re-susp.",'abrasion emissions'!$L$7:$L$38,"c"))))+
(SUMIFS('abrasion emissions'!$M$7:$M$38,'abrasion emissions'!$I$7:$I$38,"PM 10",'abrasion emissions'!$K$7:$K$38,"Re-susp.",'abrasion emissions'!$L$7:$L$38,"b")*POWER(('vehicles specifications'!$Q105/1000),(1/SUMIFS('abrasion emissions'!$M$7:$M$38,'abrasion emissions'!$I$7:$I$38,"PM 10",'abrasion emissions'!$K$7:$K$38,"Re-susp.",'abrasion emissions'!$L$7:$L$38,"c")))))/1000000</f>
        <v>3.8696931853850677E-6</v>
      </c>
      <c r="CU105" s="7">
        <f>((SUMIFS('abrasion emissions'!$M$7:$M$38,'abrasion emissions'!$I$7:$I$38,"PM 2.5",'abrasion emissions'!$K$7:$K$38,"Road",'abrasion emissions'!$L$7:$L$38,"b")*POWER(('vehicles specifications'!$Q105/1000),(1/SUMIFS('abrasion emissions'!$M$7:$M$38,'abrasion emissions'!$I$7:$I$38,"PM 2.5",'abrasion emissions'!$K$7:$K$38,"Road",'abrasion emissions'!$L$7:$L$38,"c"))))+
(SUMIFS('abrasion emissions'!$M$7:$M$38,'abrasion emissions'!$I$7:$I$38,"PM 10",'abrasion emissions'!$K$7:$K$38,"Road",'abrasion emissions'!$L$7:$L$38,"b")*POWER(('vehicles specifications'!$Q105/1000),(1/SUMIFS('abrasion emissions'!$M$7:$M$38,'abrasion emissions'!$I$7:$I$38,"PM 10",'abrasion emissions'!$K$7:$K$38,"Road",'abrasion emissions'!$L$7:$L$38,"c")))))/1000000+CT105</f>
        <v>7.4070386322459766E-6</v>
      </c>
      <c r="CV105" s="7">
        <f t="shared" si="79"/>
        <v>5.6756325909377783E-6</v>
      </c>
      <c r="CW105" s="7">
        <f t="shared" si="80"/>
        <v>4.0527894876620012E-6</v>
      </c>
    </row>
    <row r="106" spans="1:101" x14ac:dyDescent="0.2">
      <c r="A106" t="str">
        <f t="shared" si="1"/>
        <v>Motorbike, gasoline, 4-11kW, EURO-5 - 2050 - CH</v>
      </c>
      <c r="B106" t="s">
        <v>415</v>
      </c>
      <c r="D106" s="18">
        <v>2050</v>
      </c>
      <c r="E106" t="s">
        <v>37</v>
      </c>
      <c r="F106" t="s">
        <v>141</v>
      </c>
      <c r="G106" t="s">
        <v>39</v>
      </c>
      <c r="H106" t="s">
        <v>35</v>
      </c>
      <c r="J106">
        <v>25000</v>
      </c>
      <c r="K106">
        <v>1776</v>
      </c>
      <c r="L106" s="2">
        <f t="shared" ref="L106:L166" si="108">J106/K106</f>
        <v>14.076576576576576</v>
      </c>
      <c r="M106">
        <v>1.1000000000000001</v>
      </c>
      <c r="N106">
        <v>75</v>
      </c>
      <c r="O106">
        <v>6</v>
      </c>
      <c r="P106" s="2">
        <f t="shared" si="64"/>
        <v>114.41963794533542</v>
      </c>
      <c r="Q106" s="2">
        <f t="shared" ref="Q106:Q166" si="109">P106+(M106*N106)+O106</f>
        <v>202.91963794533541</v>
      </c>
      <c r="R106">
        <v>9</v>
      </c>
      <c r="S106" s="2">
        <v>65.433826960328489</v>
      </c>
      <c r="T106" s="1">
        <v>7.0000000000000007E-2</v>
      </c>
      <c r="U106" s="2">
        <f t="shared" si="105"/>
        <v>60.853459073105491</v>
      </c>
      <c r="V106" s="2">
        <f t="shared" si="107"/>
        <v>45.803678872229938</v>
      </c>
      <c r="W106" s="2">
        <v>0</v>
      </c>
      <c r="X106" s="3">
        <v>0</v>
      </c>
      <c r="Y106" s="1">
        <v>0.8</v>
      </c>
      <c r="Z106" s="3">
        <f t="shared" ref="Z106:Z166" si="110">Y106*X106</f>
        <v>0</v>
      </c>
      <c r="AA106" s="3" t="str">
        <f>IF(I106&lt;&gt;"",X106/INDEX('energy battery'!$B$3:$D$6,MATCH('vehicles specifications'!$D106,'energy battery'!$A$3:$A$6,0),MATCH('vehicles specifications'!$I106,'energy battery'!$B$2:$D$2,0)),"")</f>
        <v/>
      </c>
      <c r="AB106" s="3" t="str">
        <f t="shared" si="6"/>
        <v/>
      </c>
      <c r="AC106" s="3" t="str">
        <f t="shared" si="7"/>
        <v/>
      </c>
      <c r="AD106" s="3">
        <v>0</v>
      </c>
      <c r="AE106" s="3">
        <v>9</v>
      </c>
      <c r="AF106">
        <f>AE106*'fuels and tailpipe emissions'!$B$3</f>
        <v>6.75</v>
      </c>
      <c r="AG106" s="2">
        <f>AF106*'fuels and tailpipe emissions'!$C$3</f>
        <v>79.875</v>
      </c>
      <c r="AH106" s="3">
        <f t="shared" si="106"/>
        <v>1.0125</v>
      </c>
      <c r="AI106" s="3">
        <v>0</v>
      </c>
      <c r="AJ106" s="3">
        <v>0</v>
      </c>
      <c r="AK106">
        <f t="shared" si="67"/>
        <v>1</v>
      </c>
      <c r="AL106">
        <f t="shared" si="65"/>
        <v>1.0896784557664511E-4</v>
      </c>
      <c r="AM106">
        <v>1.2899999999999999E-3</v>
      </c>
      <c r="AN106" s="2">
        <f t="shared" ref="AN106:AN166" si="111">U106</f>
        <v>60.853459073105491</v>
      </c>
      <c r="AO106" s="2">
        <f t="shared" ref="AO106:AO166" si="112">SUM(V106:W106)</f>
        <v>45.803678872229938</v>
      </c>
      <c r="AP106" s="2" t="str">
        <f t="shared" ref="AP106:AP166" si="113">AC106</f>
        <v/>
      </c>
      <c r="AQ106" s="6">
        <v>0.97588967762541412</v>
      </c>
      <c r="AR106" s="20">
        <v>1.2E-2</v>
      </c>
      <c r="AS106" s="6" t="str">
        <f>IF($H106="BEV",SUMPRODUCT(#REF!,#REF!),"")</f>
        <v/>
      </c>
      <c r="AT106" s="2">
        <f t="shared" si="78"/>
        <v>294.65420794252248</v>
      </c>
      <c r="AU106" s="5">
        <f>IF($H106="ICEV-p",$AQ106/('fuels and tailpipe emissions'!$C$3*3.6)*'fuels and tailpipe emissions'!$D$3,"")*(1-AR106)</f>
        <v>7.1068593067860911E-2</v>
      </c>
      <c r="AV106" s="5">
        <f>IF($H106="ICEV-p",$AQ106/('fuels and tailpipe emissions'!$C$3*3.6)*'fuels and tailpipe emissions'!$D$3,"")*AR106</f>
        <v>8.6318129232219735E-4</v>
      </c>
      <c r="AW106" s="7">
        <f>IF($H106="ICEV-p",$AQ106/('fuels and tailpipe emissions'!$C$3*3.6)*'fuels and tailpipe emissions'!$E$3,"")</f>
        <v>3.6653133431940438E-7</v>
      </c>
      <c r="AX106" s="7">
        <f>SUMIFS('fuels and tailpipe emissions'!$F$10:$F$126,'fuels and tailpipe emissions'!$A$10:$A$126,'vehicles specifications'!$F106,'fuels and tailpipe emissions'!$B$10:$B$126,'vehicles specifications'!AX$2)/1000*$AQ106</f>
        <v>2.9136673494751086E-6</v>
      </c>
      <c r="AY106" s="7">
        <f>SUMIFS('fuels and tailpipe emissions'!$F$10:$F$126,'fuels and tailpipe emissions'!$A$10:$A$126,'vehicles specifications'!$F106,'fuels and tailpipe emissions'!$B$10:$B$126,'vehicles specifications'!AY$2)/1000*$AQ106</f>
        <v>5.4088297792530884E-5</v>
      </c>
      <c r="AZ106" s="7">
        <f>SUMIFS('fuels and tailpipe emissions'!$F$10:$F$126,'fuels and tailpipe emissions'!$A$10:$A$126,'vehicles specifications'!$F106,'fuels and tailpipe emissions'!$B$10:$B$126,'vehicles specifications'!AZ$2)/1000*$AQ106</f>
        <v>6.912635407797733E-4</v>
      </c>
      <c r="BA106" s="7">
        <f>SUMIFS('fuels and tailpipe emissions'!$F$10:$F$126,'fuels and tailpipe emissions'!$A$10:$A$126,'vehicles specifications'!$F106,'fuels and tailpipe emissions'!$B$10:$B$126,'vehicles specifications'!BA$2)/1000*$AQ106</f>
        <v>1.9317249211618169E-6</v>
      </c>
      <c r="BB106" s="7">
        <f>SUMIFS('fuels and tailpipe emissions'!$F$10:$F$126,'fuels and tailpipe emissions'!$A$10:$A$126,'vehicles specifications'!$F106,'fuels and tailpipe emissions'!$B$10:$B$126,'vehicles specifications'!BB$2)/1000*$AQ106</f>
        <v>1.9317249211618169E-6</v>
      </c>
      <c r="BC106" s="7">
        <f>SUMIFS('fuels and tailpipe emissions'!$F$10:$F$126,'fuels and tailpipe emissions'!$A$10:$A$126,'vehicles specifications'!$F106,'fuels and tailpipe emissions'!$B$10:$B$126,'vehicles specifications'!BC$2)/1000*$AQ106</f>
        <v>1.7771526984353721E-5</v>
      </c>
      <c r="BD106" s="7">
        <f>SUMIFS('fuels and tailpipe emissions'!$F$10:$F$126,'fuels and tailpipe emissions'!$A$10:$A$126,'vehicles specifications'!$F106,'fuels and tailpipe emissions'!$B$10:$B$126,'vehicles specifications'!BD$2)/1000*$AQ106</f>
        <v>4.8293123029045427E-6</v>
      </c>
      <c r="BE106" s="7">
        <f>SUMIFS('fuels and tailpipe emissions'!$F$10:$F$126,'fuels and tailpipe emissions'!$A$10:$A$126,'vehicles specifications'!$F106,'fuels and tailpipe emissions'!$B$10:$B$126,'vehicles specifications'!BE$2)/1000*$AQ106</f>
        <v>2.3496312101649541E-5</v>
      </c>
      <c r="BF106" s="7">
        <f>SUMIFS('fuels and tailpipe emissions'!$F$10:$F$126,'fuels and tailpipe emissions'!$A$10:$A$126,'vehicles specifications'!$F106,'fuels and tailpipe emissions'!$B$10:$B$126,'vehicles specifications'!BF$2)/1000*$AQ106</f>
        <v>1.6567912379368265E-6</v>
      </c>
      <c r="BG106" s="7">
        <f>SUMIFS('fuels and tailpipe emissions'!$F$10:$F$126,'fuels and tailpipe emissions'!$A$10:$A$126,'vehicles specifications'!$F106,'fuels and tailpipe emissions'!$B$10:$B$126,'vehicles specifications'!BG$2)/1000*$AQ106</f>
        <v>3.3759069111565431E-7</v>
      </c>
      <c r="BH106" s="7">
        <f>SUMIFS('fuels and tailpipe emissions'!$F$10:$F$126,'fuels and tailpipe emissions'!$A$10:$A$126,'vehicles specifications'!$F106,'fuels and tailpipe emissions'!$B$10:$B$126,'vehicles specifications'!BH$2)/1000*$AQ106</f>
        <v>2.7215003406861984E-6</v>
      </c>
      <c r="BI106" s="7">
        <f>SUMIFS('fuels and tailpipe emissions'!$F$10:$F$126,'fuels and tailpipe emissions'!$A$10:$A$126,'vehicles specifications'!$F106,'fuels and tailpipe emissions'!$B$10:$B$126,'vehicles specifications'!BI$2)/1000*$AQ106</f>
        <v>1.1166461321517797E-6</v>
      </c>
      <c r="BJ106" s="7">
        <f>SUMIFS('fuels and tailpipe emissions'!$F$10:$F$126,'fuels and tailpipe emissions'!$A$10:$A$126,'vehicles specifications'!$F106,'fuels and tailpipe emissions'!$B$10:$B$126,'vehicles specifications'!BJ$2)/1000*$AQ106</f>
        <v>8.3618617337877467E-7</v>
      </c>
      <c r="BK106" s="7">
        <f>SUMIFS('fuels and tailpipe emissions'!$F$10:$F$126,'fuels and tailpipe emissions'!$A$10:$A$126,'vehicles specifications'!$F106,'fuels and tailpipe emissions'!$B$10:$B$126,'vehicles specifications'!BK$2)/1000*$AQ106</f>
        <v>5.9208213518745539E-7</v>
      </c>
      <c r="BL106" s="7">
        <f>SUMIFS('fuels and tailpipe emissions'!$F$10:$F$126,'fuels and tailpipe emissions'!$A$10:$A$126,'vehicles specifications'!$F106,'fuels and tailpipe emissions'!$B$10:$B$126,'vehicles specifications'!BL$2)/1000*$AQ106</f>
        <v>3.8433401757782191E-7</v>
      </c>
      <c r="BM106" s="7">
        <f>SUMIFS('fuels and tailpipe emissions'!$F$10:$F$126,'fuels and tailpipe emissions'!$A$10:$A$126,'vehicles specifications'!$F106,'fuels and tailpipe emissions'!$B$10:$B$126,'vehicles specifications'!BM$2)/1000*$AQ106</f>
        <v>3.7914031463758107E-6</v>
      </c>
      <c r="BN106" s="7">
        <f>SUMIFS('fuels and tailpipe emissions'!$F$10:$F$126,'fuels and tailpipe emissions'!$A$10:$A$126,'vehicles specifications'!$F106,'fuels and tailpipe emissions'!$B$10:$B$126,'vehicles specifications'!BN$2)/1000*$AQ106</f>
        <v>1.9839945231719991E-6</v>
      </c>
      <c r="BO106" s="7">
        <f>SUMIFS('fuels and tailpipe emissions'!$F$10:$F$126,'fuels and tailpipe emissions'!$A$10:$A$126,'vehicles specifications'!$F106,'fuels and tailpipe emissions'!$B$10:$B$126,'vehicles specifications'!BO$2)/1000*$AQ106</f>
        <v>5.7130732342649204E-8</v>
      </c>
      <c r="BP106" s="7">
        <f>SUMIFS('fuels and tailpipe emissions'!$F$10:$F$126,'fuels and tailpipe emissions'!$A$10:$A$126,'vehicles specifications'!$F106,'fuels and tailpipe emissions'!$B$10:$B$126,'vehicles specifications'!BP$2)/1000*$AQ106</f>
        <v>2.9136673494751086E-6</v>
      </c>
      <c r="BQ106" s="7">
        <f>SUMIFS('fuels and tailpipe emissions'!$F$10:$F$126,'fuels and tailpipe emissions'!$A$10:$A$126,'vehicles specifications'!$F106,'fuels and tailpipe emissions'!$B$10:$B$126,'vehicles specifications'!BQ$2)/1000*$AQ106</f>
        <v>5.7026858283844389E-6</v>
      </c>
      <c r="BR106" s="7">
        <f>SUMIFS('fuels and tailpipe emissions'!$F$10:$F$126,'fuels and tailpipe emissions'!$A$10:$A$126,'vehicles specifications'!$F106,'fuels and tailpipe emissions'!$B$10:$B$126,'vehicles specifications'!BR$2)/1000*$AQ106</f>
        <v>2.8201806965507743E-6</v>
      </c>
      <c r="BS106" s="7">
        <f>SUMIFS('fuels and tailpipe emissions'!$F$10:$F$126,'fuels and tailpipe emissions'!$A$10:$A$126,'vehicles specifications'!$F106,'fuels and tailpipe emissions'!$B$10:$B$126,'vehicles specifications'!BS$2)/1000*$AQ106</f>
        <v>1.173776864494429E-6</v>
      </c>
      <c r="BT106" s="7">
        <f>SUMIFS('fuels and tailpipe emissions'!$F$10:$F$126,'fuels and tailpipe emissions'!$A$10:$A$126,'vehicles specifications'!$F106,'fuels and tailpipe emissions'!$B$10:$B$126,'vehicles specifications'!BT$2)/1000*$AQ106</f>
        <v>8.8292949984094216E-7</v>
      </c>
      <c r="BU106" s="7">
        <f>SUMIFS('fuels and tailpipe emissions'!$F$10:$F$126,'fuels and tailpipe emissions'!$A$10:$A$126,'vehicles specifications'!$F106,'fuels and tailpipe emissions'!$B$10:$B$126,'vehicles specifications'!BU$2)/1000*$AQ106</f>
        <v>3.8952772051806267E-7</v>
      </c>
      <c r="BV106" s="7">
        <f>SUMIFS('fuels and tailpipe emissions'!$F$10:$F$126,'fuels and tailpipe emissions'!$A$10:$A$126,'vehicles specifications'!$F106,'fuels and tailpipe emissions'!$B$10:$B$126,'vehicles specifications'!BV$2)/1000*$AQ106</f>
        <v>1.1426146468529841E-7</v>
      </c>
      <c r="BW106" s="7">
        <f>SUMIFS('fuels and tailpipe emissions'!$F$10:$F$126,'fuels and tailpipe emissions'!$A$10:$A$126,'vehicles specifications'!$F106,'fuels and tailpipe emissions'!$B$10:$B$126,'vehicles specifications'!BW$2)/1000*$AQ106</f>
        <v>3.16815879354691E-7</v>
      </c>
      <c r="BX106" s="7">
        <f>SUMIFS('fuels and tailpipe emissions'!$F$10:$F$126,'fuels and tailpipe emissions'!$A$10:$A$126,'vehicles specifications'!$F106,'fuels and tailpipe emissions'!$B$10:$B$126,'vehicles specifications'!BX$2)/1000*$AQ106</f>
        <v>0</v>
      </c>
      <c r="BY106" s="7">
        <f>SUMIFS('fuels and tailpipe emissions'!$F$10:$F$126,'fuels and tailpipe emissions'!$A$10:$A$126,'vehicles specifications'!$F106,'fuels and tailpipe emissions'!$B$10:$B$126,'vehicles specifications'!BY$2)/1000*$AQ106</f>
        <v>9.8680355864575885E-8</v>
      </c>
      <c r="BZ106" s="7">
        <f>SUMIFS('fuels and tailpipe emissions'!$F$10:$F$126,'fuels and tailpipe emissions'!$A$10:$A$126,'vehicles specifications'!$F106,'fuels and tailpipe emissions'!$B$10:$B$126,'vehicles specifications'!BZ$2)/1000*$AQ106</f>
        <v>5.2456399696432443E-7</v>
      </c>
      <c r="CA106" s="7">
        <f>SUMIFS('fuels and tailpipe emissions'!$F$10:$F$126,'fuels and tailpipe emissions'!$A$10:$A$126,'vehicles specifications'!$F106,'fuels and tailpipe emissions'!$B$10:$B$126,'vehicles specifications'!CA$2)/1000*$AQ106</f>
        <v>7.9908143014975087E-10</v>
      </c>
      <c r="CB106" s="7">
        <f>SUMIFS('fuels and tailpipe emissions'!$F$10:$F$126,'fuels and tailpipe emissions'!$A$10:$A$126,'vehicles specifications'!$F106,'fuels and tailpipe emissions'!$B$10:$B$126,'vehicles specifications'!CB$2)/1000*$AQ106</f>
        <v>6.8886330185323354E-12</v>
      </c>
      <c r="CC106" s="7">
        <f>SUMIFS('fuels and tailpipe emissions'!$F$10:$F$126,'fuels and tailpipe emissions'!$A$10:$A$126,'vehicles specifications'!$F106,'fuels and tailpipe emissions'!$B$10:$B$126,'vehicles specifications'!CC$2)/1000*$AQ106</f>
        <v>4.5924220123548903E-12</v>
      </c>
      <c r="CD106" s="7">
        <f>SUMIFS('fuels and tailpipe emissions'!$F$10:$F$126,'fuels and tailpipe emissions'!$A$10:$A$126,'vehicles specifications'!$F106,'fuels and tailpipe emissions'!$B$10:$B$126,'vehicles specifications'!CD$2)/1000*$AQ106</f>
        <v>4.9598157733432818E-8</v>
      </c>
      <c r="CE106" s="7">
        <f>SUMIFS('fuels and tailpipe emissions'!$F$10:$F$126,'fuels and tailpipe emissions'!$A$10:$A$126,'vehicles specifications'!$F106,'fuels and tailpipe emissions'!$B$10:$B$126,'vehicles specifications'!CE$2)/1000*$AQ106</f>
        <v>9.6440862259452689E-10</v>
      </c>
      <c r="CF106" s="7">
        <f>SUMIFS('fuels and tailpipe emissions'!$F$10:$F$126,'fuels and tailpipe emissions'!$A$10:$A$126,'vehicles specifications'!$F106,'fuels and tailpipe emissions'!$B$10:$B$126,'vehicles specifications'!CF$2)/1000*$AQ106</f>
        <v>2.9850743080306785E-10</v>
      </c>
      <c r="CG106" s="7">
        <f>SUMIFS('fuels and tailpipe emissions'!$F$10:$F$126,'fuels and tailpipe emissions'!$A$10:$A$126,'vehicles specifications'!$F106,'fuels and tailpipe emissions'!$B$10:$B$126,'vehicles specifications'!CG$2)/1000*$AQ106</f>
        <v>3.6739376098839125E-10</v>
      </c>
      <c r="CH106" s="7">
        <f>SUMIFS('fuels and tailpipe emissions'!$F$10:$F$126,'fuels and tailpipe emissions'!$A$10:$A$126,'vehicles specifications'!$F106,'fuels and tailpipe emissions'!$B$10:$B$126,'vehicles specifications'!CH$2)/1000*$AQ106</f>
        <v>7.3478752197678232E-13</v>
      </c>
      <c r="CI106" s="7">
        <f>SUMIFS('fuels and tailpipe emissions'!$F$10:$F$126,'fuels and tailpipe emissions'!$A$10:$A$126,'vehicles specifications'!$F106,'fuels and tailpipe emissions'!$B$10:$B$126,'vehicles specifications'!CI$2)/1000*$AQ106</f>
        <v>1.9977035753743772E-10</v>
      </c>
      <c r="CJ106" s="7">
        <f>SUMIFS('fuels and tailpipe emissions'!$F$10:$F$126,'fuels and tailpipe emissions'!$A$10:$A$126,'vehicles specifications'!$F106,'fuels and tailpipe emissions'!$B$10:$B$126,'vehicles specifications'!CJ$2)/1000*$AQ106</f>
        <v>2.4799078866716413E-10</v>
      </c>
      <c r="CK106" s="38">
        <f>VLOOKUP($B106,'abrasion emissions'!$O$7:$R$36,2,FALSE)</f>
        <v>0.5</v>
      </c>
      <c r="CL106" s="38">
        <f>VLOOKUP($B106,'abrasion emissions'!$O$7:$R$36,3,FALSE)</f>
        <v>0.5</v>
      </c>
      <c r="CM106" s="38">
        <f>VLOOKUP($B106,'abrasion emissions'!$O$7:$R$36,4,FALSE)</f>
        <v>0</v>
      </c>
      <c r="CN106" s="7">
        <f>((SUMIFS('abrasion emissions'!$M$7:$M$34,'abrasion emissions'!$I$7:$I$34,"PM 2.5",'abrasion emissions'!$J$7:$J$34,"urban",'abrasion emissions'!$K$7:$K$34,"Tyre",'abrasion emissions'!$L$7:$L$34,"b")*POWER(('vehicles specifications'!$Q106/1000),(1/SUMIFS('abrasion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specifications'!$P106/1000),(1/SUMIFS('abrasion emissions'!$M$7:$M$34,'abrasion emissions'!$I$7:$I$34,"PM 10",'abrasion emissions'!$J$7:$J$34,"urban",'abrasion emissions'!$K$7:$K$34,"Tyre",'abrasion emissions'!$L$7:$L$34,"c")))))/1000000</f>
        <v>6.3585945324260216E-6</v>
      </c>
      <c r="CO106" s="7">
        <f>((SUMIFS('abrasion emissions'!$M$7:$M$34,'abrasion emissions'!$I$7:$I$34,"PM 2.5",'abrasion emissions'!$J$7:$J$34,"rural",'abrasion emissions'!$K$7:$K$34,"Tyre",'abrasion emissions'!$L$7:$L$34,"b")*POWER(('vehicles specifications'!$Q106/1000),(1/SUMIFS('abrasion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specifications'!$P106/1000),(1/SUMIFS('abrasion emissions'!$M$7:$M$34,'abrasion emissions'!$I$7:$I$34,"PM 10",'abrasion emissions'!$J$7:$J$34,"rural",'abrasion emissions'!$K$7:$K$34,"Tyre",'abrasion emissions'!$L$7:$L$34,"c")))))/1000000</f>
        <v>4.9523520001257689E-6</v>
      </c>
      <c r="CP106" s="7">
        <f>((SUMIFS('abrasion emissions'!$M$7:$M$34,'abrasion emissions'!$I$7:$I$34,"PM 2.5",'abrasion emissions'!$J$7:$J$34,"motorway",'abrasion emissions'!$K$7:$K$34,"Tyre",'abrasion emissions'!$L$7:$L$34,"b")*POWER(('vehicles specifications'!$Q106/1000),(1/SUMIFS('abrasion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specifications'!$P106/1000),(1/SUMIFS('abrasion emissions'!$M$7:$M$34,'abrasion emissions'!$I$7:$I$34,"PM 10",'abrasion emissions'!$J$7:$J$34,"motorway",'abrasion emissions'!$K$7:$K$34,"Tyre",'abrasion emissions'!$L$7:$L$34,"c")))))/1000000</f>
        <v>4.2297492324994506E-6</v>
      </c>
      <c r="CQ106" s="7">
        <f>((SUMIFS('abrasion emissions'!$M$7:$M$34,'abrasion emissions'!$I$7:$I$34,"PM 2.5",'abrasion emissions'!$J$7:$J$34,"urban",'abrasion emissions'!$K$7:$K$34,"Brake",'abrasion emissions'!$L$7:$L$34,"b")*POWER(('vehicles specifications'!$Q106/1000),(1/SUMIFS('abrasion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specifications'!$P106/1000),(1/SUMIFS('abrasion emissions'!$M$7:$M$34,'abrasion emissions'!$I$7:$I$34,"PM 10",'abrasion emissions'!$J$7:$J$34,"urban",'abrasion emissions'!$K$7:$K$34,"Brake",'abrasion emissions'!$L$7:$L$34,"c")))))/1000000</f>
        <v>6.0933623502407123E-6</v>
      </c>
      <c r="CR106" s="7">
        <f>((SUMIFS('abrasion emissions'!$M$7:$M$34,'abrasion emissions'!$I$7:$I$34,"PM 2.5",'abrasion emissions'!$J$7:$J$34,"rural",'abrasion emissions'!$K$7:$K$34,"Brake",'abrasion emissions'!$L$7:$L$34,"b")*POWER(('vehicles specifications'!$Q106/1000),(1/SUMIFS('abrasion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specifications'!$P106/1000),(1/SUMIFS('abrasion emissions'!$M$7:$M$34,'abrasion emissions'!$I$7:$I$34,"PM 10",'abrasion emissions'!$J$7:$J$34,"rural",'abrasion emissions'!$K$7:$K$34,"Brake",'abrasion emissions'!$L$7:$L$34,"c")))))/1000000</f>
        <v>1.9781544063748917E-6</v>
      </c>
      <c r="CS106" s="7">
        <f>((SUMIFS('abrasion emissions'!$M$7:$M$34,'abrasion emissions'!$I$7:$I$34,"PM 2.5",'abrasion emissions'!$J$7:$J$34,"motorway",'abrasion emissions'!$K$7:$K$34,"Brake",'abrasion emissions'!$L$7:$L$34,"b")*POWER(('vehicles specifications'!$Q106/1000),(1/SUMIFS('abrasion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specifications'!$P106/1000),(1/SUMIFS('abrasion emissions'!$M$7:$M$34,'abrasion emissions'!$I$7:$I$34,"PM 10",'abrasion emissions'!$J$7:$J$34,"motorway",'abrasion emissions'!$K$7:$K$34,"Brake",'abrasion emissions'!$L$7:$L$34,"c")))))/1000000</f>
        <v>3.6868528476745605E-7</v>
      </c>
      <c r="CT106" s="7">
        <f>((SUMIFS('abrasion emissions'!$M$7:$M$38,'abrasion emissions'!$I$7:$I$38,"PM 2.5",'abrasion emissions'!$K$7:$K$38,"Re-susp.",'abrasion emissions'!$L$7:$L$38,"b")*POWER(('vehicles specifications'!$Q106/1000),(1/SUMIFS('abrasion emissions'!$M$7:$M$38,'abrasion emissions'!$I$7:$I$38,"PM 2.5",'abrasion emissions'!$K$7:$K$38,"Re-susp.",'abrasion emissions'!$L$7:$L$38,"c"))))+
(SUMIFS('abrasion emissions'!$M$7:$M$38,'abrasion emissions'!$I$7:$I$38,"PM 10",'abrasion emissions'!$K$7:$K$38,"Re-susp.",'abrasion emissions'!$L$7:$L$38,"b")*POWER(('vehicles specifications'!$Q106/1000),(1/SUMIFS('abrasion emissions'!$M$7:$M$38,'abrasion emissions'!$I$7:$I$38,"PM 10",'abrasion emissions'!$K$7:$K$38,"Re-susp.",'abrasion emissions'!$L$7:$L$38,"c")))))/1000000</f>
        <v>3.8471442010524158E-6</v>
      </c>
      <c r="CU106" s="7">
        <f>((SUMIFS('abrasion emissions'!$M$7:$M$38,'abrasion emissions'!$I$7:$I$38,"PM 2.5",'abrasion emissions'!$K$7:$K$38,"Road",'abrasion emissions'!$L$7:$L$38,"b")*POWER(('vehicles specifications'!$Q106/1000),(1/SUMIFS('abrasion emissions'!$M$7:$M$38,'abrasion emissions'!$I$7:$I$38,"PM 2.5",'abrasion emissions'!$K$7:$K$38,"Road",'abrasion emissions'!$L$7:$L$38,"c"))))+
(SUMIFS('abrasion emissions'!$M$7:$M$38,'abrasion emissions'!$I$7:$I$38,"PM 10",'abrasion emissions'!$K$7:$K$38,"Road",'abrasion emissions'!$L$7:$L$38,"b")*POWER(('vehicles specifications'!$Q106/1000),(1/SUMIFS('abrasion emissions'!$M$7:$M$38,'abrasion emissions'!$I$7:$I$38,"PM 10",'abrasion emissions'!$K$7:$K$38,"Road",'abrasion emissions'!$L$7:$L$38,"c")))))/1000000+CT106</f>
        <v>7.369362136981513E-6</v>
      </c>
      <c r="CV106" s="7">
        <f t="shared" si="79"/>
        <v>5.6554732662758953E-6</v>
      </c>
      <c r="CW106" s="7">
        <f t="shared" si="80"/>
        <v>4.0357583783078024E-6</v>
      </c>
    </row>
    <row r="107" spans="1:101" x14ac:dyDescent="0.2">
      <c r="A107" t="str">
        <f t="shared" si="1"/>
        <v>Motorbike, gasoline, 11-35kW, EURO-3 - 2006 - CH</v>
      </c>
      <c r="B107" t="s">
        <v>395</v>
      </c>
      <c r="D107" s="18">
        <v>2006</v>
      </c>
      <c r="E107" t="s">
        <v>37</v>
      </c>
      <c r="F107" t="s">
        <v>139</v>
      </c>
      <c r="G107" t="s">
        <v>39</v>
      </c>
      <c r="H107" t="s">
        <v>35</v>
      </c>
      <c r="J107">
        <v>38500</v>
      </c>
      <c r="K107">
        <v>2405</v>
      </c>
      <c r="L107" s="2">
        <f t="shared" si="108"/>
        <v>16.008316008316008</v>
      </c>
      <c r="M107">
        <v>1.1000000000000001</v>
      </c>
      <c r="N107">
        <v>75</v>
      </c>
      <c r="O107">
        <v>6</v>
      </c>
      <c r="P107" s="2">
        <f t="shared" si="64"/>
        <v>159.98750000000001</v>
      </c>
      <c r="Q107" s="2">
        <f t="shared" si="109"/>
        <v>248.48750000000001</v>
      </c>
      <c r="R107">
        <v>20</v>
      </c>
      <c r="S107" s="2">
        <v>81</v>
      </c>
      <c r="T107" s="1">
        <v>-0.05</v>
      </c>
      <c r="U107" s="2">
        <f t="shared" si="105"/>
        <v>85.05</v>
      </c>
      <c r="V107" s="2">
        <v>62</v>
      </c>
      <c r="W107" s="2">
        <v>0</v>
      </c>
      <c r="X107" s="3">
        <v>0</v>
      </c>
      <c r="Y107" s="1">
        <v>0.8</v>
      </c>
      <c r="Z107" s="3">
        <f t="shared" si="110"/>
        <v>0</v>
      </c>
      <c r="AA107" s="3" t="str">
        <f>IF(I107&lt;&gt;"",X107/INDEX('energy battery'!$B$3:$D$6,MATCH('vehicles specifications'!$D107,'energy battery'!$A$3:$A$6,0),MATCH('vehicles specifications'!$I107,'energy battery'!$B$2:$D$2,0)),"")</f>
        <v/>
      </c>
      <c r="AB107" s="3" t="str">
        <f t="shared" si="6"/>
        <v/>
      </c>
      <c r="AC107" s="3" t="str">
        <f t="shared" si="7"/>
        <v/>
      </c>
      <c r="AD107" s="3">
        <v>0</v>
      </c>
      <c r="AE107" s="3">
        <v>15</v>
      </c>
      <c r="AF107">
        <f>AE107*'fuels and tailpipe emissions'!$B$3</f>
        <v>11.25</v>
      </c>
      <c r="AG107" s="2">
        <f>AF107*'fuels and tailpipe emissions'!$C$3</f>
        <v>133.125</v>
      </c>
      <c r="AH107" s="3">
        <f t="shared" si="106"/>
        <v>1.6875</v>
      </c>
      <c r="AI107" s="3">
        <v>0</v>
      </c>
      <c r="AJ107" s="3">
        <v>0</v>
      </c>
      <c r="AK107">
        <f t="shared" si="67"/>
        <v>1.54</v>
      </c>
      <c r="AL107">
        <f t="shared" si="65"/>
        <v>1.334377875E-4</v>
      </c>
      <c r="AM107">
        <v>1.2899999999999999E-3</v>
      </c>
      <c r="AN107" s="2">
        <f t="shared" si="111"/>
        <v>85.05</v>
      </c>
      <c r="AO107" s="2">
        <f t="shared" si="112"/>
        <v>62</v>
      </c>
      <c r="AP107" s="2" t="str">
        <f t="shared" si="113"/>
        <v/>
      </c>
      <c r="AQ107" s="6">
        <v>1.4882481487614572</v>
      </c>
      <c r="AR107" s="20">
        <v>1.2E-2</v>
      </c>
      <c r="AS107" s="6" t="str">
        <f>IF($H107="BEV",SUMPRODUCT(#REF!,#REF!),"")</f>
        <v/>
      </c>
      <c r="AT107" s="2">
        <f t="shared" si="78"/>
        <v>322.02291022423861</v>
      </c>
      <c r="AU107" s="5">
        <f>IF($H107="ICEV-p",$AQ107/('fuels and tailpipe emissions'!$C$3*3.6)*'fuels and tailpipe emissions'!$D$3,"")*(1-AR107)</f>
        <v>0.10838079804848928</v>
      </c>
      <c r="AV107" s="5">
        <f>IF($H107="ICEV-p",$AQ107/('fuels and tailpipe emissions'!$C$3*3.6)*'fuels and tailpipe emissions'!$D$3,"")*AR107</f>
        <v>1.3163659682002746E-3</v>
      </c>
      <c r="AW107" s="7">
        <f>IF($H107="ICEV-p",$AQ107/('fuels and tailpipe emissions'!$C$3*3.6)*'fuels and tailpipe emissions'!$E$3,"")</f>
        <v>5.589664408493735E-7</v>
      </c>
      <c r="AX107" s="7">
        <f>SUMIFS('fuels and tailpipe emissions'!$G$10:$G$126,'fuels and tailpipe emissions'!$A$10:$A$126,'vehicles specifications'!$F107,'fuels and tailpipe emissions'!$B$10:$B$126,'vehicles specifications'!AX$2)/1000*$AQ107</f>
        <v>5.4417962719780696E-6</v>
      </c>
      <c r="AY107" s="7">
        <f>SUMIFS('fuels and tailpipe emissions'!$G$10:$G$126,'fuels and tailpipe emissions'!$A$10:$A$126,'vehicles specifications'!$F107,'fuels and tailpipe emissions'!$B$10:$B$126,'vehicles specifications'!AY$2)/1000*$AQ107</f>
        <v>2.203769637337727E-5</v>
      </c>
      <c r="AZ107" s="7">
        <f>SUMIFS('fuels and tailpipe emissions'!$G$10:$G$126,'fuels and tailpipe emissions'!$A$10:$A$126,'vehicles specifications'!$F107,'fuels and tailpipe emissions'!$B$10:$B$126,'vehicles specifications'!AZ$2)/1000*$AQ107</f>
        <v>2.2122455045910314E-4</v>
      </c>
      <c r="BA107" s="7">
        <f>SUMIFS('fuels and tailpipe emissions'!$G$10:$G$126,'fuels and tailpipe emissions'!$A$10:$A$126,'vehicles specifications'!$F107,'fuels and tailpipe emissions'!$B$10:$B$126,'vehicles specifications'!BA$2)/1000*$AQ107</f>
        <v>6.627878608534517E-7</v>
      </c>
      <c r="BB107" s="7">
        <f>SUMIFS('fuels and tailpipe emissions'!$G$10:$G$126,'fuels and tailpipe emissions'!$A$10:$A$126,'vehicles specifications'!$F107,'fuels and tailpipe emissions'!$B$10:$B$126,'vehicles specifications'!BB$2)/1000*$AQ107</f>
        <v>6.627878608534517E-7</v>
      </c>
      <c r="BC107" s="7">
        <f>SUMIFS('fuels and tailpipe emissions'!$G$10:$G$126,'fuels and tailpipe emissions'!$A$10:$A$126,'vehicles specifications'!$F107,'fuels and tailpipe emissions'!$B$10:$B$126,'vehicles specifications'!BC$2)/1000*$AQ107</f>
        <v>2.6220817193601416E-5</v>
      </c>
      <c r="BD107" s="7">
        <f>SUMIFS('fuels and tailpipe emissions'!$G$10:$G$126,'fuels and tailpipe emissions'!$A$10:$A$126,'vehicles specifications'!$F107,'fuels and tailpipe emissions'!$B$10:$B$126,'vehicles specifications'!BD$2)/1000*$AQ107</f>
        <v>1.6569696521336294E-6</v>
      </c>
      <c r="BE107" s="7">
        <f>SUMIFS('fuels and tailpipe emissions'!$G$10:$G$126,'fuels and tailpipe emissions'!$A$10:$A$126,'vehicles specifications'!$F107,'fuels and tailpipe emissions'!$B$10:$B$126,'vehicles specifications'!BE$2)/1000*$AQ107</f>
        <v>4.3883576353705504E-5</v>
      </c>
      <c r="BF107" s="7">
        <f>SUMIFS('fuels and tailpipe emissions'!$G$10:$G$126,'fuels and tailpipe emissions'!$A$10:$A$126,'vehicles specifications'!$F107,'fuels and tailpipe emissions'!$B$10:$B$126,'vehicles specifications'!BF$2)/1000*$AQ107</f>
        <v>3.09435474288949E-6</v>
      </c>
      <c r="BG107" s="7">
        <f>SUMIFS('fuels and tailpipe emissions'!$G$10:$G$126,'fuels and tailpipe emissions'!$A$10:$A$126,'vehicles specifications'!$F107,'fuels and tailpipe emissions'!$B$10:$B$126,'vehicles specifications'!BG$2)/1000*$AQ107</f>
        <v>6.3051115450726299E-7</v>
      </c>
      <c r="BH107" s="7">
        <f>SUMIFS('fuels and tailpipe emissions'!$G$10:$G$126,'fuels and tailpipe emissions'!$A$10:$A$126,'vehicles specifications'!$F107,'fuels and tailpipe emissions'!$B$10:$B$126,'vehicles specifications'!BH$2)/1000*$AQ107</f>
        <v>5.0828899224893196E-6</v>
      </c>
      <c r="BI107" s="7">
        <f>SUMIFS('fuels and tailpipe emissions'!$G$10:$G$126,'fuels and tailpipe emissions'!$A$10:$A$126,'vehicles specifications'!$F107,'fuels and tailpipe emissions'!$B$10:$B$126,'vehicles specifications'!BI$2)/1000*$AQ107</f>
        <v>2.0855368956778698E-6</v>
      </c>
      <c r="BJ107" s="7">
        <f>SUMIFS('fuels and tailpipe emissions'!$G$10:$G$126,'fuels and tailpipe emissions'!$A$10:$A$126,'vehicles specifications'!$F107,'fuels and tailpipe emissions'!$B$10:$B$126,'vehicles specifications'!BJ$2)/1000*$AQ107</f>
        <v>1.5617276288564514E-6</v>
      </c>
      <c r="BK107" s="7">
        <f>SUMIFS('fuels and tailpipe emissions'!$G$10:$G$126,'fuels and tailpipe emissions'!$A$10:$A$126,'vehicles specifications'!$F107,'fuels and tailpipe emissions'!$B$10:$B$126,'vehicles specifications'!BK$2)/1000*$AQ107</f>
        <v>1.1058195632896611E-6</v>
      </c>
      <c r="BL107" s="7">
        <f>SUMIFS('fuels and tailpipe emissions'!$G$10:$G$126,'fuels and tailpipe emissions'!$A$10:$A$126,'vehicles specifications'!$F107,'fuels and tailpipe emissions'!$B$10:$B$126,'vehicles specifications'!BL$2)/1000*$AQ107</f>
        <v>7.1781269897749935E-7</v>
      </c>
      <c r="BM107" s="7">
        <f>SUMIFS('fuels and tailpipe emissions'!$G$10:$G$126,'fuels and tailpipe emissions'!$A$10:$A$126,'vehicles specifications'!$F107,'fuels and tailpipe emissions'!$B$10:$B$126,'vehicles specifications'!BM$2)/1000*$AQ107</f>
        <v>7.0811252736969535E-6</v>
      </c>
      <c r="BN107" s="7">
        <f>SUMIFS('fuels and tailpipe emissions'!$G$10:$G$126,'fuels and tailpipe emissions'!$A$10:$A$126,'vehicles specifications'!$F107,'fuels and tailpipe emissions'!$B$10:$B$126,'vehicles specifications'!BN$2)/1000*$AQ107</f>
        <v>3.7054655541811453E-6</v>
      </c>
      <c r="BO107" s="7">
        <f>SUMIFS('fuels and tailpipe emissions'!$G$10:$G$126,'fuels and tailpipe emissions'!$A$10:$A$126,'vehicles specifications'!$F107,'fuels and tailpipe emissions'!$B$10:$B$126,'vehicles specifications'!BO$2)/1000*$AQ107</f>
        <v>1.0670188768584451E-7</v>
      </c>
      <c r="BP107" s="7">
        <f>SUMIFS('fuels and tailpipe emissions'!$G$10:$G$126,'fuels and tailpipe emissions'!$A$10:$A$126,'vehicles specifications'!$F107,'fuels and tailpipe emissions'!$B$10:$B$126,'vehicles specifications'!BP$2)/1000*$AQ107</f>
        <v>5.4417962719780696E-6</v>
      </c>
      <c r="BQ107" s="7">
        <f>SUMIFS('fuels and tailpipe emissions'!$G$10:$G$126,'fuels and tailpipe emissions'!$A$10:$A$126,'vehicles specifications'!$F107,'fuels and tailpipe emissions'!$B$10:$B$126,'vehicles specifications'!BQ$2)/1000*$AQ107</f>
        <v>1.0650788425368842E-5</v>
      </c>
      <c r="BR107" s="7">
        <f>SUMIFS('fuels and tailpipe emissions'!$G$10:$G$126,'fuels and tailpipe emissions'!$A$10:$A$126,'vehicles specifications'!$F107,'fuels and tailpipe emissions'!$B$10:$B$126,'vehicles specifications'!BR$2)/1000*$AQ107</f>
        <v>5.2671931830375969E-6</v>
      </c>
      <c r="BS107" s="7">
        <f>SUMIFS('fuels and tailpipe emissions'!$G$10:$G$126,'fuels and tailpipe emissions'!$A$10:$A$126,'vehicles specifications'!$F107,'fuels and tailpipe emissions'!$B$10:$B$126,'vehicles specifications'!BS$2)/1000*$AQ107</f>
        <v>2.192238783363714E-6</v>
      </c>
      <c r="BT107" s="7">
        <f>SUMIFS('fuels and tailpipe emissions'!$G$10:$G$126,'fuels and tailpipe emissions'!$A$10:$A$126,'vehicles specifications'!$F107,'fuels and tailpipe emissions'!$B$10:$B$126,'vehicles specifications'!BT$2)/1000*$AQ107</f>
        <v>1.649029173326688E-6</v>
      </c>
      <c r="BU107" s="7">
        <f>SUMIFS('fuels and tailpipe emissions'!$G$10:$G$126,'fuels and tailpipe emissions'!$A$10:$A$126,'vehicles specifications'!$F107,'fuels and tailpipe emissions'!$B$10:$B$126,'vehicles specifications'!BU$2)/1000*$AQ107</f>
        <v>7.2751287058530338E-7</v>
      </c>
      <c r="BV107" s="7">
        <f>SUMIFS('fuels and tailpipe emissions'!$G$10:$G$126,'fuels and tailpipe emissions'!$A$10:$A$126,'vehicles specifications'!$F107,'fuels and tailpipe emissions'!$B$10:$B$126,'vehicles specifications'!BV$2)/1000*$AQ107</f>
        <v>2.1340377537168902E-7</v>
      </c>
      <c r="BW107" s="7">
        <f>SUMIFS('fuels and tailpipe emissions'!$G$10:$G$126,'fuels and tailpipe emissions'!$A$10:$A$126,'vehicles specifications'!$F107,'fuels and tailpipe emissions'!$B$10:$B$126,'vehicles specifications'!BW$2)/1000*$AQ107</f>
        <v>5.9171046807604678E-7</v>
      </c>
      <c r="BX107" s="7">
        <f>SUMIFS('fuels and tailpipe emissions'!$G$10:$G$126,'fuels and tailpipe emissions'!$A$10:$A$126,'vehicles specifications'!$F107,'fuels and tailpipe emissions'!$B$10:$B$126,'vehicles specifications'!BX$2)/1000*$AQ107</f>
        <v>4.8500858039020227E-8</v>
      </c>
      <c r="BY107" s="7">
        <f>SUMIFS('fuels and tailpipe emissions'!$G$10:$G$126,'fuels and tailpipe emissions'!$A$10:$A$126,'vehicles specifications'!$F107,'fuels and tailpipe emissions'!$B$10:$B$126,'vehicles specifications'!BY$2)/1000*$AQ107</f>
        <v>1.8430326054827685E-7</v>
      </c>
      <c r="BZ107" s="7">
        <f>SUMIFS('fuels and tailpipe emissions'!$G$10:$G$126,'fuels and tailpipe emissions'!$A$10:$A$126,'vehicles specifications'!$F107,'fuels and tailpipe emissions'!$B$10:$B$126,'vehicles specifications'!BZ$2)/1000*$AQ107</f>
        <v>9.7971733238820843E-7</v>
      </c>
      <c r="CA107" s="7">
        <f>SUMIFS('fuels and tailpipe emissions'!$G$10:$G$126,'fuels and tailpipe emissions'!$A$10:$A$126,'vehicles specifications'!$F107,'fuels and tailpipe emissions'!$B$10:$B$126,'vehicles specifications'!CA$2)/1000*$AQ107</f>
        <v>1.2186126018093815E-9</v>
      </c>
      <c r="CB107" s="7">
        <f>SUMIFS('fuels and tailpipe emissions'!$G$10:$G$126,'fuels and tailpipe emissions'!$A$10:$A$126,'vehicles specifications'!$F107,'fuels and tailpipe emissions'!$B$10:$B$126,'vehicles specifications'!CB$2)/1000*$AQ107</f>
        <v>1.0505281050080874E-11</v>
      </c>
      <c r="CC107" s="7">
        <f>SUMIFS('fuels and tailpipe emissions'!$G$10:$G$126,'fuels and tailpipe emissions'!$A$10:$A$126,'vehicles specifications'!$F107,'fuels and tailpipe emissions'!$B$10:$B$126,'vehicles specifications'!CC$2)/1000*$AQ107</f>
        <v>7.0035207000539162E-12</v>
      </c>
      <c r="CD107" s="7">
        <f>SUMIFS('fuels and tailpipe emissions'!$G$10:$G$126,'fuels and tailpipe emissions'!$A$10:$A$126,'vehicles specifications'!$F107,'fuels and tailpipe emissions'!$B$10:$B$126,'vehicles specifications'!CD$2)/1000*$AQ107</f>
        <v>7.5638023560582296E-8</v>
      </c>
      <c r="CE107" s="7">
        <f>SUMIFS('fuels and tailpipe emissions'!$G$10:$G$126,'fuels and tailpipe emissions'!$A$10:$A$126,'vehicles specifications'!$F107,'fuels and tailpipe emissions'!$B$10:$B$126,'vehicles specifications'!CE$2)/1000*$AQ107</f>
        <v>1.4707393470113222E-9</v>
      </c>
      <c r="CF107" s="7">
        <f>SUMIFS('fuels and tailpipe emissions'!$G$10:$G$126,'fuels and tailpipe emissions'!$A$10:$A$126,'vehicles specifications'!$F107,'fuels and tailpipe emissions'!$B$10:$B$126,'vehicles specifications'!CF$2)/1000*$AQ107</f>
        <v>4.5522884550350459E-10</v>
      </c>
      <c r="CG107" s="7">
        <f>SUMIFS('fuels and tailpipe emissions'!$G$10:$G$126,'fuels and tailpipe emissions'!$A$10:$A$126,'vehicles specifications'!$F107,'fuels and tailpipe emissions'!$B$10:$B$126,'vehicles specifications'!CG$2)/1000*$AQ107</f>
        <v>5.6028165600431336E-10</v>
      </c>
      <c r="CH107" s="7">
        <f>SUMIFS('fuels and tailpipe emissions'!$G$10:$G$126,'fuels and tailpipe emissions'!$A$10:$A$126,'vehicles specifications'!$F107,'fuels and tailpipe emissions'!$B$10:$B$126,'vehicles specifications'!CH$2)/1000*$AQ107</f>
        <v>1.1205633120086266E-12</v>
      </c>
      <c r="CI107" s="7">
        <f>SUMIFS('fuels and tailpipe emissions'!$G$10:$G$126,'fuels and tailpipe emissions'!$A$10:$A$126,'vehicles specifications'!$F107,'fuels and tailpipe emissions'!$B$10:$B$126,'vehicles specifications'!CI$2)/1000*$AQ107</f>
        <v>3.0465315045234537E-10</v>
      </c>
      <c r="CJ107" s="7">
        <f>SUMIFS('fuels and tailpipe emissions'!$G$10:$G$126,'fuels and tailpipe emissions'!$A$10:$A$126,'vehicles specifications'!$F107,'fuels and tailpipe emissions'!$B$10:$B$126,'vehicles specifications'!CJ$2)/1000*$AQ107</f>
        <v>3.7819011780291154E-10</v>
      </c>
      <c r="CK107" s="38">
        <f>VLOOKUP($B107,'abrasion emissions'!$O$7:$R$36,2,FALSE)</f>
        <v>0.33</v>
      </c>
      <c r="CL107" s="38">
        <f>VLOOKUP($B107,'abrasion emissions'!$O$7:$R$36,3,FALSE)</f>
        <v>0.33</v>
      </c>
      <c r="CM107" s="38">
        <f>VLOOKUP($B107,'abrasion emissions'!$O$7:$R$36,4,FALSE)</f>
        <v>0.33</v>
      </c>
      <c r="CN107" s="7">
        <f>((SUMIFS('abrasion emissions'!$M$7:$M$34,'abrasion emissions'!$I$7:$I$34,"PM 2.5",'abrasion emissions'!$J$7:$J$34,"urban",'abrasion emissions'!$K$7:$K$34,"Tyre",'abrasion emissions'!$L$7:$L$34,"b")*POWER(('vehicles specifications'!$Q107/1000),(1/SUMIFS('abrasion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specifications'!$P107/1000),(1/SUMIFS('abrasion emissions'!$M$7:$M$34,'abrasion emissions'!$I$7:$I$34,"PM 10",'abrasion emissions'!$J$7:$J$34,"urban",'abrasion emissions'!$K$7:$K$34,"Tyre",'abrasion emissions'!$L$7:$L$34,"c")))))/1000000</f>
        <v>7.0905695987185291E-6</v>
      </c>
      <c r="CO107" s="7">
        <f>((SUMIFS('abrasion emissions'!$M$7:$M$34,'abrasion emissions'!$I$7:$I$34,"PM 2.5",'abrasion emissions'!$J$7:$J$34,"rural",'abrasion emissions'!$K$7:$K$34,"Tyre",'abrasion emissions'!$L$7:$L$34,"b")*POWER(('vehicles specifications'!$Q107/1000),(1/SUMIFS('abrasion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specifications'!$P107/1000),(1/SUMIFS('abrasion emissions'!$M$7:$M$34,'abrasion emissions'!$I$7:$I$34,"PM 10",'abrasion emissions'!$J$7:$J$34,"rural",'abrasion emissions'!$K$7:$K$34,"Tyre",'abrasion emissions'!$L$7:$L$34,"c")))))/1000000</f>
        <v>5.5220093988017779E-6</v>
      </c>
      <c r="CP107" s="7">
        <f>((SUMIFS('abrasion emissions'!$M$7:$M$34,'abrasion emissions'!$I$7:$I$34,"PM 2.5",'abrasion emissions'!$J$7:$J$34,"motorway",'abrasion emissions'!$K$7:$K$34,"Tyre",'abrasion emissions'!$L$7:$L$34,"b")*POWER(('vehicles specifications'!$Q107/1000),(1/SUMIFS('abrasion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specifications'!$P107/1000),(1/SUMIFS('abrasion emissions'!$M$7:$M$34,'abrasion emissions'!$I$7:$I$34,"PM 10",'abrasion emissions'!$J$7:$J$34,"motorway",'abrasion emissions'!$K$7:$K$34,"Tyre",'abrasion emissions'!$L$7:$L$34,"c")))))/1000000</f>
        <v>4.7151910348379448E-6</v>
      </c>
      <c r="CQ107" s="7">
        <f>((SUMIFS('abrasion emissions'!$M$7:$M$34,'abrasion emissions'!$I$7:$I$34,"PM 2.5",'abrasion emissions'!$J$7:$J$34,"urban",'abrasion emissions'!$K$7:$K$34,"Brake",'abrasion emissions'!$L$7:$L$34,"b")*POWER(('vehicles specifications'!$Q107/1000),(1/SUMIFS('abrasion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specifications'!$P107/1000),(1/SUMIFS('abrasion emissions'!$M$7:$M$34,'abrasion emissions'!$I$7:$I$34,"PM 10",'abrasion emissions'!$J$7:$J$34,"urban",'abrasion emissions'!$K$7:$K$34,"Brake",'abrasion emissions'!$L$7:$L$34,"c")))))/1000000</f>
        <v>6.8868953193702116E-6</v>
      </c>
      <c r="CR107" s="7">
        <f>((SUMIFS('abrasion emissions'!$M$7:$M$34,'abrasion emissions'!$I$7:$I$34,"PM 2.5",'abrasion emissions'!$J$7:$J$34,"rural",'abrasion emissions'!$K$7:$K$34,"Brake",'abrasion emissions'!$L$7:$L$34,"b")*POWER(('vehicles specifications'!$Q107/1000),(1/SUMIFS('abrasion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specifications'!$P107/1000),(1/SUMIFS('abrasion emissions'!$M$7:$M$34,'abrasion emissions'!$I$7:$I$34,"PM 10",'abrasion emissions'!$J$7:$J$34,"rural",'abrasion emissions'!$K$7:$K$34,"Brake",'abrasion emissions'!$L$7:$L$34,"c")))))/1000000</f>
        <v>2.3090889739450251E-6</v>
      </c>
      <c r="CS107" s="7">
        <f>((SUMIFS('abrasion emissions'!$M$7:$M$34,'abrasion emissions'!$I$7:$I$34,"PM 2.5",'abrasion emissions'!$J$7:$J$34,"motorway",'abrasion emissions'!$K$7:$K$34,"Brake",'abrasion emissions'!$L$7:$L$34,"b")*POWER(('vehicles specifications'!$Q107/1000),(1/SUMIFS('abrasion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specifications'!$P107/1000),(1/SUMIFS('abrasion emissions'!$M$7:$M$34,'abrasion emissions'!$I$7:$I$34,"PM 10",'abrasion emissions'!$J$7:$J$34,"motorway",'abrasion emissions'!$K$7:$K$34,"Brake",'abrasion emissions'!$L$7:$L$34,"c")))))/1000000</f>
        <v>4.4033203250892517E-7</v>
      </c>
      <c r="CT107" s="7">
        <f>((SUMIFS('abrasion emissions'!$M$7:$M$38,'abrasion emissions'!$I$7:$I$38,"PM 2.5",'abrasion emissions'!$K$7:$K$38,"Re-susp.",'abrasion emissions'!$L$7:$L$38,"b")*POWER(('vehicles specifications'!$Q107/1000),(1/SUMIFS('abrasion emissions'!$M$7:$M$38,'abrasion emissions'!$I$7:$I$38,"PM 2.5",'abrasion emissions'!$K$7:$K$38,"Re-susp.",'abrasion emissions'!$L$7:$L$38,"c"))))+
(SUMIFS('abrasion emissions'!$M$7:$M$38,'abrasion emissions'!$I$7:$I$38,"PM 10",'abrasion emissions'!$K$7:$K$38,"Re-susp.",'abrasion emissions'!$L$7:$L$38,"b")*POWER(('vehicles specifications'!$Q107/1000),(1/SUMIFS('abrasion emissions'!$M$7:$M$38,'abrasion emissions'!$I$7:$I$38,"PM 10",'abrasion emissions'!$K$7:$K$38,"Re-susp.",'abrasion emissions'!$L$7:$L$38,"c")))))/1000000</f>
        <v>4.625095543946093E-6</v>
      </c>
      <c r="CU107" s="7">
        <f>((SUMIFS('abrasion emissions'!$M$7:$M$38,'abrasion emissions'!$I$7:$I$38,"PM 2.5",'abrasion emissions'!$K$7:$K$38,"Road",'abrasion emissions'!$L$7:$L$38,"b")*POWER(('vehicles specifications'!$Q107/1000),(1/SUMIFS('abrasion emissions'!$M$7:$M$38,'abrasion emissions'!$I$7:$I$38,"PM 2.5",'abrasion emissions'!$K$7:$K$38,"Road",'abrasion emissions'!$L$7:$L$38,"c"))))+
(SUMIFS('abrasion emissions'!$M$7:$M$38,'abrasion emissions'!$I$7:$I$38,"PM 10",'abrasion emissions'!$K$7:$K$38,"Road",'abrasion emissions'!$L$7:$L$38,"b")*POWER(('vehicles specifications'!$Q107/1000),(1/SUMIFS('abrasion emissions'!$M$7:$M$38,'abrasion emissions'!$I$7:$I$38,"PM 10",'abrasion emissions'!$K$7:$K$38,"Road",'abrasion emissions'!$L$7:$L$38,"c")))))/1000000+CT107</f>
        <v>8.656625299749574E-6</v>
      </c>
      <c r="CV107" s="7">
        <f t="shared" si="79"/>
        <v>5.7181641106782229E-6</v>
      </c>
      <c r="CW107" s="7">
        <f t="shared" si="80"/>
        <v>3.1799843875219737E-6</v>
      </c>
    </row>
    <row r="108" spans="1:101" x14ac:dyDescent="0.2">
      <c r="A108" t="str">
        <f t="shared" si="1"/>
        <v>Motorbike, gasoline, 11-35kW, EURO-4 - 2016 - CH</v>
      </c>
      <c r="B108" t="s">
        <v>396</v>
      </c>
      <c r="D108" s="18">
        <v>2016</v>
      </c>
      <c r="E108" t="s">
        <v>37</v>
      </c>
      <c r="F108" t="s">
        <v>140</v>
      </c>
      <c r="G108" t="s">
        <v>39</v>
      </c>
      <c r="H108" t="s">
        <v>35</v>
      </c>
      <c r="J108">
        <v>38500</v>
      </c>
      <c r="K108">
        <v>2405</v>
      </c>
      <c r="L108" s="2">
        <f t="shared" si="108"/>
        <v>16.008316008316008</v>
      </c>
      <c r="M108">
        <v>1.1000000000000001</v>
      </c>
      <c r="N108">
        <v>75</v>
      </c>
      <c r="O108">
        <v>6</v>
      </c>
      <c r="P108" s="2">
        <f t="shared" si="64"/>
        <v>157.5575</v>
      </c>
      <c r="Q108" s="2">
        <f t="shared" si="109"/>
        <v>246.0575</v>
      </c>
      <c r="R108">
        <v>20</v>
      </c>
      <c r="S108" s="2">
        <v>81</v>
      </c>
      <c r="T108" s="1">
        <v>-0.02</v>
      </c>
      <c r="U108" s="2">
        <f t="shared" si="105"/>
        <v>82.62</v>
      </c>
      <c r="V108" s="2">
        <v>62</v>
      </c>
      <c r="W108" s="2">
        <v>0</v>
      </c>
      <c r="X108" s="3">
        <v>0</v>
      </c>
      <c r="Y108" s="1">
        <v>0.8</v>
      </c>
      <c r="Z108" s="3">
        <f t="shared" si="110"/>
        <v>0</v>
      </c>
      <c r="AA108" s="3" t="str">
        <f>IF(I108&lt;&gt;"",X108/INDEX('energy battery'!$B$3:$D$6,MATCH('vehicles specifications'!$D108,'energy battery'!$A$3:$A$6,0),MATCH('vehicles specifications'!$I108,'energy battery'!$B$2:$D$2,0)),"")</f>
        <v/>
      </c>
      <c r="AB108" s="3" t="str">
        <f t="shared" si="6"/>
        <v/>
      </c>
      <c r="AC108" s="3" t="str">
        <f t="shared" si="7"/>
        <v/>
      </c>
      <c r="AD108" s="3">
        <v>0</v>
      </c>
      <c r="AE108" s="3">
        <v>15</v>
      </c>
      <c r="AF108">
        <f>AE108*'fuels and tailpipe emissions'!$B$3</f>
        <v>11.25</v>
      </c>
      <c r="AG108" s="2">
        <f>AF108*'fuels and tailpipe emissions'!$C$3</f>
        <v>133.125</v>
      </c>
      <c r="AH108" s="3">
        <f t="shared" si="106"/>
        <v>1.6875</v>
      </c>
      <c r="AI108" s="3">
        <v>0</v>
      </c>
      <c r="AJ108" s="3">
        <v>0</v>
      </c>
      <c r="AK108">
        <f t="shared" si="67"/>
        <v>1.54</v>
      </c>
      <c r="AL108">
        <f t="shared" si="65"/>
        <v>1.3213287749999999E-4</v>
      </c>
      <c r="AM108">
        <v>1.2899999999999999E-3</v>
      </c>
      <c r="AN108" s="2">
        <f t="shared" si="111"/>
        <v>82.62</v>
      </c>
      <c r="AO108" s="2">
        <f t="shared" si="112"/>
        <v>62</v>
      </c>
      <c r="AP108" s="2" t="str">
        <f t="shared" si="113"/>
        <v/>
      </c>
      <c r="AQ108" s="6">
        <v>1.4735130185757002</v>
      </c>
      <c r="AR108" s="20">
        <v>1.2E-2</v>
      </c>
      <c r="AS108" s="6" t="str">
        <f>IF($H108="BEV",SUMPRODUCT(#REF!,#REF!),"")</f>
        <v/>
      </c>
      <c r="AT108" s="2">
        <f t="shared" si="78"/>
        <v>325.24313932648096</v>
      </c>
      <c r="AU108" s="5">
        <f>IF($H108="ICEV-p",$AQ108/('fuels and tailpipe emissions'!$C$3*3.6)*'fuels and tailpipe emissions'!$D$3,"")*(1-AR108)</f>
        <v>0.10730772084008841</v>
      </c>
      <c r="AV108" s="5">
        <f>IF($H108="ICEV-p",$AQ108/('fuels and tailpipe emissions'!$C$3*3.6)*'fuels and tailpipe emissions'!$D$3,"")*AR108</f>
        <v>1.3033326417824505E-3</v>
      </c>
      <c r="AW108" s="7">
        <f>IF($H108="ICEV-p",$AQ108/('fuels and tailpipe emissions'!$C$3*3.6)*'fuels and tailpipe emissions'!$E$3,"")</f>
        <v>5.5343211965284504E-7</v>
      </c>
      <c r="AX108" s="7">
        <f>SUMIFS('fuels and tailpipe emissions'!$G$10:$G$126,'fuels and tailpipe emissions'!$A$10:$A$126,'vehicles specifications'!$F108,'fuels and tailpipe emissions'!$B$10:$B$126,'vehicles specifications'!AX$2)/1000*$AQ108</f>
        <v>1.9073617591137917E-6</v>
      </c>
      <c r="AY108" s="7">
        <f>SUMIFS('fuels and tailpipe emissions'!$G$10:$G$126,'fuels and tailpipe emissions'!$A$10:$A$126,'vehicles specifications'!$F108,'fuels and tailpipe emissions'!$B$10:$B$126,'vehicles specifications'!AY$2)/1000*$AQ108</f>
        <v>2.7697735778460602E-5</v>
      </c>
      <c r="AZ108" s="7">
        <f>SUMIFS('fuels and tailpipe emissions'!$G$10:$G$126,'fuels and tailpipe emissions'!$A$10:$A$126,'vehicles specifications'!$F108,'fuels and tailpipe emissions'!$B$10:$B$126,'vehicles specifications'!AZ$2)/1000*$AQ108</f>
        <v>1.4020599038117664E-4</v>
      </c>
      <c r="BA108" s="7">
        <f>SUMIFS('fuels and tailpipe emissions'!$G$10:$G$126,'fuels and tailpipe emissions'!$A$10:$A$126,'vehicles specifications'!$F108,'fuels and tailpipe emissions'!$B$10:$B$126,'vehicles specifications'!BA$2)/1000*$AQ108</f>
        <v>8.3301460987851437E-7</v>
      </c>
      <c r="BB108" s="7">
        <f>SUMIFS('fuels and tailpipe emissions'!$G$10:$G$126,'fuels and tailpipe emissions'!$A$10:$A$126,'vehicles specifications'!$F108,'fuels and tailpipe emissions'!$B$10:$B$126,'vehicles specifications'!BB$2)/1000*$AQ108</f>
        <v>8.3301460987851437E-7</v>
      </c>
      <c r="BC108" s="7">
        <f>SUMIFS('fuels and tailpipe emissions'!$G$10:$G$126,'fuels and tailpipe emissions'!$A$10:$A$126,'vehicles specifications'!$F108,'fuels and tailpipe emissions'!$B$10:$B$126,'vehicles specifications'!BC$2)/1000*$AQ108</f>
        <v>1.3603299444488674E-5</v>
      </c>
      <c r="BD108" s="7">
        <f>SUMIFS('fuels and tailpipe emissions'!$G$10:$G$126,'fuels and tailpipe emissions'!$A$10:$A$126,'vehicles specifications'!$F108,'fuels and tailpipe emissions'!$B$10:$B$126,'vehicles specifications'!BD$2)/1000*$AQ108</f>
        <v>2.082536524696286E-6</v>
      </c>
      <c r="BE108" s="7">
        <f>SUMIFS('fuels and tailpipe emissions'!$G$10:$G$126,'fuels and tailpipe emissions'!$A$10:$A$126,'vehicles specifications'!$F108,'fuels and tailpipe emissions'!$B$10:$B$126,'vehicles specifications'!BE$2)/1000*$AQ108</f>
        <v>1.5381291618949722E-5</v>
      </c>
      <c r="BF108" s="7">
        <f>SUMIFS('fuels and tailpipe emissions'!$G$10:$G$126,'fuels and tailpipe emissions'!$A$10:$A$126,'vehicles specifications'!$F108,'fuels and tailpipe emissions'!$B$10:$B$126,'vehicles specifications'!BF$2)/1000*$AQ108</f>
        <v>1.084578255182352E-6</v>
      </c>
      <c r="BG108" s="7">
        <f>SUMIFS('fuels and tailpipe emissions'!$G$10:$G$126,'fuels and tailpipe emissions'!$A$10:$A$126,'vehicles specifications'!$F108,'fuels and tailpipe emissions'!$B$10:$B$126,'vehicles specifications'!BG$2)/1000*$AQ108</f>
        <v>2.2099556923778335E-7</v>
      </c>
      <c r="BH108" s="7">
        <f>SUMIFS('fuels and tailpipe emissions'!$G$10:$G$126,'fuels and tailpipe emissions'!$A$10:$A$126,'vehicles specifications'!$F108,'fuels and tailpipe emissions'!$B$10:$B$126,'vehicles specifications'!BH$2)/1000*$AQ108</f>
        <v>1.7815642812399767E-6</v>
      </c>
      <c r="BI108" s="7">
        <f>SUMIFS('fuels and tailpipe emissions'!$G$10:$G$126,'fuels and tailpipe emissions'!$A$10:$A$126,'vehicles specifications'!$F108,'fuels and tailpipe emissions'!$B$10:$B$126,'vehicles specifications'!BI$2)/1000*$AQ108</f>
        <v>7.3098534440189867E-7</v>
      </c>
      <c r="BJ108" s="7">
        <f>SUMIFS('fuels and tailpipe emissions'!$G$10:$G$126,'fuels and tailpipe emissions'!$A$10:$A$126,'vehicles specifications'!$F108,'fuels and tailpipe emissions'!$B$10:$B$126,'vehicles specifications'!BJ$2)/1000*$AQ108</f>
        <v>5.4738902534281725E-7</v>
      </c>
      <c r="BK108" s="7">
        <f>SUMIFS('fuels and tailpipe emissions'!$G$10:$G$126,'fuels and tailpipe emissions'!$A$10:$A$126,'vehicles specifications'!$F108,'fuels and tailpipe emissions'!$B$10:$B$126,'vehicles specifications'!BK$2)/1000*$AQ108</f>
        <v>3.875922291247277E-7</v>
      </c>
      <c r="BL108" s="7">
        <f>SUMIFS('fuels and tailpipe emissions'!$G$10:$G$126,'fuels and tailpipe emissions'!$A$10:$A$126,'vehicles specifications'!$F108,'fuels and tailpipe emissions'!$B$10:$B$126,'vehicles specifications'!BL$2)/1000*$AQ108</f>
        <v>2.5159495574763026E-7</v>
      </c>
      <c r="BM108" s="7">
        <f>SUMIFS('fuels and tailpipe emissions'!$G$10:$G$126,'fuels and tailpipe emissions'!$A$10:$A$126,'vehicles specifications'!$F108,'fuels and tailpipe emissions'!$B$10:$B$126,'vehicles specifications'!BM$2)/1000*$AQ108</f>
        <v>2.481950239132028E-6</v>
      </c>
      <c r="BN108" s="7">
        <f>SUMIFS('fuels and tailpipe emissions'!$G$10:$G$126,'fuels and tailpipe emissions'!$A$10:$A$126,'vehicles specifications'!$F108,'fuels and tailpipe emissions'!$B$10:$B$126,'vehicles specifications'!BN$2)/1000*$AQ108</f>
        <v>1.2987739607512805E-6</v>
      </c>
      <c r="BO108" s="7">
        <f>SUMIFS('fuels and tailpipe emissions'!$G$10:$G$126,'fuels and tailpipe emissions'!$A$10:$A$126,'vehicles specifications'!$F108,'fuels and tailpipe emissions'!$B$10:$B$126,'vehicles specifications'!BO$2)/1000*$AQ108</f>
        <v>3.73992501787018E-8</v>
      </c>
      <c r="BP108" s="7">
        <f>SUMIFS('fuels and tailpipe emissions'!$G$10:$G$126,'fuels and tailpipe emissions'!$A$10:$A$126,'vehicles specifications'!$F108,'fuels and tailpipe emissions'!$B$10:$B$126,'vehicles specifications'!BP$2)/1000*$AQ108</f>
        <v>1.9073617591137917E-6</v>
      </c>
      <c r="BQ108" s="7">
        <f>SUMIFS('fuels and tailpipe emissions'!$G$10:$G$126,'fuels and tailpipe emissions'!$A$10:$A$126,'vehicles specifications'!$F108,'fuels and tailpipe emissions'!$B$10:$B$126,'vehicles specifications'!BQ$2)/1000*$AQ108</f>
        <v>3.7331251542013252E-6</v>
      </c>
      <c r="BR108" s="7">
        <f>SUMIFS('fuels and tailpipe emissions'!$G$10:$G$126,'fuels and tailpipe emissions'!$A$10:$A$126,'vehicles specifications'!$F108,'fuels and tailpipe emissions'!$B$10:$B$126,'vehicles specifications'!BR$2)/1000*$AQ108</f>
        <v>1.8461629860940981E-6</v>
      </c>
      <c r="BS108" s="7">
        <f>SUMIFS('fuels and tailpipe emissions'!$G$10:$G$126,'fuels and tailpipe emissions'!$A$10:$A$126,'vehicles specifications'!$F108,'fuels and tailpipe emissions'!$B$10:$B$126,'vehicles specifications'!BS$2)/1000*$AQ108</f>
        <v>7.6838459458060058E-7</v>
      </c>
      <c r="BT108" s="7">
        <f>SUMIFS('fuels and tailpipe emissions'!$G$10:$G$126,'fuels and tailpipe emissions'!$A$10:$A$126,'vehicles specifications'!$F108,'fuels and tailpipe emissions'!$B$10:$B$126,'vehicles specifications'!BT$2)/1000*$AQ108</f>
        <v>5.7798841185266424E-7</v>
      </c>
      <c r="BU108" s="7">
        <f>SUMIFS('fuels and tailpipe emissions'!$G$10:$G$126,'fuels and tailpipe emissions'!$A$10:$A$126,'vehicles specifications'!$F108,'fuels and tailpipe emissions'!$B$10:$B$126,'vehicles specifications'!BU$2)/1000*$AQ108</f>
        <v>2.5499488758205772E-7</v>
      </c>
      <c r="BV108" s="7">
        <f>SUMIFS('fuels and tailpipe emissions'!$G$10:$G$126,'fuels and tailpipe emissions'!$A$10:$A$126,'vehicles specifications'!$F108,'fuels and tailpipe emissions'!$B$10:$B$126,'vehicles specifications'!BV$2)/1000*$AQ108</f>
        <v>7.47985003574036E-8</v>
      </c>
      <c r="BW108" s="7">
        <f>SUMIFS('fuels and tailpipe emissions'!$G$10:$G$126,'fuels and tailpipe emissions'!$A$10:$A$126,'vehicles specifications'!$F108,'fuels and tailpipe emissions'!$B$10:$B$126,'vehicles specifications'!BW$2)/1000*$AQ108</f>
        <v>2.0739584190007364E-7</v>
      </c>
      <c r="BX108" s="7">
        <f>SUMIFS('fuels and tailpipe emissions'!$G$10:$G$126,'fuels and tailpipe emissions'!$A$10:$A$126,'vehicles specifications'!$F108,'fuels and tailpipe emissions'!$B$10:$B$126,'vehicles specifications'!BX$2)/1000*$AQ108</f>
        <v>0</v>
      </c>
      <c r="BY108" s="7">
        <f>SUMIFS('fuels and tailpipe emissions'!$G$10:$G$126,'fuels and tailpipe emissions'!$A$10:$A$126,'vehicles specifications'!$F108,'fuels and tailpipe emissions'!$B$10:$B$126,'vehicles specifications'!BY$2)/1000*$AQ108</f>
        <v>6.4598704854121283E-8</v>
      </c>
      <c r="BZ108" s="7">
        <f>SUMIFS('fuels and tailpipe emissions'!$G$10:$G$126,'fuels and tailpipe emissions'!$A$10:$A$126,'vehicles specifications'!$F108,'fuels and tailpipe emissions'!$B$10:$B$126,'vehicles specifications'!BZ$2)/1000*$AQ108</f>
        <v>3.4339311527717102E-7</v>
      </c>
      <c r="CA108" s="7">
        <f>SUMIFS('fuels and tailpipe emissions'!$G$10:$G$126,'fuels and tailpipe emissions'!$A$10:$A$126,'vehicles specifications'!$F108,'fuels and tailpipe emissions'!$B$10:$B$126,'vehicles specifications'!CA$2)/1000*$AQ108</f>
        <v>1.206547130504338E-9</v>
      </c>
      <c r="CB108" s="7">
        <f>SUMIFS('fuels and tailpipe emissions'!$G$10:$G$126,'fuels and tailpipe emissions'!$A$10:$A$126,'vehicles specifications'!$F108,'fuels and tailpipe emissions'!$B$10:$B$126,'vehicles specifications'!CB$2)/1000*$AQ108</f>
        <v>1.0401268366416708E-11</v>
      </c>
      <c r="CC108" s="7">
        <f>SUMIFS('fuels and tailpipe emissions'!$G$10:$G$126,'fuels and tailpipe emissions'!$A$10:$A$126,'vehicles specifications'!$F108,'fuels and tailpipe emissions'!$B$10:$B$126,'vehicles specifications'!CC$2)/1000*$AQ108</f>
        <v>6.9341789109444719E-12</v>
      </c>
      <c r="CD108" s="7">
        <f>SUMIFS('fuels and tailpipe emissions'!$G$10:$G$126,'fuels and tailpipe emissions'!$A$10:$A$126,'vehicles specifications'!$F108,'fuels and tailpipe emissions'!$B$10:$B$126,'vehicles specifications'!CD$2)/1000*$AQ108</f>
        <v>7.4889132238200295E-8</v>
      </c>
      <c r="CE108" s="7">
        <f>SUMIFS('fuels and tailpipe emissions'!$G$10:$G$126,'fuels and tailpipe emissions'!$A$10:$A$126,'vehicles specifications'!$F108,'fuels and tailpipe emissions'!$B$10:$B$126,'vehicles specifications'!CE$2)/1000*$AQ108</f>
        <v>1.4561775712983389E-9</v>
      </c>
      <c r="CF108" s="7">
        <f>SUMIFS('fuels and tailpipe emissions'!$G$10:$G$126,'fuels and tailpipe emissions'!$A$10:$A$126,'vehicles specifications'!$F108,'fuels and tailpipe emissions'!$B$10:$B$126,'vehicles specifications'!CF$2)/1000*$AQ108</f>
        <v>4.5072162921139066E-10</v>
      </c>
      <c r="CG108" s="7">
        <f>SUMIFS('fuels and tailpipe emissions'!$G$10:$G$126,'fuels and tailpipe emissions'!$A$10:$A$126,'vehicles specifications'!$F108,'fuels and tailpipe emissions'!$B$10:$B$126,'vehicles specifications'!CG$2)/1000*$AQ108</f>
        <v>5.5473431287555782E-10</v>
      </c>
      <c r="CH108" s="7">
        <f>SUMIFS('fuels and tailpipe emissions'!$G$10:$G$126,'fuels and tailpipe emissions'!$A$10:$A$126,'vehicles specifications'!$F108,'fuels and tailpipe emissions'!$B$10:$B$126,'vehicles specifications'!CH$2)/1000*$AQ108</f>
        <v>1.1094686257511153E-12</v>
      </c>
      <c r="CI108" s="7">
        <f>SUMIFS('fuels and tailpipe emissions'!$G$10:$G$126,'fuels and tailpipe emissions'!$A$10:$A$126,'vehicles specifications'!$F108,'fuels and tailpipe emissions'!$B$10:$B$126,'vehicles specifications'!CI$2)/1000*$AQ108</f>
        <v>3.016367826260845E-10</v>
      </c>
      <c r="CJ108" s="7">
        <f>SUMIFS('fuels and tailpipe emissions'!$G$10:$G$126,'fuels and tailpipe emissions'!$A$10:$A$126,'vehicles specifications'!$F108,'fuels and tailpipe emissions'!$B$10:$B$126,'vehicles specifications'!CJ$2)/1000*$AQ108</f>
        <v>3.7444566119100157E-10</v>
      </c>
      <c r="CK108" s="38">
        <f>VLOOKUP($B108,'abrasion emissions'!$O$7:$R$36,2,FALSE)</f>
        <v>0.33</v>
      </c>
      <c r="CL108" s="38">
        <f>VLOOKUP($B108,'abrasion emissions'!$O$7:$R$36,3,FALSE)</f>
        <v>0.33</v>
      </c>
      <c r="CM108" s="38">
        <f>VLOOKUP($B108,'abrasion emissions'!$O$7:$R$36,4,FALSE)</f>
        <v>0.33</v>
      </c>
      <c r="CN108" s="7">
        <f>((SUMIFS('abrasion emissions'!$M$7:$M$34,'abrasion emissions'!$I$7:$I$34,"PM 2.5",'abrasion emissions'!$J$7:$J$34,"urban",'abrasion emissions'!$K$7:$K$34,"Tyre",'abrasion emissions'!$L$7:$L$34,"b")*POWER(('vehicles specifications'!$Q108/1000),(1/SUMIFS('abrasion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specifications'!$P108/1000),(1/SUMIFS('abrasion emissions'!$M$7:$M$34,'abrasion emissions'!$I$7:$I$34,"PM 10",'abrasion emissions'!$J$7:$J$34,"urban",'abrasion emissions'!$K$7:$K$34,"Tyre",'abrasion emissions'!$L$7:$L$34,"c")))))/1000000</f>
        <v>7.0541451988985374E-6</v>
      </c>
      <c r="CO108" s="7">
        <f>((SUMIFS('abrasion emissions'!$M$7:$M$34,'abrasion emissions'!$I$7:$I$34,"PM 2.5",'abrasion emissions'!$J$7:$J$34,"rural",'abrasion emissions'!$K$7:$K$34,"Tyre",'abrasion emissions'!$L$7:$L$34,"b")*POWER(('vehicles specifications'!$Q108/1000),(1/SUMIFS('abrasion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specifications'!$P108/1000),(1/SUMIFS('abrasion emissions'!$M$7:$M$34,'abrasion emissions'!$I$7:$I$34,"PM 10",'abrasion emissions'!$J$7:$J$34,"rural",'abrasion emissions'!$K$7:$K$34,"Tyre",'abrasion emissions'!$L$7:$L$34,"c")))))/1000000</f>
        <v>5.4936608086115363E-6</v>
      </c>
      <c r="CP108" s="7">
        <f>((SUMIFS('abrasion emissions'!$M$7:$M$34,'abrasion emissions'!$I$7:$I$34,"PM 2.5",'abrasion emissions'!$J$7:$J$34,"motorway",'abrasion emissions'!$K$7:$K$34,"Tyre",'abrasion emissions'!$L$7:$L$34,"b")*POWER(('vehicles specifications'!$Q108/1000),(1/SUMIFS('abrasion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specifications'!$P108/1000),(1/SUMIFS('abrasion emissions'!$M$7:$M$34,'abrasion emissions'!$I$7:$I$34,"PM 10",'abrasion emissions'!$J$7:$J$34,"motorway",'abrasion emissions'!$K$7:$K$34,"Tyre",'abrasion emissions'!$L$7:$L$34,"c")))))/1000000</f>
        <v>4.6910298311189319E-6</v>
      </c>
      <c r="CQ108" s="7">
        <f>((SUMIFS('abrasion emissions'!$M$7:$M$34,'abrasion emissions'!$I$7:$I$34,"PM 2.5",'abrasion emissions'!$J$7:$J$34,"urban",'abrasion emissions'!$K$7:$K$34,"Brake",'abrasion emissions'!$L$7:$L$34,"b")*POWER(('vehicles specifications'!$Q108/1000),(1/SUMIFS('abrasion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specifications'!$P108/1000),(1/SUMIFS('abrasion emissions'!$M$7:$M$34,'abrasion emissions'!$I$7:$I$34,"PM 10",'abrasion emissions'!$J$7:$J$34,"urban",'abrasion emissions'!$K$7:$K$34,"Brake",'abrasion emissions'!$L$7:$L$34,"c")))))/1000000</f>
        <v>6.846781489410032E-6</v>
      </c>
      <c r="CR108" s="7">
        <f>((SUMIFS('abrasion emissions'!$M$7:$M$34,'abrasion emissions'!$I$7:$I$34,"PM 2.5",'abrasion emissions'!$J$7:$J$34,"rural",'abrasion emissions'!$K$7:$K$34,"Brake",'abrasion emissions'!$L$7:$L$34,"b")*POWER(('vehicles specifications'!$Q108/1000),(1/SUMIFS('abrasion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specifications'!$P108/1000),(1/SUMIFS('abrasion emissions'!$M$7:$M$34,'abrasion emissions'!$I$7:$I$34,"PM 10",'abrasion emissions'!$J$7:$J$34,"rural",'abrasion emissions'!$K$7:$K$34,"Brake",'abrasion emissions'!$L$7:$L$34,"c")))))/1000000</f>
        <v>2.2920892587386676E-6</v>
      </c>
      <c r="CS108" s="7">
        <f>((SUMIFS('abrasion emissions'!$M$7:$M$34,'abrasion emissions'!$I$7:$I$34,"PM 2.5",'abrasion emissions'!$J$7:$J$34,"motorway",'abrasion emissions'!$K$7:$K$34,"Brake",'abrasion emissions'!$L$7:$L$34,"b")*POWER(('vehicles specifications'!$Q108/1000),(1/SUMIFS('abrasion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specifications'!$P108/1000),(1/SUMIFS('abrasion emissions'!$M$7:$M$34,'abrasion emissions'!$I$7:$I$34,"PM 10",'abrasion emissions'!$J$7:$J$34,"motorway",'abrasion emissions'!$K$7:$K$34,"Brake",'abrasion emissions'!$L$7:$L$34,"c")))))/1000000</f>
        <v>4.3660825583264685E-7</v>
      </c>
      <c r="CT108" s="7">
        <f>((SUMIFS('abrasion emissions'!$M$7:$M$38,'abrasion emissions'!$I$7:$I$38,"PM 2.5",'abrasion emissions'!$K$7:$K$38,"Re-susp.",'abrasion emissions'!$L$7:$L$38,"b")*POWER(('vehicles specifications'!$Q108/1000),(1/SUMIFS('abrasion emissions'!$M$7:$M$38,'abrasion emissions'!$I$7:$I$38,"PM 2.5",'abrasion emissions'!$K$7:$K$38,"Re-susp.",'abrasion emissions'!$L$7:$L$38,"c"))))+
(SUMIFS('abrasion emissions'!$M$7:$M$38,'abrasion emissions'!$I$7:$I$38,"PM 10",'abrasion emissions'!$K$7:$K$38,"Re-susp.",'abrasion emissions'!$L$7:$L$38,"b")*POWER(('vehicles specifications'!$Q108/1000),(1/SUMIFS('abrasion emissions'!$M$7:$M$38,'abrasion emissions'!$I$7:$I$38,"PM 10",'abrasion emissions'!$K$7:$K$38,"Re-susp.",'abrasion emissions'!$L$7:$L$38,"c")))))/1000000</f>
        <v>4.5839594127527914E-6</v>
      </c>
      <c r="CU108" s="7">
        <f>((SUMIFS('abrasion emissions'!$M$7:$M$38,'abrasion emissions'!$I$7:$I$38,"PM 2.5",'abrasion emissions'!$K$7:$K$38,"Road",'abrasion emissions'!$L$7:$L$38,"b")*POWER(('vehicles specifications'!$Q108/1000),(1/SUMIFS('abrasion emissions'!$M$7:$M$38,'abrasion emissions'!$I$7:$I$38,"PM 2.5",'abrasion emissions'!$K$7:$K$38,"Road",'abrasion emissions'!$L$7:$L$38,"c"))))+
(SUMIFS('abrasion emissions'!$M$7:$M$38,'abrasion emissions'!$I$7:$I$38,"PM 10",'abrasion emissions'!$K$7:$K$38,"Road",'abrasion emissions'!$L$7:$L$38,"b")*POWER(('vehicles specifications'!$Q108/1000),(1/SUMIFS('abrasion emissions'!$M$7:$M$38,'abrasion emissions'!$I$7:$I$38,"PM 10",'abrasion emissions'!$K$7:$K$38,"Road",'abrasion emissions'!$L$7:$L$38,"c")))))/1000000+CT108</f>
        <v>8.5891628161937534E-6</v>
      </c>
      <c r="CV108" s="7">
        <f t="shared" si="79"/>
        <v>5.6888158267475719E-6</v>
      </c>
      <c r="CW108" s="7">
        <f t="shared" si="80"/>
        <v>3.1599080713138445E-6</v>
      </c>
    </row>
    <row r="109" spans="1:101" x14ac:dyDescent="0.2">
      <c r="A109" t="str">
        <f t="shared" si="1"/>
        <v>Motorbike, gasoline, 11-35kW, EURO-5 - 2020 - CH</v>
      </c>
      <c r="B109" t="s">
        <v>397</v>
      </c>
      <c r="D109" s="18">
        <v>2020</v>
      </c>
      <c r="E109" t="s">
        <v>37</v>
      </c>
      <c r="F109" t="s">
        <v>141</v>
      </c>
      <c r="G109" t="s">
        <v>39</v>
      </c>
      <c r="H109" t="s">
        <v>35</v>
      </c>
      <c r="J109">
        <v>38500</v>
      </c>
      <c r="K109">
        <v>2405</v>
      </c>
      <c r="L109" s="2">
        <f t="shared" si="108"/>
        <v>16.008316008316008</v>
      </c>
      <c r="M109">
        <v>1.1000000000000001</v>
      </c>
      <c r="N109">
        <v>75</v>
      </c>
      <c r="O109">
        <v>6</v>
      </c>
      <c r="P109" s="2">
        <f t="shared" si="64"/>
        <v>155.9375</v>
      </c>
      <c r="Q109" s="2">
        <f t="shared" si="109"/>
        <v>244.4375</v>
      </c>
      <c r="R109">
        <v>20</v>
      </c>
      <c r="S109" s="2">
        <v>81</v>
      </c>
      <c r="T109" s="1">
        <v>0</v>
      </c>
      <c r="U109" s="2">
        <f t="shared" si="105"/>
        <v>81</v>
      </c>
      <c r="V109" s="2">
        <v>62</v>
      </c>
      <c r="W109" s="2">
        <v>0</v>
      </c>
      <c r="X109" s="3">
        <v>0</v>
      </c>
      <c r="Y109" s="1">
        <v>0.8</v>
      </c>
      <c r="Z109" s="3">
        <f t="shared" si="110"/>
        <v>0</v>
      </c>
      <c r="AA109" s="3" t="str">
        <f>IF(I109&lt;&gt;"",X109/INDEX('energy battery'!$B$3:$D$6,MATCH('vehicles specifications'!$D109,'energy battery'!$A$3:$A$6,0),MATCH('vehicles specifications'!$I109,'energy battery'!$B$2:$D$2,0)),"")</f>
        <v/>
      </c>
      <c r="AB109" s="3" t="str">
        <f t="shared" si="6"/>
        <v/>
      </c>
      <c r="AC109" s="3" t="str">
        <f t="shared" si="7"/>
        <v/>
      </c>
      <c r="AD109" s="3">
        <v>0</v>
      </c>
      <c r="AE109" s="3">
        <v>15</v>
      </c>
      <c r="AF109">
        <f>AE109*'fuels and tailpipe emissions'!$B$3</f>
        <v>11.25</v>
      </c>
      <c r="AG109" s="2">
        <f>AF109*'fuels and tailpipe emissions'!$C$3</f>
        <v>133.125</v>
      </c>
      <c r="AH109" s="3">
        <f t="shared" si="106"/>
        <v>1.6875</v>
      </c>
      <c r="AI109" s="3">
        <v>0</v>
      </c>
      <c r="AJ109" s="3">
        <v>0</v>
      </c>
      <c r="AK109">
        <f t="shared" si="67"/>
        <v>1.54</v>
      </c>
      <c r="AL109">
        <f t="shared" si="65"/>
        <v>1.3126293750000001E-4</v>
      </c>
      <c r="AM109">
        <v>1.2899999999999999E-3</v>
      </c>
      <c r="AN109" s="2">
        <f t="shared" si="111"/>
        <v>81</v>
      </c>
      <c r="AO109" s="2">
        <f t="shared" si="112"/>
        <v>62</v>
      </c>
      <c r="AP109" s="2" t="str">
        <f t="shared" si="113"/>
        <v/>
      </c>
      <c r="AQ109" s="6">
        <v>1.4587778883899432</v>
      </c>
      <c r="AR109" s="20">
        <v>1.2E-2</v>
      </c>
      <c r="AS109" s="6" t="str">
        <f>IF($H109="BEV",SUMPRODUCT(#REF!,#REF!),"")</f>
        <v/>
      </c>
      <c r="AT109" s="2">
        <f t="shared" si="78"/>
        <v>328.52842356210198</v>
      </c>
      <c r="AU109" s="5">
        <f>IF($H109="ICEV-p",$AQ109/('fuels and tailpipe emissions'!$C$3*3.6)*'fuels and tailpipe emissions'!$D$3,"")*(1-AR109)</f>
        <v>0.10623464363168753</v>
      </c>
      <c r="AV109" s="5">
        <f>IF($H109="ICEV-p",$AQ109/('fuels and tailpipe emissions'!$C$3*3.6)*'fuels and tailpipe emissions'!$D$3,"")*AR109</f>
        <v>1.2902993153646259E-3</v>
      </c>
      <c r="AW109" s="7">
        <f>IF($H109="ICEV-p",$AQ109/('fuels and tailpipe emissions'!$C$3*3.6)*'fuels and tailpipe emissions'!$E$3,"")</f>
        <v>5.478977984563167E-7</v>
      </c>
      <c r="AX109" s="7">
        <f>SUMIFS('fuels and tailpipe emissions'!$G$10:$G$126,'fuels and tailpipe emissions'!$A$10:$A$126,'vehicles specifications'!$F109,'fuels and tailpipe emissions'!$B$10:$B$126,'vehicles specifications'!AX$2)/1000*$AQ109</f>
        <v>1.1120861815633757E-6</v>
      </c>
      <c r="AY109" s="7">
        <f>SUMIFS('fuels and tailpipe emissions'!$G$10:$G$126,'fuels and tailpipe emissions'!$A$10:$A$126,'vehicles specifications'!$F109,'fuels and tailpipe emissions'!$B$10:$B$126,'vehicles specifications'!AY$2)/1000*$AQ109</f>
        <v>2.7420758420675998E-5</v>
      </c>
      <c r="AZ109" s="7">
        <f>SUMIFS('fuels and tailpipe emissions'!$G$10:$G$126,'fuels and tailpipe emissions'!$A$10:$A$126,'vehicles specifications'!$F109,'fuels and tailpipe emissions'!$B$10:$B$126,'vehicles specifications'!AZ$2)/1000*$AQ109</f>
        <v>1.217425302427384E-4</v>
      </c>
      <c r="BA109" s="7">
        <f>SUMIFS('fuels and tailpipe emissions'!$G$10:$G$126,'fuels and tailpipe emissions'!$A$10:$A$126,'vehicles specifications'!$F109,'fuels and tailpipe emissions'!$B$10:$B$126,'vehicles specifications'!BA$2)/1000*$AQ109</f>
        <v>8.2468446377972918E-7</v>
      </c>
      <c r="BB109" s="7">
        <f>SUMIFS('fuels and tailpipe emissions'!$G$10:$G$126,'fuels and tailpipe emissions'!$A$10:$A$126,'vehicles specifications'!$F109,'fuels and tailpipe emissions'!$B$10:$B$126,'vehicles specifications'!BB$2)/1000*$AQ109</f>
        <v>8.2468446377972918E-7</v>
      </c>
      <c r="BC109" s="7">
        <f>SUMIFS('fuels and tailpipe emissions'!$G$10:$G$126,'fuels and tailpipe emissions'!$A$10:$A$126,'vehicles specifications'!$F109,'fuels and tailpipe emissions'!$B$10:$B$126,'vehicles specifications'!BC$2)/1000*$AQ109</f>
        <v>8.9890099189194488E-6</v>
      </c>
      <c r="BD109" s="7">
        <f>SUMIFS('fuels and tailpipe emissions'!$G$10:$G$126,'fuels and tailpipe emissions'!$A$10:$A$126,'vehicles specifications'!$F109,'fuels and tailpipe emissions'!$B$10:$B$126,'vehicles specifications'!BD$2)/1000*$AQ109</f>
        <v>2.0617111594493231E-6</v>
      </c>
      <c r="BE109" s="7">
        <f>SUMIFS('fuels and tailpipe emissions'!$G$10:$G$126,'fuels and tailpipe emissions'!$A$10:$A$126,'vehicles specifications'!$F109,'fuels and tailpipe emissions'!$B$10:$B$126,'vehicles specifications'!BE$2)/1000*$AQ109</f>
        <v>8.9680532716447633E-6</v>
      </c>
      <c r="BF109" s="7">
        <f>SUMIFS('fuels and tailpipe emissions'!$G$10:$G$126,'fuels and tailpipe emissions'!$A$10:$A$126,'vehicles specifications'!$F109,'fuels and tailpipe emissions'!$B$10:$B$126,'vehicles specifications'!BF$2)/1000*$AQ109</f>
        <v>6.3236273069289983E-7</v>
      </c>
      <c r="BG109" s="7">
        <f>SUMIFS('fuels and tailpipe emissions'!$G$10:$G$126,'fuels and tailpipe emissions'!$A$10:$A$126,'vehicles specifications'!$F109,'fuels and tailpipe emissions'!$B$10:$B$126,'vehicles specifications'!BG$2)/1000*$AQ109</f>
        <v>1.2885134010983853E-7</v>
      </c>
      <c r="BH109" s="7">
        <f>SUMIFS('fuels and tailpipe emissions'!$G$10:$G$126,'fuels and tailpipe emissions'!$A$10:$A$126,'vehicles specifications'!$F109,'fuels and tailpipe emissions'!$B$10:$B$126,'vehicles specifications'!BH$2)/1000*$AQ109</f>
        <v>1.0387400341162367E-6</v>
      </c>
      <c r="BI109" s="7">
        <f>SUMIFS('fuels and tailpipe emissions'!$G$10:$G$126,'fuels and tailpipe emissions'!$A$10:$A$126,'vehicles specifications'!$F109,'fuels and tailpipe emissions'!$B$10:$B$126,'vehicles specifications'!BI$2)/1000*$AQ109</f>
        <v>4.2620058651715824E-7</v>
      </c>
      <c r="BJ109" s="7">
        <f>SUMIFS('fuels and tailpipe emissions'!$G$10:$G$126,'fuels and tailpipe emissions'!$A$10:$A$126,'vehicles specifications'!$F109,'fuels and tailpipe emissions'!$B$10:$B$126,'vehicles specifications'!BJ$2)/1000*$AQ109</f>
        <v>3.1915485781052317E-7</v>
      </c>
      <c r="BK109" s="7">
        <f>SUMIFS('fuels and tailpipe emissions'!$G$10:$G$126,'fuels and tailpipe emissions'!$A$10:$A$126,'vehicles specifications'!$F109,'fuels and tailpipe emissions'!$B$10:$B$126,'vehicles specifications'!BK$2)/1000*$AQ109</f>
        <v>2.2598542726956295E-7</v>
      </c>
      <c r="BL109" s="7">
        <f>SUMIFS('fuels and tailpipe emissions'!$G$10:$G$126,'fuels and tailpipe emissions'!$A$10:$A$126,'vehicles specifications'!$F109,'fuels and tailpipe emissions'!$B$10:$B$126,'vehicles specifications'!BL$2)/1000*$AQ109</f>
        <v>1.4669229489427773E-7</v>
      </c>
      <c r="BM109" s="7">
        <f>SUMIFS('fuels and tailpipe emissions'!$G$10:$G$126,'fuels and tailpipe emissions'!$A$10:$A$126,'vehicles specifications'!$F109,'fuels and tailpipe emissions'!$B$10:$B$126,'vehicles specifications'!BM$2)/1000*$AQ109</f>
        <v>1.4470996658489557E-6</v>
      </c>
      <c r="BN109" s="7">
        <f>SUMIFS('fuels and tailpipe emissions'!$G$10:$G$126,'fuels and tailpipe emissions'!$A$10:$A$126,'vehicles specifications'!$F109,'fuels and tailpipe emissions'!$B$10:$B$126,'vehicles specifications'!BN$2)/1000*$AQ109</f>
        <v>7.572494141839741E-7</v>
      </c>
      <c r="BO109" s="7">
        <f>SUMIFS('fuels and tailpipe emissions'!$G$10:$G$126,'fuels and tailpipe emissions'!$A$10:$A$126,'vehicles specifications'!$F109,'fuels and tailpipe emissions'!$B$10:$B$126,'vehicles specifications'!BO$2)/1000*$AQ109</f>
        <v>2.1805611403203451E-8</v>
      </c>
      <c r="BP109" s="7">
        <f>SUMIFS('fuels and tailpipe emissions'!$G$10:$G$126,'fuels and tailpipe emissions'!$A$10:$A$126,'vehicles specifications'!$F109,'fuels and tailpipe emissions'!$B$10:$B$126,'vehicles specifications'!BP$2)/1000*$AQ109</f>
        <v>1.1120861815633757E-6</v>
      </c>
      <c r="BQ109" s="7">
        <f>SUMIFS('fuels and tailpipe emissions'!$G$10:$G$126,'fuels and tailpipe emissions'!$A$10:$A$126,'vehicles specifications'!$F109,'fuels and tailpipe emissions'!$B$10:$B$126,'vehicles specifications'!BQ$2)/1000*$AQ109</f>
        <v>2.1765964837015801E-6</v>
      </c>
      <c r="BR109" s="7">
        <f>SUMIFS('fuels and tailpipe emissions'!$G$10:$G$126,'fuels and tailpipe emissions'!$A$10:$A$126,'vehicles specifications'!$F109,'fuels and tailpipe emissions'!$B$10:$B$126,'vehicles specifications'!BR$2)/1000*$AQ109</f>
        <v>1.0764042719944975E-6</v>
      </c>
      <c r="BS109" s="7">
        <f>SUMIFS('fuels and tailpipe emissions'!$G$10:$G$126,'fuels and tailpipe emissions'!$A$10:$A$126,'vehicles specifications'!$F109,'fuels and tailpipe emissions'!$B$10:$B$126,'vehicles specifications'!BS$2)/1000*$AQ109</f>
        <v>4.4800619792036162E-7</v>
      </c>
      <c r="BT109" s="7">
        <f>SUMIFS('fuels and tailpipe emissions'!$G$10:$G$126,'fuels and tailpipe emissions'!$A$10:$A$126,'vehicles specifications'!$F109,'fuels and tailpipe emissions'!$B$10:$B$126,'vehicles specifications'!BT$2)/1000*$AQ109</f>
        <v>3.3699581259496236E-7</v>
      </c>
      <c r="BU109" s="7">
        <f>SUMIFS('fuels and tailpipe emissions'!$G$10:$G$126,'fuels and tailpipe emissions'!$A$10:$A$126,'vehicles specifications'!$F109,'fuels and tailpipe emissions'!$B$10:$B$126,'vehicles specifications'!BU$2)/1000*$AQ109</f>
        <v>1.4867462320365984E-7</v>
      </c>
      <c r="BV109" s="7">
        <f>SUMIFS('fuels and tailpipe emissions'!$G$10:$G$126,'fuels and tailpipe emissions'!$A$10:$A$126,'vehicles specifications'!$F109,'fuels and tailpipe emissions'!$B$10:$B$126,'vehicles specifications'!BV$2)/1000*$AQ109</f>
        <v>4.3611222806406902E-8</v>
      </c>
      <c r="BW109" s="7">
        <f>SUMIFS('fuels and tailpipe emissions'!$G$10:$G$126,'fuels and tailpipe emissions'!$A$10:$A$126,'vehicles specifications'!$F109,'fuels and tailpipe emissions'!$B$10:$B$126,'vehicles specifications'!BW$2)/1000*$AQ109</f>
        <v>1.2092202687231004E-7</v>
      </c>
      <c r="BX109" s="7">
        <f>SUMIFS('fuels and tailpipe emissions'!$G$10:$G$126,'fuels and tailpipe emissions'!$A$10:$A$126,'vehicles specifications'!$F109,'fuels and tailpipe emissions'!$B$10:$B$126,'vehicles specifications'!BX$2)/1000*$AQ109</f>
        <v>0</v>
      </c>
      <c r="BY109" s="7">
        <f>SUMIFS('fuels and tailpipe emissions'!$G$10:$G$126,'fuels and tailpipe emissions'!$A$10:$A$126,'vehicles specifications'!$F109,'fuels and tailpipe emissions'!$B$10:$B$126,'vehicles specifications'!BY$2)/1000*$AQ109</f>
        <v>3.7664237878260496E-8</v>
      </c>
      <c r="BZ109" s="7">
        <f>SUMIFS('fuels and tailpipe emissions'!$G$10:$G$126,'fuels and tailpipe emissions'!$A$10:$A$126,'vehicles specifications'!$F109,'fuels and tailpipe emissions'!$B$10:$B$126,'vehicles specifications'!BZ$2)/1000*$AQ109</f>
        <v>2.0021515924759527E-7</v>
      </c>
      <c r="CA109" s="7">
        <f>SUMIFS('fuels and tailpipe emissions'!$G$10:$G$126,'fuels and tailpipe emissions'!$A$10:$A$126,'vehicles specifications'!$F109,'fuels and tailpipe emissions'!$B$10:$B$126,'vehicles specifications'!CA$2)/1000*$AQ109</f>
        <v>1.1944816591992947E-9</v>
      </c>
      <c r="CB109" s="7">
        <f>SUMIFS('fuels and tailpipe emissions'!$G$10:$G$126,'fuels and tailpipe emissions'!$A$10:$A$126,'vehicles specifications'!$F109,'fuels and tailpipe emissions'!$B$10:$B$126,'vehicles specifications'!CB$2)/1000*$AQ109</f>
        <v>1.0297255682752541E-11</v>
      </c>
      <c r="CC109" s="7">
        <f>SUMIFS('fuels and tailpipe emissions'!$G$10:$G$126,'fuels and tailpipe emissions'!$A$10:$A$126,'vehicles specifications'!$F109,'fuels and tailpipe emissions'!$B$10:$B$126,'vehicles specifications'!CC$2)/1000*$AQ109</f>
        <v>6.8648371218350269E-12</v>
      </c>
      <c r="CD109" s="7">
        <f>SUMIFS('fuels and tailpipe emissions'!$G$10:$G$126,'fuels and tailpipe emissions'!$A$10:$A$126,'vehicles specifications'!$F109,'fuels and tailpipe emissions'!$B$10:$B$126,'vehicles specifications'!CD$2)/1000*$AQ109</f>
        <v>7.4140240915818294E-8</v>
      </c>
      <c r="CE109" s="7">
        <f>SUMIFS('fuels and tailpipe emissions'!$G$10:$G$126,'fuels and tailpipe emissions'!$A$10:$A$126,'vehicles specifications'!$F109,'fuels and tailpipe emissions'!$B$10:$B$126,'vehicles specifications'!CE$2)/1000*$AQ109</f>
        <v>1.4416157955853554E-9</v>
      </c>
      <c r="CF109" s="7">
        <f>SUMIFS('fuels and tailpipe emissions'!$G$10:$G$126,'fuels and tailpipe emissions'!$A$10:$A$126,'vehicles specifications'!$F109,'fuels and tailpipe emissions'!$B$10:$B$126,'vehicles specifications'!CF$2)/1000*$AQ109</f>
        <v>4.4621441291927677E-10</v>
      </c>
      <c r="CG109" s="7">
        <f>SUMIFS('fuels and tailpipe emissions'!$G$10:$G$126,'fuels and tailpipe emissions'!$A$10:$A$126,'vehicles specifications'!$F109,'fuels and tailpipe emissions'!$B$10:$B$126,'vehicles specifications'!CG$2)/1000*$AQ109</f>
        <v>5.4918696974680217E-10</v>
      </c>
      <c r="CH109" s="7">
        <f>SUMIFS('fuels and tailpipe emissions'!$G$10:$G$126,'fuels and tailpipe emissions'!$A$10:$A$126,'vehicles specifications'!$F109,'fuels and tailpipe emissions'!$B$10:$B$126,'vehicles specifications'!CH$2)/1000*$AQ109</f>
        <v>1.0983739394936042E-12</v>
      </c>
      <c r="CI109" s="7">
        <f>SUMIFS('fuels and tailpipe emissions'!$G$10:$G$126,'fuels and tailpipe emissions'!$A$10:$A$126,'vehicles specifications'!$F109,'fuels and tailpipe emissions'!$B$10:$B$126,'vehicles specifications'!CI$2)/1000*$AQ109</f>
        <v>2.9862041479982367E-10</v>
      </c>
      <c r="CJ109" s="7">
        <f>SUMIFS('fuels and tailpipe emissions'!$G$10:$G$126,'fuels and tailpipe emissions'!$A$10:$A$126,'vehicles specifications'!$F109,'fuels and tailpipe emissions'!$B$10:$B$126,'vehicles specifications'!CJ$2)/1000*$AQ109</f>
        <v>3.7070120457909154E-10</v>
      </c>
      <c r="CK109" s="38">
        <f>VLOOKUP($B109,'abrasion emissions'!$O$7:$R$36,2,FALSE)</f>
        <v>0.33</v>
      </c>
      <c r="CL109" s="38">
        <f>VLOOKUP($B109,'abrasion emissions'!$O$7:$R$36,3,FALSE)</f>
        <v>0.33</v>
      </c>
      <c r="CM109" s="38">
        <f>VLOOKUP($B109,'abrasion emissions'!$O$7:$R$36,4,FALSE)</f>
        <v>0.33</v>
      </c>
      <c r="CN109" s="7">
        <f>((SUMIFS('abrasion emissions'!$M$7:$M$34,'abrasion emissions'!$I$7:$I$34,"PM 2.5",'abrasion emissions'!$J$7:$J$34,"urban",'abrasion emissions'!$K$7:$K$34,"Tyre",'abrasion emissions'!$L$7:$L$34,"b")*POWER(('vehicles specifications'!$Q109/1000),(1/SUMIFS('abrasion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specifications'!$P109/1000),(1/SUMIFS('abrasion emissions'!$M$7:$M$34,'abrasion emissions'!$I$7:$I$34,"PM 10",'abrasion emissions'!$J$7:$J$34,"urban",'abrasion emissions'!$K$7:$K$34,"Tyre",'abrasion emissions'!$L$7:$L$34,"c")))))/1000000</f>
        <v>7.029718898897414E-6</v>
      </c>
      <c r="CO109" s="7">
        <f>((SUMIFS('abrasion emissions'!$M$7:$M$34,'abrasion emissions'!$I$7:$I$34,"PM 2.5",'abrasion emissions'!$J$7:$J$34,"rural",'abrasion emissions'!$K$7:$K$34,"Tyre",'abrasion emissions'!$L$7:$L$34,"b")*POWER(('vehicles specifications'!$Q109/1000),(1/SUMIFS('abrasion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specifications'!$P109/1000),(1/SUMIFS('abrasion emissions'!$M$7:$M$34,'abrasion emissions'!$I$7:$I$34,"PM 10",'abrasion emissions'!$J$7:$J$34,"rural",'abrasion emissions'!$K$7:$K$34,"Tyre",'abrasion emissions'!$L$7:$L$34,"c")))))/1000000</f>
        <v>5.4746502415712912E-6</v>
      </c>
      <c r="CP109" s="7">
        <f>((SUMIFS('abrasion emissions'!$M$7:$M$34,'abrasion emissions'!$I$7:$I$34,"PM 2.5",'abrasion emissions'!$J$7:$J$34,"motorway",'abrasion emissions'!$K$7:$K$34,"Tyre",'abrasion emissions'!$L$7:$L$34,"b")*POWER(('vehicles specifications'!$Q109/1000),(1/SUMIFS('abrasion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specifications'!$P109/1000),(1/SUMIFS('abrasion emissions'!$M$7:$M$34,'abrasion emissions'!$I$7:$I$34,"PM 10",'abrasion emissions'!$J$7:$J$34,"motorway",'abrasion emissions'!$K$7:$K$34,"Tyre",'abrasion emissions'!$L$7:$L$34,"c")))))/1000000</f>
        <v>4.674827510167581E-6</v>
      </c>
      <c r="CQ109" s="7">
        <f>((SUMIFS('abrasion emissions'!$M$7:$M$34,'abrasion emissions'!$I$7:$I$34,"PM 2.5",'abrasion emissions'!$J$7:$J$34,"urban",'abrasion emissions'!$K$7:$K$34,"Brake",'abrasion emissions'!$L$7:$L$34,"b")*POWER(('vehicles specifications'!$Q109/1000),(1/SUMIFS('abrasion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specifications'!$P109/1000),(1/SUMIFS('abrasion emissions'!$M$7:$M$34,'abrasion emissions'!$I$7:$I$34,"PM 10",'abrasion emissions'!$J$7:$J$34,"urban",'abrasion emissions'!$K$7:$K$34,"Brake",'abrasion emissions'!$L$7:$L$34,"c")))))/1000000</f>
        <v>6.8199158236496421E-6</v>
      </c>
      <c r="CR109" s="7">
        <f>((SUMIFS('abrasion emissions'!$M$7:$M$34,'abrasion emissions'!$I$7:$I$34,"PM 2.5",'abrasion emissions'!$J$7:$J$34,"rural",'abrasion emissions'!$K$7:$K$34,"Brake",'abrasion emissions'!$L$7:$L$34,"b")*POWER(('vehicles specifications'!$Q109/1000),(1/SUMIFS('abrasion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specifications'!$P109/1000),(1/SUMIFS('abrasion emissions'!$M$7:$M$34,'abrasion emissions'!$I$7:$I$34,"PM 10",'abrasion emissions'!$J$7:$J$34,"rural",'abrasion emissions'!$K$7:$K$34,"Brake",'abrasion emissions'!$L$7:$L$34,"c")))))/1000000</f>
        <v>2.2807194845263903E-6</v>
      </c>
      <c r="CS109" s="7">
        <f>((SUMIFS('abrasion emissions'!$M$7:$M$34,'abrasion emissions'!$I$7:$I$34,"PM 2.5",'abrasion emissions'!$J$7:$J$34,"motorway",'abrasion emissions'!$K$7:$K$34,"Brake",'abrasion emissions'!$L$7:$L$34,"b")*POWER(('vehicles specifications'!$Q109/1000),(1/SUMIFS('abrasion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specifications'!$P109/1000),(1/SUMIFS('abrasion emissions'!$M$7:$M$34,'abrasion emissions'!$I$7:$I$34,"PM 10",'abrasion emissions'!$J$7:$J$34,"motorway",'abrasion emissions'!$K$7:$K$34,"Brake",'abrasion emissions'!$L$7:$L$34,"c")))))/1000000</f>
        <v>4.3412021153095185E-7</v>
      </c>
      <c r="CT109" s="7">
        <f>((SUMIFS('abrasion emissions'!$M$7:$M$38,'abrasion emissions'!$I$7:$I$38,"PM 2.5",'abrasion emissions'!$K$7:$K$38,"Re-susp.",'abrasion emissions'!$L$7:$L$38,"b")*POWER(('vehicles specifications'!$Q109/1000),(1/SUMIFS('abrasion emissions'!$M$7:$M$38,'abrasion emissions'!$I$7:$I$38,"PM 2.5",'abrasion emissions'!$K$7:$K$38,"Re-susp.",'abrasion emissions'!$L$7:$L$38,"c"))))+
(SUMIFS('abrasion emissions'!$M$7:$M$38,'abrasion emissions'!$I$7:$I$38,"PM 10",'abrasion emissions'!$K$7:$K$38,"Re-susp.",'abrasion emissions'!$L$7:$L$38,"b")*POWER(('vehicles specifications'!$Q109/1000),(1/SUMIFS('abrasion emissions'!$M$7:$M$38,'abrasion emissions'!$I$7:$I$38,"PM 10",'abrasion emissions'!$K$7:$K$38,"Re-susp.",'abrasion emissions'!$L$7:$L$38,"c")))))/1000000</f>
        <v>4.5565148227217145E-6</v>
      </c>
      <c r="CU109" s="7">
        <f>((SUMIFS('abrasion emissions'!$M$7:$M$38,'abrasion emissions'!$I$7:$I$38,"PM 2.5",'abrasion emissions'!$K$7:$K$38,"Road",'abrasion emissions'!$L$7:$L$38,"b")*POWER(('vehicles specifications'!$Q109/1000),(1/SUMIFS('abrasion emissions'!$M$7:$M$38,'abrasion emissions'!$I$7:$I$38,"PM 2.5",'abrasion emissions'!$K$7:$K$38,"Road",'abrasion emissions'!$L$7:$L$38,"c"))))+
(SUMIFS('abrasion emissions'!$M$7:$M$38,'abrasion emissions'!$I$7:$I$38,"PM 10",'abrasion emissions'!$K$7:$K$38,"Road",'abrasion emissions'!$L$7:$L$38,"b")*POWER(('vehicles specifications'!$Q109/1000),(1/SUMIFS('abrasion emissions'!$M$7:$M$38,'abrasion emissions'!$I$7:$I$38,"PM 10",'abrasion emissions'!$K$7:$K$38,"Road",'abrasion emissions'!$L$7:$L$38,"c")))))/1000000+CT109</f>
        <v>8.5441191684619126E-6</v>
      </c>
      <c r="CV109" s="7">
        <f t="shared" si="79"/>
        <v>5.6691348947099748E-6</v>
      </c>
      <c r="CW109" s="7">
        <f t="shared" si="80"/>
        <v>3.1464693215033047E-6</v>
      </c>
    </row>
    <row r="110" spans="1:101" x14ac:dyDescent="0.2">
      <c r="A110" t="str">
        <f t="shared" si="1"/>
        <v>Motorbike, gasoline, 11-35kW, EURO-5 - 2030 - CH</v>
      </c>
      <c r="B110" t="s">
        <v>397</v>
      </c>
      <c r="D110" s="18">
        <v>2030</v>
      </c>
      <c r="E110" t="s">
        <v>37</v>
      </c>
      <c r="F110" t="s">
        <v>141</v>
      </c>
      <c r="G110" t="s">
        <v>39</v>
      </c>
      <c r="H110" t="s">
        <v>35</v>
      </c>
      <c r="J110">
        <v>38500</v>
      </c>
      <c r="K110">
        <v>2405</v>
      </c>
      <c r="L110" s="2">
        <f t="shared" si="108"/>
        <v>16.008316008316008</v>
      </c>
      <c r="M110">
        <v>1.1000000000000001</v>
      </c>
      <c r="N110">
        <v>75</v>
      </c>
      <c r="O110">
        <v>6</v>
      </c>
      <c r="P110" s="2">
        <f t="shared" si="64"/>
        <v>153.50749999999999</v>
      </c>
      <c r="Q110" s="2">
        <f t="shared" si="109"/>
        <v>242.00749999999999</v>
      </c>
      <c r="R110">
        <v>20</v>
      </c>
      <c r="S110" s="2">
        <v>81</v>
      </c>
      <c r="T110" s="1">
        <v>0.03</v>
      </c>
      <c r="U110" s="2">
        <f t="shared" si="105"/>
        <v>78.569999999999993</v>
      </c>
      <c r="V110" s="2">
        <v>62</v>
      </c>
      <c r="W110" s="2">
        <v>0</v>
      </c>
      <c r="X110" s="3">
        <v>0</v>
      </c>
      <c r="Y110" s="1">
        <v>0.8</v>
      </c>
      <c r="Z110" s="3">
        <f t="shared" si="110"/>
        <v>0</v>
      </c>
      <c r="AA110" s="3" t="str">
        <f>IF(I110&lt;&gt;"",X110/INDEX('energy battery'!$B$3:$D$6,MATCH('vehicles specifications'!$D110,'energy battery'!$A$3:$A$6,0),MATCH('vehicles specifications'!$I110,'energy battery'!$B$2:$D$2,0)),"")</f>
        <v/>
      </c>
      <c r="AB110" s="3" t="str">
        <f t="shared" si="6"/>
        <v/>
      </c>
      <c r="AC110" s="3" t="str">
        <f t="shared" si="7"/>
        <v/>
      </c>
      <c r="AD110" s="3">
        <v>0</v>
      </c>
      <c r="AE110" s="3">
        <v>15</v>
      </c>
      <c r="AF110">
        <f>AE110*'fuels and tailpipe emissions'!$B$3</f>
        <v>11.25</v>
      </c>
      <c r="AG110" s="2">
        <f>AF110*'fuels and tailpipe emissions'!$C$3</f>
        <v>133.125</v>
      </c>
      <c r="AH110" s="3">
        <f t="shared" si="106"/>
        <v>1.6875</v>
      </c>
      <c r="AI110" s="3">
        <v>0</v>
      </c>
      <c r="AJ110" s="3">
        <v>0</v>
      </c>
      <c r="AK110">
        <f t="shared" si="67"/>
        <v>1.54</v>
      </c>
      <c r="AL110">
        <f t="shared" si="65"/>
        <v>1.299580275E-4</v>
      </c>
      <c r="AM110">
        <v>1.2899999999999999E-3</v>
      </c>
      <c r="AN110" s="2">
        <f t="shared" si="111"/>
        <v>78.569999999999993</v>
      </c>
      <c r="AO110" s="2">
        <f t="shared" si="112"/>
        <v>62</v>
      </c>
      <c r="AP110" s="2" t="str">
        <f t="shared" si="113"/>
        <v/>
      </c>
      <c r="AQ110" s="6">
        <v>1.4441901095060437</v>
      </c>
      <c r="AR110" s="20">
        <v>1.2E-2</v>
      </c>
      <c r="AS110" s="6" t="str">
        <f>IF($H110="BEV",SUMPRODUCT(#REF!,#REF!),"")</f>
        <v/>
      </c>
      <c r="AT110" s="2">
        <f t="shared" si="78"/>
        <v>331.84689248697174</v>
      </c>
      <c r="AU110" s="5">
        <f>IF($H110="ICEV-p",$AQ110/('fuels and tailpipe emissions'!$C$3*3.6)*'fuels and tailpipe emissions'!$D$3,"")*(1-AR110)</f>
        <v>0.10517229719537065</v>
      </c>
      <c r="AV110" s="5">
        <f>IF($H110="ICEV-p",$AQ110/('fuels and tailpipe emissions'!$C$3*3.6)*'fuels and tailpipe emissions'!$D$3,"")*AR110</f>
        <v>1.2773963222109796E-3</v>
      </c>
      <c r="AW110" s="7">
        <f>IF($H110="ICEV-p",$AQ110/('fuels and tailpipe emissions'!$C$3*3.6)*'fuels and tailpipe emissions'!$E$3,"")</f>
        <v>5.4241882047175348E-7</v>
      </c>
      <c r="AX110" s="7">
        <f>SUMIFS('fuels and tailpipe emissions'!$G$10:$G$126,'fuels and tailpipe emissions'!$A$10:$A$126,'vehicles specifications'!$F110,'fuels and tailpipe emissions'!$B$10:$B$126,'vehicles specifications'!AX$2)/1000*$AQ110</f>
        <v>1.1009653197477418E-6</v>
      </c>
      <c r="AY110" s="7">
        <f>SUMIFS('fuels and tailpipe emissions'!$G$10:$G$126,'fuels and tailpipe emissions'!$A$10:$A$126,'vehicles specifications'!$F110,'fuels and tailpipe emissions'!$B$10:$B$126,'vehicles specifications'!AY$2)/1000*$AQ110</f>
        <v>2.7146550836469235E-5</v>
      </c>
      <c r="AZ110" s="7">
        <f>SUMIFS('fuels and tailpipe emissions'!$G$10:$G$126,'fuels and tailpipe emissions'!$A$10:$A$126,'vehicles specifications'!$F110,'fuels and tailpipe emissions'!$B$10:$B$126,'vehicles specifications'!AZ$2)/1000*$AQ110</f>
        <v>1.2052510494031101E-4</v>
      </c>
      <c r="BA110" s="7">
        <f>SUMIFS('fuels and tailpipe emissions'!$G$10:$G$126,'fuels and tailpipe emissions'!$A$10:$A$126,'vehicles specifications'!$F110,'fuels and tailpipe emissions'!$B$10:$B$126,'vehicles specifications'!BA$2)/1000*$AQ110</f>
        <v>8.1643761914193182E-7</v>
      </c>
      <c r="BB110" s="7">
        <f>SUMIFS('fuels and tailpipe emissions'!$G$10:$G$126,'fuels and tailpipe emissions'!$A$10:$A$126,'vehicles specifications'!$F110,'fuels and tailpipe emissions'!$B$10:$B$126,'vehicles specifications'!BB$2)/1000*$AQ110</f>
        <v>8.1643761914193182E-7</v>
      </c>
      <c r="BC110" s="7">
        <f>SUMIFS('fuels and tailpipe emissions'!$G$10:$G$126,'fuels and tailpipe emissions'!$A$10:$A$126,'vehicles specifications'!$F110,'fuels and tailpipe emissions'!$B$10:$B$126,'vehicles specifications'!BC$2)/1000*$AQ110</f>
        <v>8.8991198197302526E-6</v>
      </c>
      <c r="BD110" s="7">
        <f>SUMIFS('fuels and tailpipe emissions'!$G$10:$G$126,'fuels and tailpipe emissions'!$A$10:$A$126,'vehicles specifications'!$F110,'fuels and tailpipe emissions'!$B$10:$B$126,'vehicles specifications'!BD$2)/1000*$AQ110</f>
        <v>2.0410940478548298E-6</v>
      </c>
      <c r="BE110" s="7">
        <f>SUMIFS('fuels and tailpipe emissions'!$G$10:$G$126,'fuels and tailpipe emissions'!$A$10:$A$126,'vehicles specifications'!$F110,'fuels and tailpipe emissions'!$B$10:$B$126,'vehicles specifications'!BE$2)/1000*$AQ110</f>
        <v>8.8783727389283155E-6</v>
      </c>
      <c r="BF110" s="7">
        <f>SUMIFS('fuels and tailpipe emissions'!$G$10:$G$126,'fuels and tailpipe emissions'!$A$10:$A$126,'vehicles specifications'!$F110,'fuels and tailpipe emissions'!$B$10:$B$126,'vehicles specifications'!BF$2)/1000*$AQ110</f>
        <v>6.2603910338597077E-7</v>
      </c>
      <c r="BG110" s="7">
        <f>SUMIFS('fuels and tailpipe emissions'!$G$10:$G$126,'fuels and tailpipe emissions'!$A$10:$A$126,'vehicles specifications'!$F110,'fuels and tailpipe emissions'!$B$10:$B$126,'vehicles specifications'!BG$2)/1000*$AQ110</f>
        <v>1.2756282670874015E-7</v>
      </c>
      <c r="BH110" s="7">
        <f>SUMIFS('fuels and tailpipe emissions'!$G$10:$G$126,'fuels and tailpipe emissions'!$A$10:$A$126,'vehicles specifications'!$F110,'fuels and tailpipe emissions'!$B$10:$B$126,'vehicles specifications'!BH$2)/1000*$AQ110</f>
        <v>1.0283526337750743E-6</v>
      </c>
      <c r="BI110" s="7">
        <f>SUMIFS('fuels and tailpipe emissions'!$G$10:$G$126,'fuels and tailpipe emissions'!$A$10:$A$126,'vehicles specifications'!$F110,'fuels and tailpipe emissions'!$B$10:$B$126,'vehicles specifications'!BI$2)/1000*$AQ110</f>
        <v>4.2193858065198663E-7</v>
      </c>
      <c r="BJ110" s="7">
        <f>SUMIFS('fuels and tailpipe emissions'!$G$10:$G$126,'fuels and tailpipe emissions'!$A$10:$A$126,'vehicles specifications'!$F110,'fuels and tailpipe emissions'!$B$10:$B$126,'vehicles specifications'!BJ$2)/1000*$AQ110</f>
        <v>3.1596330923241792E-7</v>
      </c>
      <c r="BK110" s="7">
        <f>SUMIFS('fuels and tailpipe emissions'!$G$10:$G$126,'fuels and tailpipe emissions'!$A$10:$A$126,'vehicles specifications'!$F110,'fuels and tailpipe emissions'!$B$10:$B$126,'vehicles specifications'!BK$2)/1000*$AQ110</f>
        <v>2.2372557299686732E-7</v>
      </c>
      <c r="BL110" s="7">
        <f>SUMIFS('fuels and tailpipe emissions'!$G$10:$G$126,'fuels and tailpipe emissions'!$A$10:$A$126,'vehicles specifications'!$F110,'fuels and tailpipe emissions'!$B$10:$B$126,'vehicles specifications'!BL$2)/1000*$AQ110</f>
        <v>1.4522537194533496E-7</v>
      </c>
      <c r="BM110" s="7">
        <f>SUMIFS('fuels and tailpipe emissions'!$G$10:$G$126,'fuels and tailpipe emissions'!$A$10:$A$126,'vehicles specifications'!$F110,'fuels and tailpipe emissions'!$B$10:$B$126,'vehicles specifications'!BM$2)/1000*$AQ110</f>
        <v>1.4326286691904661E-6</v>
      </c>
      <c r="BN110" s="7">
        <f>SUMIFS('fuels and tailpipe emissions'!$G$10:$G$126,'fuels and tailpipe emissions'!$A$10:$A$126,'vehicles specifications'!$F110,'fuels and tailpipe emissions'!$B$10:$B$126,'vehicles specifications'!BN$2)/1000*$AQ110</f>
        <v>7.4967692004213441E-7</v>
      </c>
      <c r="BO110" s="7">
        <f>SUMIFS('fuels and tailpipe emissions'!$G$10:$G$126,'fuels and tailpipe emissions'!$A$10:$A$126,'vehicles specifications'!$F110,'fuels and tailpipe emissions'!$B$10:$B$126,'vehicles specifications'!BO$2)/1000*$AQ110</f>
        <v>2.1587555289171415E-8</v>
      </c>
      <c r="BP110" s="7">
        <f>SUMIFS('fuels and tailpipe emissions'!$G$10:$G$126,'fuels and tailpipe emissions'!$A$10:$A$126,'vehicles specifications'!$F110,'fuels and tailpipe emissions'!$B$10:$B$126,'vehicles specifications'!BP$2)/1000*$AQ110</f>
        <v>1.1009653197477418E-6</v>
      </c>
      <c r="BQ110" s="7">
        <f>SUMIFS('fuels and tailpipe emissions'!$G$10:$G$126,'fuels and tailpipe emissions'!$A$10:$A$126,'vehicles specifications'!$F110,'fuels and tailpipe emissions'!$B$10:$B$126,'vehicles specifications'!BQ$2)/1000*$AQ110</f>
        <v>2.154830518864564E-6</v>
      </c>
      <c r="BR110" s="7">
        <f>SUMIFS('fuels and tailpipe emissions'!$G$10:$G$126,'fuels and tailpipe emissions'!$A$10:$A$126,'vehicles specifications'!$F110,'fuels and tailpipe emissions'!$B$10:$B$126,'vehicles specifications'!BR$2)/1000*$AQ110</f>
        <v>1.0656402292745523E-6</v>
      </c>
      <c r="BS110" s="7">
        <f>SUMIFS('fuels and tailpipe emissions'!$G$10:$G$126,'fuels and tailpipe emissions'!$A$10:$A$126,'vehicles specifications'!$F110,'fuels and tailpipe emissions'!$B$10:$B$126,'vehicles specifications'!BS$2)/1000*$AQ110</f>
        <v>4.4352613594115801E-7</v>
      </c>
      <c r="BT110" s="7">
        <f>SUMIFS('fuels and tailpipe emissions'!$G$10:$G$126,'fuels and tailpipe emissions'!$A$10:$A$126,'vehicles specifications'!$F110,'fuels and tailpipe emissions'!$B$10:$B$126,'vehicles specifications'!BT$2)/1000*$AQ110</f>
        <v>3.3362585446901273E-7</v>
      </c>
      <c r="BU110" s="7">
        <f>SUMIFS('fuels and tailpipe emissions'!$G$10:$G$126,'fuels and tailpipe emissions'!$A$10:$A$126,'vehicles specifications'!$F110,'fuels and tailpipe emissions'!$B$10:$B$126,'vehicles specifications'!BU$2)/1000*$AQ110</f>
        <v>1.4718787697162324E-7</v>
      </c>
      <c r="BV110" s="7">
        <f>SUMIFS('fuels and tailpipe emissions'!$G$10:$G$126,'fuels and tailpipe emissions'!$A$10:$A$126,'vehicles specifications'!$F110,'fuels and tailpipe emissions'!$B$10:$B$126,'vehicles specifications'!BV$2)/1000*$AQ110</f>
        <v>4.317511057834283E-8</v>
      </c>
      <c r="BW110" s="7">
        <f>SUMIFS('fuels and tailpipe emissions'!$G$10:$G$126,'fuels and tailpipe emissions'!$A$10:$A$126,'vehicles specifications'!$F110,'fuels and tailpipe emissions'!$B$10:$B$126,'vehicles specifications'!BW$2)/1000*$AQ110</f>
        <v>1.1971280660358694E-7</v>
      </c>
      <c r="BX110" s="7">
        <f>SUMIFS('fuels and tailpipe emissions'!$G$10:$G$126,'fuels and tailpipe emissions'!$A$10:$A$126,'vehicles specifications'!$F110,'fuels and tailpipe emissions'!$B$10:$B$126,'vehicles specifications'!BX$2)/1000*$AQ110</f>
        <v>0</v>
      </c>
      <c r="BY110" s="7">
        <f>SUMIFS('fuels and tailpipe emissions'!$G$10:$G$126,'fuels and tailpipe emissions'!$A$10:$A$126,'vehicles specifications'!$F110,'fuels and tailpipe emissions'!$B$10:$B$126,'vehicles specifications'!BY$2)/1000*$AQ110</f>
        <v>3.7287595499477888E-8</v>
      </c>
      <c r="BZ110" s="7">
        <f>SUMIFS('fuels and tailpipe emissions'!$G$10:$G$126,'fuels and tailpipe emissions'!$A$10:$A$126,'vehicles specifications'!$F110,'fuels and tailpipe emissions'!$B$10:$B$126,'vehicles specifications'!BZ$2)/1000*$AQ110</f>
        <v>1.9821300765511932E-7</v>
      </c>
      <c r="CA110" s="7">
        <f>SUMIFS('fuels and tailpipe emissions'!$G$10:$G$126,'fuels and tailpipe emissions'!$A$10:$A$126,'vehicles specifications'!$F110,'fuels and tailpipe emissions'!$B$10:$B$126,'vehicles specifications'!CA$2)/1000*$AQ110</f>
        <v>1.1825368426073017E-9</v>
      </c>
      <c r="CB110" s="7">
        <f>SUMIFS('fuels and tailpipe emissions'!$G$10:$G$126,'fuels and tailpipe emissions'!$A$10:$A$126,'vehicles specifications'!$F110,'fuels and tailpipe emissions'!$B$10:$B$126,'vehicles specifications'!CB$2)/1000*$AQ110</f>
        <v>1.0194283125925015E-11</v>
      </c>
      <c r="CC110" s="7">
        <f>SUMIFS('fuels and tailpipe emissions'!$G$10:$G$126,'fuels and tailpipe emissions'!$A$10:$A$126,'vehicles specifications'!$F110,'fuels and tailpipe emissions'!$B$10:$B$126,'vehicles specifications'!CC$2)/1000*$AQ110</f>
        <v>6.7961887506166765E-12</v>
      </c>
      <c r="CD110" s="7">
        <f>SUMIFS('fuels and tailpipe emissions'!$G$10:$G$126,'fuels and tailpipe emissions'!$A$10:$A$126,'vehicles specifications'!$F110,'fuels and tailpipe emissions'!$B$10:$B$126,'vehicles specifications'!CD$2)/1000*$AQ110</f>
        <v>7.3398838506660105E-8</v>
      </c>
      <c r="CE110" s="7">
        <f>SUMIFS('fuels and tailpipe emissions'!$G$10:$G$126,'fuels and tailpipe emissions'!$A$10:$A$126,'vehicles specifications'!$F110,'fuels and tailpipe emissions'!$B$10:$B$126,'vehicles specifications'!CE$2)/1000*$AQ110</f>
        <v>1.4271996376295018E-9</v>
      </c>
      <c r="CF110" s="7">
        <f>SUMIFS('fuels and tailpipe emissions'!$G$10:$G$126,'fuels and tailpipe emissions'!$A$10:$A$126,'vehicles specifications'!$F110,'fuels and tailpipe emissions'!$B$10:$B$126,'vehicles specifications'!CF$2)/1000*$AQ110</f>
        <v>4.4175226879008398E-10</v>
      </c>
      <c r="CG110" s="7">
        <f>SUMIFS('fuels and tailpipe emissions'!$G$10:$G$126,'fuels and tailpipe emissions'!$A$10:$A$126,'vehicles specifications'!$F110,'fuels and tailpipe emissions'!$B$10:$B$126,'vehicles specifications'!CG$2)/1000*$AQ110</f>
        <v>5.4369510004933417E-10</v>
      </c>
      <c r="CH110" s="7">
        <f>SUMIFS('fuels and tailpipe emissions'!$G$10:$G$126,'fuels and tailpipe emissions'!$A$10:$A$126,'vehicles specifications'!$F110,'fuels and tailpipe emissions'!$B$10:$B$126,'vehicles specifications'!CH$2)/1000*$AQ110</f>
        <v>1.0873902000986681E-12</v>
      </c>
      <c r="CI110" s="7">
        <f>SUMIFS('fuels and tailpipe emissions'!$G$10:$G$126,'fuels and tailpipe emissions'!$A$10:$A$126,'vehicles specifications'!$F110,'fuels and tailpipe emissions'!$B$10:$B$126,'vehicles specifications'!CI$2)/1000*$AQ110</f>
        <v>2.9563421065182544E-10</v>
      </c>
      <c r="CJ110" s="7">
        <f>SUMIFS('fuels and tailpipe emissions'!$G$10:$G$126,'fuels and tailpipe emissions'!$A$10:$A$126,'vehicles specifications'!$F110,'fuels and tailpipe emissions'!$B$10:$B$126,'vehicles specifications'!CJ$2)/1000*$AQ110</f>
        <v>3.6699419253330059E-10</v>
      </c>
      <c r="CK110" s="38">
        <f>VLOOKUP($B110,'abrasion emissions'!$O$7:$R$36,2,FALSE)</f>
        <v>0.33</v>
      </c>
      <c r="CL110" s="38">
        <f>VLOOKUP($B110,'abrasion emissions'!$O$7:$R$36,3,FALSE)</f>
        <v>0.33</v>
      </c>
      <c r="CM110" s="38">
        <f>VLOOKUP($B110,'abrasion emissions'!$O$7:$R$36,4,FALSE)</f>
        <v>0.33</v>
      </c>
      <c r="CN110" s="7">
        <f>((SUMIFS('abrasion emissions'!$M$7:$M$34,'abrasion emissions'!$I$7:$I$34,"PM 2.5",'abrasion emissions'!$J$7:$J$34,"urban",'abrasion emissions'!$K$7:$K$34,"Tyre",'abrasion emissions'!$L$7:$L$34,"b")*POWER(('vehicles specifications'!$Q110/1000),(1/SUMIFS('abrasion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specifications'!$P110/1000),(1/SUMIFS('abrasion emissions'!$M$7:$M$34,'abrasion emissions'!$I$7:$I$34,"PM 10",'abrasion emissions'!$J$7:$J$34,"urban",'abrasion emissions'!$K$7:$K$34,"Tyre",'abrasion emissions'!$L$7:$L$34,"c")))))/1000000</f>
        <v>6.9928604136732344E-6</v>
      </c>
      <c r="CO110" s="7">
        <f>((SUMIFS('abrasion emissions'!$M$7:$M$34,'abrasion emissions'!$I$7:$I$34,"PM 2.5",'abrasion emissions'!$J$7:$J$34,"rural",'abrasion emissions'!$K$7:$K$34,"Tyre",'abrasion emissions'!$L$7:$L$34,"b")*POWER(('vehicles specifications'!$Q110/1000),(1/SUMIFS('abrasion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specifications'!$P110/1000),(1/SUMIFS('abrasion emissions'!$M$7:$M$34,'abrasion emissions'!$I$7:$I$34,"PM 10",'abrasion emissions'!$J$7:$J$34,"rural",'abrasion emissions'!$K$7:$K$34,"Tyre",'abrasion emissions'!$L$7:$L$34,"c")))))/1000000</f>
        <v>5.4459640330922227E-6</v>
      </c>
      <c r="CP110" s="7">
        <f>((SUMIFS('abrasion emissions'!$M$7:$M$34,'abrasion emissions'!$I$7:$I$34,"PM 2.5",'abrasion emissions'!$J$7:$J$34,"motorway",'abrasion emissions'!$K$7:$K$34,"Tyre",'abrasion emissions'!$L$7:$L$34,"b")*POWER(('vehicles specifications'!$Q110/1000),(1/SUMIFS('abrasion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specifications'!$P110/1000),(1/SUMIFS('abrasion emissions'!$M$7:$M$34,'abrasion emissions'!$I$7:$I$34,"PM 10",'abrasion emissions'!$J$7:$J$34,"motorway",'abrasion emissions'!$K$7:$K$34,"Tyre",'abrasion emissions'!$L$7:$L$34,"c")))))/1000000</f>
        <v>4.6503791209488802E-6</v>
      </c>
      <c r="CQ110" s="7">
        <f>((SUMIFS('abrasion emissions'!$M$7:$M$34,'abrasion emissions'!$I$7:$I$34,"PM 2.5",'abrasion emissions'!$J$7:$J$34,"urban",'abrasion emissions'!$K$7:$K$34,"Brake",'abrasion emissions'!$L$7:$L$34,"b")*POWER(('vehicles specifications'!$Q110/1000),(1/SUMIFS('abrasion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specifications'!$P110/1000),(1/SUMIFS('abrasion emissions'!$M$7:$M$34,'abrasion emissions'!$I$7:$I$34,"PM 10",'abrasion emissions'!$J$7:$J$34,"urban",'abrasion emissions'!$K$7:$K$34,"Brake",'abrasion emissions'!$L$7:$L$34,"c")))))/1000000</f>
        <v>6.7794296603266221E-6</v>
      </c>
      <c r="CR110" s="7">
        <f>((SUMIFS('abrasion emissions'!$M$7:$M$34,'abrasion emissions'!$I$7:$I$34,"PM 2.5",'abrasion emissions'!$J$7:$J$34,"rural",'abrasion emissions'!$K$7:$K$34,"Brake",'abrasion emissions'!$L$7:$L$34,"b")*POWER(('vehicles specifications'!$Q110/1000),(1/SUMIFS('abrasion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specifications'!$P110/1000),(1/SUMIFS('abrasion emissions'!$M$7:$M$34,'abrasion emissions'!$I$7:$I$34,"PM 10",'abrasion emissions'!$J$7:$J$34,"rural",'abrasion emissions'!$K$7:$K$34,"Brake",'abrasion emissions'!$L$7:$L$34,"c")))))/1000000</f>
        <v>2.2636090726604796E-6</v>
      </c>
      <c r="CS110" s="7">
        <f>((SUMIFS('abrasion emissions'!$M$7:$M$34,'abrasion emissions'!$I$7:$I$34,"PM 2.5",'abrasion emissions'!$J$7:$J$34,"motorway",'abrasion emissions'!$K$7:$K$34,"Brake",'abrasion emissions'!$L$7:$L$34,"b")*POWER(('vehicles specifications'!$Q110/1000),(1/SUMIFS('abrasion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specifications'!$P110/1000),(1/SUMIFS('abrasion emissions'!$M$7:$M$34,'abrasion emissions'!$I$7:$I$34,"PM 10",'abrasion emissions'!$J$7:$J$34,"motorway",'abrasion emissions'!$K$7:$K$34,"Brake",'abrasion emissions'!$L$7:$L$34,"c")))))/1000000</f>
        <v>4.3037974390835764E-7</v>
      </c>
      <c r="CT110" s="7">
        <f>((SUMIFS('abrasion emissions'!$M$7:$M$38,'abrasion emissions'!$I$7:$I$38,"PM 2.5",'abrasion emissions'!$K$7:$K$38,"Re-susp.",'abrasion emissions'!$L$7:$L$38,"b")*POWER(('vehicles specifications'!$Q110/1000),(1/SUMIFS('abrasion emissions'!$M$7:$M$38,'abrasion emissions'!$I$7:$I$38,"PM 2.5",'abrasion emissions'!$K$7:$K$38,"Re-susp.",'abrasion emissions'!$L$7:$L$38,"c"))))+
(SUMIFS('abrasion emissions'!$M$7:$M$38,'abrasion emissions'!$I$7:$I$38,"PM 10",'abrasion emissions'!$K$7:$K$38,"Re-susp.",'abrasion emissions'!$L$7:$L$38,"b")*POWER(('vehicles specifications'!$Q110/1000),(1/SUMIFS('abrasion emissions'!$M$7:$M$38,'abrasion emissions'!$I$7:$I$38,"PM 10",'abrasion emissions'!$K$7:$K$38,"Re-susp.",'abrasion emissions'!$L$7:$L$38,"c")))))/1000000</f>
        <v>4.5153168869018032E-6</v>
      </c>
      <c r="CU110" s="7">
        <f>((SUMIFS('abrasion emissions'!$M$7:$M$38,'abrasion emissions'!$I$7:$I$38,"PM 2.5",'abrasion emissions'!$K$7:$K$38,"Road",'abrasion emissions'!$L$7:$L$38,"b")*POWER(('vehicles specifications'!$Q110/1000),(1/SUMIFS('abrasion emissions'!$M$7:$M$38,'abrasion emissions'!$I$7:$I$38,"PM 2.5",'abrasion emissions'!$K$7:$K$38,"Road",'abrasion emissions'!$L$7:$L$38,"c"))))+
(SUMIFS('abrasion emissions'!$M$7:$M$38,'abrasion emissions'!$I$7:$I$38,"PM 10",'abrasion emissions'!$K$7:$K$38,"Road",'abrasion emissions'!$L$7:$L$38,"b")*POWER(('vehicles specifications'!$Q110/1000),(1/SUMIFS('abrasion emissions'!$M$7:$M$38,'abrasion emissions'!$I$7:$I$38,"PM 10",'abrasion emissions'!$K$7:$K$38,"Road",'abrasion emissions'!$L$7:$L$38,"c")))))/1000000+CT110</f>
        <v>8.4764495586081521E-6</v>
      </c>
      <c r="CV110" s="7">
        <f t="shared" si="79"/>
        <v>5.6394371773457311E-6</v>
      </c>
      <c r="CW110" s="7">
        <f t="shared" si="80"/>
        <v>3.126228097375502E-6</v>
      </c>
    </row>
    <row r="111" spans="1:101" x14ac:dyDescent="0.2">
      <c r="A111" t="str">
        <f t="shared" si="1"/>
        <v>Motorbike, gasoline, 11-35kW, EURO-5 - 2040 - CH</v>
      </c>
      <c r="B111" t="s">
        <v>397</v>
      </c>
      <c r="D111" s="18">
        <v>2040</v>
      </c>
      <c r="E111" t="s">
        <v>37</v>
      </c>
      <c r="F111" t="s">
        <v>141</v>
      </c>
      <c r="G111" t="s">
        <v>39</v>
      </c>
      <c r="H111" t="s">
        <v>35</v>
      </c>
      <c r="J111">
        <v>38500</v>
      </c>
      <c r="K111">
        <v>2405</v>
      </c>
      <c r="L111" s="2">
        <f t="shared" si="108"/>
        <v>16.008316008316008</v>
      </c>
      <c r="M111">
        <v>1.1000000000000001</v>
      </c>
      <c r="N111">
        <v>75</v>
      </c>
      <c r="O111">
        <v>6</v>
      </c>
      <c r="P111" s="2">
        <f t="shared" si="64"/>
        <v>151.88749999999999</v>
      </c>
      <c r="Q111" s="2">
        <f t="shared" si="109"/>
        <v>240.38749999999999</v>
      </c>
      <c r="R111">
        <v>20</v>
      </c>
      <c r="S111" s="2">
        <v>81</v>
      </c>
      <c r="T111" s="1">
        <v>0.05</v>
      </c>
      <c r="U111" s="2">
        <f t="shared" si="105"/>
        <v>76.95</v>
      </c>
      <c r="V111" s="2">
        <v>62</v>
      </c>
      <c r="W111" s="2">
        <v>0</v>
      </c>
      <c r="X111" s="3">
        <v>0</v>
      </c>
      <c r="Y111" s="1">
        <v>0.8</v>
      </c>
      <c r="Z111" s="3">
        <f t="shared" si="110"/>
        <v>0</v>
      </c>
      <c r="AA111" s="3" t="str">
        <f>IF(I111&lt;&gt;"",X111/INDEX('energy battery'!$B$3:$D$6,MATCH('vehicles specifications'!$D111,'energy battery'!$A$3:$A$6,0),MATCH('vehicles specifications'!$I111,'energy battery'!$B$2:$D$2,0)),"")</f>
        <v/>
      </c>
      <c r="AB111" s="3" t="str">
        <f t="shared" si="6"/>
        <v/>
      </c>
      <c r="AC111" s="3" t="str">
        <f t="shared" si="7"/>
        <v/>
      </c>
      <c r="AD111" s="3">
        <v>0</v>
      </c>
      <c r="AE111" s="3">
        <v>15</v>
      </c>
      <c r="AF111">
        <f>AE111*'fuels and tailpipe emissions'!$B$3</f>
        <v>11.25</v>
      </c>
      <c r="AG111" s="2">
        <f>AF111*'fuels and tailpipe emissions'!$C$3</f>
        <v>133.125</v>
      </c>
      <c r="AH111" s="3">
        <f t="shared" si="106"/>
        <v>1.6875</v>
      </c>
      <c r="AI111" s="3">
        <v>0</v>
      </c>
      <c r="AJ111" s="3">
        <v>0</v>
      </c>
      <c r="AK111">
        <f t="shared" si="67"/>
        <v>1.54</v>
      </c>
      <c r="AL111">
        <f t="shared" si="65"/>
        <v>1.290880875E-4</v>
      </c>
      <c r="AM111">
        <v>1.2899999999999999E-3</v>
      </c>
      <c r="AN111" s="2">
        <f t="shared" si="111"/>
        <v>76.95</v>
      </c>
      <c r="AO111" s="2">
        <f t="shared" si="112"/>
        <v>62</v>
      </c>
      <c r="AP111" s="2" t="str">
        <f t="shared" si="113"/>
        <v/>
      </c>
      <c r="AQ111" s="6">
        <v>1.4297482084109832</v>
      </c>
      <c r="AR111" s="20">
        <v>1.2E-2</v>
      </c>
      <c r="AS111" s="6" t="str">
        <f>IF($H111="BEV",SUMPRODUCT(#REF!,#REF!),"")</f>
        <v/>
      </c>
      <c r="AT111" s="2">
        <f t="shared" si="78"/>
        <v>335.19888129997145</v>
      </c>
      <c r="AU111" s="5">
        <f>IF($H111="ICEV-p",$AQ111/('fuels and tailpipe emissions'!$C$3*3.6)*'fuels and tailpipe emissions'!$D$3,"")*(1-AR111)</f>
        <v>0.10412057422341693</v>
      </c>
      <c r="AV111" s="5">
        <f>IF($H111="ICEV-p",$AQ111/('fuels and tailpipe emissions'!$C$3*3.6)*'fuels and tailpipe emissions'!$D$3,"")*AR111</f>
        <v>1.2646223589888696E-3</v>
      </c>
      <c r="AW111" s="7">
        <f>IF($H111="ICEV-p",$AQ111/('fuels and tailpipe emissions'!$C$3*3.6)*'fuels and tailpipe emissions'!$E$3,"")</f>
        <v>5.3699463226703594E-7</v>
      </c>
      <c r="AX111" s="7">
        <f>SUMIFS('fuels and tailpipe emissions'!$G$10:$G$126,'fuels and tailpipe emissions'!$A$10:$A$126,'vehicles specifications'!$F111,'fuels and tailpipe emissions'!$B$10:$B$126,'vehicles specifications'!AX$2)/1000*$AQ111</f>
        <v>1.0899556665502644E-6</v>
      </c>
      <c r="AY111" s="7">
        <f>SUMIFS('fuels and tailpipe emissions'!$G$10:$G$126,'fuels and tailpipe emissions'!$A$10:$A$126,'vehicles specifications'!$F111,'fuels and tailpipe emissions'!$B$10:$B$126,'vehicles specifications'!AY$2)/1000*$AQ111</f>
        <v>2.6875085328104543E-5</v>
      </c>
      <c r="AZ111" s="7">
        <f>SUMIFS('fuels and tailpipe emissions'!$G$10:$G$126,'fuels and tailpipe emissions'!$A$10:$A$126,'vehicles specifications'!$F111,'fuels and tailpipe emissions'!$B$10:$B$126,'vehicles specifications'!AZ$2)/1000*$AQ111</f>
        <v>1.1931985389090789E-4</v>
      </c>
      <c r="BA111" s="7">
        <f>SUMIFS('fuels and tailpipe emissions'!$G$10:$G$126,'fuels and tailpipe emissions'!$A$10:$A$126,'vehicles specifications'!$F111,'fuels and tailpipe emissions'!$B$10:$B$126,'vehicles specifications'!BA$2)/1000*$AQ111</f>
        <v>8.0827324295051251E-7</v>
      </c>
      <c r="BB111" s="7">
        <f>SUMIFS('fuels and tailpipe emissions'!$G$10:$G$126,'fuels and tailpipe emissions'!$A$10:$A$126,'vehicles specifications'!$F111,'fuels and tailpipe emissions'!$B$10:$B$126,'vehicles specifications'!BB$2)/1000*$AQ111</f>
        <v>8.0827324295051251E-7</v>
      </c>
      <c r="BC111" s="7">
        <f>SUMIFS('fuels and tailpipe emissions'!$G$10:$G$126,'fuels and tailpipe emissions'!$A$10:$A$126,'vehicles specifications'!$F111,'fuels and tailpipe emissions'!$B$10:$B$126,'vehicles specifications'!BC$2)/1000*$AQ111</f>
        <v>8.8101286215329498E-6</v>
      </c>
      <c r="BD111" s="7">
        <f>SUMIFS('fuels and tailpipe emissions'!$G$10:$G$126,'fuels and tailpipe emissions'!$A$10:$A$126,'vehicles specifications'!$F111,'fuels and tailpipe emissions'!$B$10:$B$126,'vehicles specifications'!BD$2)/1000*$AQ111</f>
        <v>2.0206831073762815E-6</v>
      </c>
      <c r="BE111" s="7">
        <f>SUMIFS('fuels and tailpipe emissions'!$G$10:$G$126,'fuels and tailpipe emissions'!$A$10:$A$126,'vehicles specifications'!$F111,'fuels and tailpipe emissions'!$B$10:$B$126,'vehicles specifications'!BE$2)/1000*$AQ111</f>
        <v>8.7895890115390312E-6</v>
      </c>
      <c r="BF111" s="7">
        <f>SUMIFS('fuels and tailpipe emissions'!$G$10:$G$126,'fuels and tailpipe emissions'!$A$10:$A$126,'vehicles specifications'!$F111,'fuels and tailpipe emissions'!$B$10:$B$126,'vehicles specifications'!BF$2)/1000*$AQ111</f>
        <v>6.1977871235211111E-7</v>
      </c>
      <c r="BG111" s="7">
        <f>SUMIFS('fuels and tailpipe emissions'!$G$10:$G$126,'fuels and tailpipe emissions'!$A$10:$A$126,'vehicles specifications'!$F111,'fuels and tailpipe emissions'!$B$10:$B$126,'vehicles specifications'!BG$2)/1000*$AQ111</f>
        <v>1.2628719844165272E-7</v>
      </c>
      <c r="BH111" s="7">
        <f>SUMIFS('fuels and tailpipe emissions'!$G$10:$G$126,'fuels and tailpipe emissions'!$A$10:$A$126,'vehicles specifications'!$F111,'fuels and tailpipe emissions'!$B$10:$B$126,'vehicles specifications'!BH$2)/1000*$AQ111</f>
        <v>1.0180691074373236E-6</v>
      </c>
      <c r="BI111" s="7">
        <f>SUMIFS('fuels and tailpipe emissions'!$G$10:$G$126,'fuels and tailpipe emissions'!$A$10:$A$126,'vehicles specifications'!$F111,'fuels and tailpipe emissions'!$B$10:$B$126,'vehicles specifications'!BI$2)/1000*$AQ111</f>
        <v>4.1771919484546673E-7</v>
      </c>
      <c r="BJ111" s="7">
        <f>SUMIFS('fuels and tailpipe emissions'!$G$10:$G$126,'fuels and tailpipe emissions'!$A$10:$A$126,'vehicles specifications'!$F111,'fuels and tailpipe emissions'!$B$10:$B$126,'vehicles specifications'!BJ$2)/1000*$AQ111</f>
        <v>3.1280367614009373E-7</v>
      </c>
      <c r="BK111" s="7">
        <f>SUMIFS('fuels and tailpipe emissions'!$G$10:$G$126,'fuels and tailpipe emissions'!$A$10:$A$126,'vehicles specifications'!$F111,'fuels and tailpipe emissions'!$B$10:$B$126,'vehicles specifications'!BK$2)/1000*$AQ111</f>
        <v>2.2148831726689864E-7</v>
      </c>
      <c r="BL111" s="7">
        <f>SUMIFS('fuels and tailpipe emissions'!$G$10:$G$126,'fuels and tailpipe emissions'!$A$10:$A$126,'vehicles specifications'!$F111,'fuels and tailpipe emissions'!$B$10:$B$126,'vehicles specifications'!BL$2)/1000*$AQ111</f>
        <v>1.4377311822588159E-7</v>
      </c>
      <c r="BM111" s="7">
        <f>SUMIFS('fuels and tailpipe emissions'!$G$10:$G$126,'fuels and tailpipe emissions'!$A$10:$A$126,'vehicles specifications'!$F111,'fuels and tailpipe emissions'!$B$10:$B$126,'vehicles specifications'!BM$2)/1000*$AQ111</f>
        <v>1.4183023824985615E-6</v>
      </c>
      <c r="BN111" s="7">
        <f>SUMIFS('fuels and tailpipe emissions'!$G$10:$G$126,'fuels and tailpipe emissions'!$A$10:$A$126,'vehicles specifications'!$F111,'fuels and tailpipe emissions'!$B$10:$B$126,'vehicles specifications'!BN$2)/1000*$AQ111</f>
        <v>7.4218015084171301E-7</v>
      </c>
      <c r="BO111" s="7">
        <f>SUMIFS('fuels and tailpipe emissions'!$G$10:$G$126,'fuels and tailpipe emissions'!$A$10:$A$126,'vehicles specifications'!$F111,'fuels and tailpipe emissions'!$B$10:$B$126,'vehicles specifications'!BO$2)/1000*$AQ111</f>
        <v>2.1371679736279698E-8</v>
      </c>
      <c r="BP111" s="7">
        <f>SUMIFS('fuels and tailpipe emissions'!$G$10:$G$126,'fuels and tailpipe emissions'!$A$10:$A$126,'vehicles specifications'!$F111,'fuels and tailpipe emissions'!$B$10:$B$126,'vehicles specifications'!BP$2)/1000*$AQ111</f>
        <v>1.0899556665502644E-6</v>
      </c>
      <c r="BQ111" s="7">
        <f>SUMIFS('fuels and tailpipe emissions'!$G$10:$G$126,'fuels and tailpipe emissions'!$A$10:$A$126,'vehicles specifications'!$F111,'fuels and tailpipe emissions'!$B$10:$B$126,'vehicles specifications'!BQ$2)/1000*$AQ111</f>
        <v>2.1332822136759185E-6</v>
      </c>
      <c r="BR111" s="7">
        <f>SUMIFS('fuels and tailpipe emissions'!$G$10:$G$126,'fuels and tailpipe emissions'!$A$10:$A$126,'vehicles specifications'!$F111,'fuels and tailpipe emissions'!$B$10:$B$126,'vehicles specifications'!BR$2)/1000*$AQ111</f>
        <v>1.0549838269818067E-6</v>
      </c>
      <c r="BS111" s="7">
        <f>SUMIFS('fuels and tailpipe emissions'!$G$10:$G$126,'fuels and tailpipe emissions'!$A$10:$A$126,'vehicles specifications'!$F111,'fuels and tailpipe emissions'!$B$10:$B$126,'vehicles specifications'!BS$2)/1000*$AQ111</f>
        <v>4.390908745817464E-7</v>
      </c>
      <c r="BT111" s="7">
        <f>SUMIFS('fuels and tailpipe emissions'!$G$10:$G$126,'fuels and tailpipe emissions'!$A$10:$A$126,'vehicles specifications'!$F111,'fuels and tailpipe emissions'!$B$10:$B$126,'vehicles specifications'!BT$2)/1000*$AQ111</f>
        <v>3.3028959592432257E-7</v>
      </c>
      <c r="BU111" s="7">
        <f>SUMIFS('fuels and tailpipe emissions'!$G$10:$G$126,'fuels and tailpipe emissions'!$A$10:$A$126,'vehicles specifications'!$F111,'fuels and tailpipe emissions'!$B$10:$B$126,'vehicles specifications'!BU$2)/1000*$AQ111</f>
        <v>1.45715998201907E-7</v>
      </c>
      <c r="BV111" s="7">
        <f>SUMIFS('fuels and tailpipe emissions'!$G$10:$G$126,'fuels and tailpipe emissions'!$A$10:$A$126,'vehicles specifications'!$F111,'fuels and tailpipe emissions'!$B$10:$B$126,'vehicles specifications'!BV$2)/1000*$AQ111</f>
        <v>4.2743359472559396E-8</v>
      </c>
      <c r="BW111" s="7">
        <f>SUMIFS('fuels and tailpipe emissions'!$G$10:$G$126,'fuels and tailpipe emissions'!$A$10:$A$126,'vehicles specifications'!$F111,'fuels and tailpipe emissions'!$B$10:$B$126,'vehicles specifications'!BW$2)/1000*$AQ111</f>
        <v>1.1851567853755105E-7</v>
      </c>
      <c r="BX111" s="7">
        <f>SUMIFS('fuels and tailpipe emissions'!$G$10:$G$126,'fuels and tailpipe emissions'!$A$10:$A$126,'vehicles specifications'!$F111,'fuels and tailpipe emissions'!$B$10:$B$126,'vehicles specifications'!BX$2)/1000*$AQ111</f>
        <v>0</v>
      </c>
      <c r="BY111" s="7">
        <f>SUMIFS('fuels and tailpipe emissions'!$G$10:$G$126,'fuels and tailpipe emissions'!$A$10:$A$126,'vehicles specifications'!$F111,'fuels and tailpipe emissions'!$B$10:$B$126,'vehicles specifications'!BY$2)/1000*$AQ111</f>
        <v>3.6914719544483105E-8</v>
      </c>
      <c r="BZ111" s="7">
        <f>SUMIFS('fuels and tailpipe emissions'!$G$10:$G$126,'fuels and tailpipe emissions'!$A$10:$A$126,'vehicles specifications'!$F111,'fuels and tailpipe emissions'!$B$10:$B$126,'vehicles specifications'!BZ$2)/1000*$AQ111</f>
        <v>1.9623087757856811E-7</v>
      </c>
      <c r="CA111" s="7">
        <f>SUMIFS('fuels and tailpipe emissions'!$G$10:$G$126,'fuels and tailpipe emissions'!$A$10:$A$126,'vehicles specifications'!$F111,'fuels and tailpipe emissions'!$B$10:$B$126,'vehicles specifications'!CA$2)/1000*$AQ111</f>
        <v>1.1707114741812285E-9</v>
      </c>
      <c r="CB111" s="7">
        <f>SUMIFS('fuels and tailpipe emissions'!$G$10:$G$126,'fuels and tailpipe emissions'!$A$10:$A$126,'vehicles specifications'!$F111,'fuels and tailpipe emissions'!$B$10:$B$126,'vehicles specifications'!CB$2)/1000*$AQ111</f>
        <v>1.0092340294665764E-11</v>
      </c>
      <c r="CC111" s="7">
        <f>SUMIFS('fuels and tailpipe emissions'!$G$10:$G$126,'fuels and tailpipe emissions'!$A$10:$A$126,'vehicles specifications'!$F111,'fuels and tailpipe emissions'!$B$10:$B$126,'vehicles specifications'!CC$2)/1000*$AQ111</f>
        <v>6.7282268631105095E-12</v>
      </c>
      <c r="CD111" s="7">
        <f>SUMIFS('fuels and tailpipe emissions'!$G$10:$G$126,'fuels and tailpipe emissions'!$A$10:$A$126,'vehicles specifications'!$F111,'fuels and tailpipe emissions'!$B$10:$B$126,'vehicles specifications'!CD$2)/1000*$AQ111</f>
        <v>7.2664850121593506E-8</v>
      </c>
      <c r="CE111" s="7">
        <f>SUMIFS('fuels and tailpipe emissions'!$G$10:$G$126,'fuels and tailpipe emissions'!$A$10:$A$126,'vehicles specifications'!$F111,'fuels and tailpipe emissions'!$B$10:$B$126,'vehicles specifications'!CE$2)/1000*$AQ111</f>
        <v>1.4129276412532068E-9</v>
      </c>
      <c r="CF111" s="7">
        <f>SUMIFS('fuels and tailpipe emissions'!$G$10:$G$126,'fuels and tailpipe emissions'!$A$10:$A$126,'vehicles specifications'!$F111,'fuels and tailpipe emissions'!$B$10:$B$126,'vehicles specifications'!CF$2)/1000*$AQ111</f>
        <v>4.3733474610218308E-10</v>
      </c>
      <c r="CG111" s="7">
        <f>SUMIFS('fuels and tailpipe emissions'!$G$10:$G$126,'fuels and tailpipe emissions'!$A$10:$A$126,'vehicles specifications'!$F111,'fuels and tailpipe emissions'!$B$10:$B$126,'vehicles specifications'!CG$2)/1000*$AQ111</f>
        <v>5.3825814904884082E-10</v>
      </c>
      <c r="CH111" s="7">
        <f>SUMIFS('fuels and tailpipe emissions'!$G$10:$G$126,'fuels and tailpipe emissions'!$A$10:$A$126,'vehicles specifications'!$F111,'fuels and tailpipe emissions'!$B$10:$B$126,'vehicles specifications'!CH$2)/1000*$AQ111</f>
        <v>1.0765162980976813E-12</v>
      </c>
      <c r="CI111" s="7">
        <f>SUMIFS('fuels and tailpipe emissions'!$G$10:$G$126,'fuels and tailpipe emissions'!$A$10:$A$126,'vehicles specifications'!$F111,'fuels and tailpipe emissions'!$B$10:$B$126,'vehicles specifications'!CI$2)/1000*$AQ111</f>
        <v>2.9267786854530714E-10</v>
      </c>
      <c r="CJ111" s="7">
        <f>SUMIFS('fuels and tailpipe emissions'!$G$10:$G$126,'fuels and tailpipe emissions'!$A$10:$A$126,'vehicles specifications'!$F111,'fuels and tailpipe emissions'!$B$10:$B$126,'vehicles specifications'!CJ$2)/1000*$AQ111</f>
        <v>3.6332425060796757E-10</v>
      </c>
      <c r="CK111" s="38">
        <f>VLOOKUP($B111,'abrasion emissions'!$O$7:$R$36,2,FALSE)</f>
        <v>0.33</v>
      </c>
      <c r="CL111" s="38">
        <f>VLOOKUP($B111,'abrasion emissions'!$O$7:$R$36,3,FALSE)</f>
        <v>0.33</v>
      </c>
      <c r="CM111" s="38">
        <f>VLOOKUP($B111,'abrasion emissions'!$O$7:$R$36,4,FALSE)</f>
        <v>0.33</v>
      </c>
      <c r="CN111" s="7">
        <f>((SUMIFS('abrasion emissions'!$M$7:$M$34,'abrasion emissions'!$I$7:$I$34,"PM 2.5",'abrasion emissions'!$J$7:$J$34,"urban",'abrasion emissions'!$K$7:$K$34,"Tyre",'abrasion emissions'!$L$7:$L$34,"b")*POWER(('vehicles specifications'!$Q111/1000),(1/SUMIFS('abrasion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specifications'!$P111/1000),(1/SUMIFS('abrasion emissions'!$M$7:$M$34,'abrasion emissions'!$I$7:$I$34,"PM 10",'abrasion emissions'!$J$7:$J$34,"urban",'abrasion emissions'!$K$7:$K$34,"Tyre",'abrasion emissions'!$L$7:$L$34,"c")))))/1000000</f>
        <v>6.968139672245422E-6</v>
      </c>
      <c r="CO111" s="7">
        <f>((SUMIFS('abrasion emissions'!$M$7:$M$34,'abrasion emissions'!$I$7:$I$34,"PM 2.5",'abrasion emissions'!$J$7:$J$34,"rural",'abrasion emissions'!$K$7:$K$34,"Tyre",'abrasion emissions'!$L$7:$L$34,"b")*POWER(('vehicles specifications'!$Q111/1000),(1/SUMIFS('abrasion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specifications'!$P111/1000),(1/SUMIFS('abrasion emissions'!$M$7:$M$34,'abrasion emissions'!$I$7:$I$34,"PM 10",'abrasion emissions'!$J$7:$J$34,"rural",'abrasion emissions'!$K$7:$K$34,"Tyre",'abrasion emissions'!$L$7:$L$34,"c")))))/1000000</f>
        <v>5.4267244609867166E-6</v>
      </c>
      <c r="CP111" s="7">
        <f>((SUMIFS('abrasion emissions'!$M$7:$M$34,'abrasion emissions'!$I$7:$I$34,"PM 2.5",'abrasion emissions'!$J$7:$J$34,"motorway",'abrasion emissions'!$K$7:$K$34,"Tyre",'abrasion emissions'!$L$7:$L$34,"b")*POWER(('vehicles specifications'!$Q111/1000),(1/SUMIFS('abrasion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specifications'!$P111/1000),(1/SUMIFS('abrasion emissions'!$M$7:$M$34,'abrasion emissions'!$I$7:$I$34,"PM 10",'abrasion emissions'!$J$7:$J$34,"motorway",'abrasion emissions'!$K$7:$K$34,"Tyre",'abrasion emissions'!$L$7:$L$34,"c")))))/1000000</f>
        <v>4.6339820093847201E-6</v>
      </c>
      <c r="CQ111" s="7">
        <f>((SUMIFS('abrasion emissions'!$M$7:$M$34,'abrasion emissions'!$I$7:$I$34,"PM 2.5",'abrasion emissions'!$J$7:$J$34,"urban",'abrasion emissions'!$K$7:$K$34,"Brake",'abrasion emissions'!$L$7:$L$34,"b")*POWER(('vehicles specifications'!$Q111/1000),(1/SUMIFS('abrasion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specifications'!$P111/1000),(1/SUMIFS('abrasion emissions'!$M$7:$M$34,'abrasion emissions'!$I$7:$I$34,"PM 10",'abrasion emissions'!$J$7:$J$34,"urban",'abrasion emissions'!$K$7:$K$34,"Brake",'abrasion emissions'!$L$7:$L$34,"c")))))/1000000</f>
        <v>6.7523119799278713E-6</v>
      </c>
      <c r="CR111" s="7">
        <f>((SUMIFS('abrasion emissions'!$M$7:$M$34,'abrasion emissions'!$I$7:$I$34,"PM 2.5",'abrasion emissions'!$J$7:$J$34,"rural",'abrasion emissions'!$K$7:$K$34,"Brake",'abrasion emissions'!$L$7:$L$34,"b")*POWER(('vehicles specifications'!$Q111/1000),(1/SUMIFS('abrasion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specifications'!$P111/1000),(1/SUMIFS('abrasion emissions'!$M$7:$M$34,'abrasion emissions'!$I$7:$I$34,"PM 10",'abrasion emissions'!$J$7:$J$34,"rural",'abrasion emissions'!$K$7:$K$34,"Brake",'abrasion emissions'!$L$7:$L$34,"c")))))/1000000</f>
        <v>2.2521644831581709E-6</v>
      </c>
      <c r="CS111" s="7">
        <f>((SUMIFS('abrasion emissions'!$M$7:$M$34,'abrasion emissions'!$I$7:$I$34,"PM 2.5",'abrasion emissions'!$J$7:$J$34,"motorway",'abrasion emissions'!$K$7:$K$34,"Brake",'abrasion emissions'!$L$7:$L$34,"b")*POWER(('vehicles specifications'!$Q111/1000),(1/SUMIFS('abrasion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specifications'!$P111/1000),(1/SUMIFS('abrasion emissions'!$M$7:$M$34,'abrasion emissions'!$I$7:$I$34,"PM 10",'abrasion emissions'!$J$7:$J$34,"motorway",'abrasion emissions'!$K$7:$K$34,"Brake",'abrasion emissions'!$L$7:$L$34,"c")))))/1000000</f>
        <v>4.2788043149073443E-7</v>
      </c>
      <c r="CT111" s="7">
        <f>((SUMIFS('abrasion emissions'!$M$7:$M$38,'abrasion emissions'!$I$7:$I$38,"PM 2.5",'abrasion emissions'!$K$7:$K$38,"Re-susp.",'abrasion emissions'!$L$7:$L$38,"b")*POWER(('vehicles specifications'!$Q111/1000),(1/SUMIFS('abrasion emissions'!$M$7:$M$38,'abrasion emissions'!$I$7:$I$38,"PM 2.5",'abrasion emissions'!$K$7:$K$38,"Re-susp.",'abrasion emissions'!$L$7:$L$38,"c"))))+
(SUMIFS('abrasion emissions'!$M$7:$M$38,'abrasion emissions'!$I$7:$I$38,"PM 10",'abrasion emissions'!$K$7:$K$38,"Re-susp.",'abrasion emissions'!$L$7:$L$38,"b")*POWER(('vehicles specifications'!$Q111/1000),(1/SUMIFS('abrasion emissions'!$M$7:$M$38,'abrasion emissions'!$I$7:$I$38,"PM 10",'abrasion emissions'!$K$7:$K$38,"Re-susp.",'abrasion emissions'!$L$7:$L$38,"c")))))/1000000</f>
        <v>4.4878307196088682E-6</v>
      </c>
      <c r="CU111" s="7">
        <f>((SUMIFS('abrasion emissions'!$M$7:$M$38,'abrasion emissions'!$I$7:$I$38,"PM 2.5",'abrasion emissions'!$K$7:$K$38,"Road",'abrasion emissions'!$L$7:$L$38,"b")*POWER(('vehicles specifications'!$Q111/1000),(1/SUMIFS('abrasion emissions'!$M$7:$M$38,'abrasion emissions'!$I$7:$I$38,"PM 2.5",'abrasion emissions'!$K$7:$K$38,"Road",'abrasion emissions'!$L$7:$L$38,"c"))))+
(SUMIFS('abrasion emissions'!$M$7:$M$38,'abrasion emissions'!$I$7:$I$38,"PM 10",'abrasion emissions'!$K$7:$K$38,"Road",'abrasion emissions'!$L$7:$L$38,"b")*POWER(('vehicles specifications'!$Q111/1000),(1/SUMIFS('abrasion emissions'!$M$7:$M$38,'abrasion emissions'!$I$7:$I$38,"PM 10",'abrasion emissions'!$K$7:$K$38,"Road",'abrasion emissions'!$L$7:$L$38,"c")))))/1000000+CT111</f>
        <v>8.4312663761640712E-6</v>
      </c>
      <c r="CV111" s="7">
        <f t="shared" si="79"/>
        <v>5.6195192270635636E-6</v>
      </c>
      <c r="CW111" s="7">
        <f t="shared" si="80"/>
        <v>3.1126777752103363E-6</v>
      </c>
    </row>
    <row r="112" spans="1:101" x14ac:dyDescent="0.2">
      <c r="A112" t="str">
        <f t="shared" si="1"/>
        <v>Motorbike, gasoline, 11-35kW, EURO-5 - 2050 - CH</v>
      </c>
      <c r="B112" t="s">
        <v>397</v>
      </c>
      <c r="D112" s="18">
        <v>2050</v>
      </c>
      <c r="E112" t="s">
        <v>37</v>
      </c>
      <c r="F112" t="s">
        <v>141</v>
      </c>
      <c r="G112" t="s">
        <v>39</v>
      </c>
      <c r="H112" t="s">
        <v>35</v>
      </c>
      <c r="J112">
        <v>38500</v>
      </c>
      <c r="K112">
        <v>2405</v>
      </c>
      <c r="L112" s="2">
        <f t="shared" si="108"/>
        <v>16.008316008316008</v>
      </c>
      <c r="M112">
        <v>1.1000000000000001</v>
      </c>
      <c r="N112">
        <v>75</v>
      </c>
      <c r="O112">
        <v>6</v>
      </c>
      <c r="P112" s="2">
        <f t="shared" si="64"/>
        <v>150.26749999999998</v>
      </c>
      <c r="Q112" s="2">
        <f t="shared" si="109"/>
        <v>238.76749999999998</v>
      </c>
      <c r="R112">
        <v>20</v>
      </c>
      <c r="S112" s="2">
        <v>81</v>
      </c>
      <c r="T112" s="1">
        <v>7.0000000000000007E-2</v>
      </c>
      <c r="U112" s="2">
        <f t="shared" si="105"/>
        <v>75.33</v>
      </c>
      <c r="V112" s="2">
        <v>62</v>
      </c>
      <c r="W112" s="2">
        <v>0</v>
      </c>
      <c r="X112" s="3">
        <v>0</v>
      </c>
      <c r="Y112" s="1">
        <v>0.8</v>
      </c>
      <c r="Z112" s="3">
        <f t="shared" si="110"/>
        <v>0</v>
      </c>
      <c r="AA112" s="3" t="str">
        <f>IF(I112&lt;&gt;"",X112/INDEX('energy battery'!$B$3:$D$6,MATCH('vehicles specifications'!$D112,'energy battery'!$A$3:$A$6,0),MATCH('vehicles specifications'!$I112,'energy battery'!$B$2:$D$2,0)),"")</f>
        <v/>
      </c>
      <c r="AB112" s="3" t="str">
        <f t="shared" si="6"/>
        <v/>
      </c>
      <c r="AC112" s="3" t="str">
        <f t="shared" si="7"/>
        <v/>
      </c>
      <c r="AD112" s="3">
        <v>0</v>
      </c>
      <c r="AE112" s="3">
        <v>15</v>
      </c>
      <c r="AF112">
        <f>AE112*'fuels and tailpipe emissions'!$B$3</f>
        <v>11.25</v>
      </c>
      <c r="AG112" s="2">
        <f>AF112*'fuels and tailpipe emissions'!$C$3</f>
        <v>133.125</v>
      </c>
      <c r="AH112" s="3">
        <f t="shared" si="106"/>
        <v>1.6875</v>
      </c>
      <c r="AI112" s="3">
        <v>0</v>
      </c>
      <c r="AJ112" s="3">
        <v>0</v>
      </c>
      <c r="AK112">
        <f t="shared" si="67"/>
        <v>1.54</v>
      </c>
      <c r="AL112">
        <f t="shared" si="65"/>
        <v>1.2821814749999999E-4</v>
      </c>
      <c r="AM112">
        <v>1.2899999999999999E-3</v>
      </c>
      <c r="AN112" s="2">
        <f t="shared" si="111"/>
        <v>75.33</v>
      </c>
      <c r="AO112" s="2">
        <f t="shared" si="112"/>
        <v>62</v>
      </c>
      <c r="AP112" s="2" t="str">
        <f t="shared" si="113"/>
        <v/>
      </c>
      <c r="AQ112" s="6">
        <v>1.4154507263268734</v>
      </c>
      <c r="AR112" s="20">
        <v>1.2E-2</v>
      </c>
      <c r="AS112" s="6" t="str">
        <f>IF($H112="BEV",SUMPRODUCT(#REF!,#REF!),"")</f>
        <v/>
      </c>
      <c r="AT112" s="2">
        <f t="shared" si="78"/>
        <v>338.58472858582974</v>
      </c>
      <c r="AU112" s="5">
        <f>IF($H112="ICEV-p",$AQ112/('fuels and tailpipe emissions'!$C$3*3.6)*'fuels and tailpipe emissions'!$D$3,"")*(1-AR112)</f>
        <v>0.10307936848118278</v>
      </c>
      <c r="AV112" s="5">
        <f>IF($H112="ICEV-p",$AQ112/('fuels and tailpipe emissions'!$C$3*3.6)*'fuels and tailpipe emissions'!$D$3,"")*AR112</f>
        <v>1.2519761353989812E-3</v>
      </c>
      <c r="AW112" s="7">
        <f>IF($H112="ICEV-p",$AQ112/('fuels and tailpipe emissions'!$C$3*3.6)*'fuels and tailpipe emissions'!$E$3,"")</f>
        <v>5.316246859443656E-7</v>
      </c>
      <c r="AX112" s="7">
        <f>SUMIFS('fuels and tailpipe emissions'!$G$10:$G$126,'fuels and tailpipe emissions'!$A$10:$A$126,'vehicles specifications'!$F112,'fuels and tailpipe emissions'!$B$10:$B$126,'vehicles specifications'!AX$2)/1000*$AQ112</f>
        <v>1.0790561098847618E-6</v>
      </c>
      <c r="AY112" s="7">
        <f>SUMIFS('fuels and tailpipe emissions'!$G$10:$G$126,'fuels and tailpipe emissions'!$A$10:$A$126,'vehicles specifications'!$F112,'fuels and tailpipe emissions'!$B$10:$B$126,'vehicles specifications'!AY$2)/1000*$AQ112</f>
        <v>2.6606334474823498E-5</v>
      </c>
      <c r="AZ112" s="7">
        <f>SUMIFS('fuels and tailpipe emissions'!$G$10:$G$126,'fuels and tailpipe emissions'!$A$10:$A$126,'vehicles specifications'!$F112,'fuels and tailpipe emissions'!$B$10:$B$126,'vehicles specifications'!AZ$2)/1000*$AQ112</f>
        <v>1.1812665535199882E-4</v>
      </c>
      <c r="BA112" s="7">
        <f>SUMIFS('fuels and tailpipe emissions'!$G$10:$G$126,'fuels and tailpipe emissions'!$A$10:$A$126,'vehicles specifications'!$F112,'fuels and tailpipe emissions'!$B$10:$B$126,'vehicles specifications'!BA$2)/1000*$AQ112</f>
        <v>8.0019051052100739E-7</v>
      </c>
      <c r="BB112" s="7">
        <f>SUMIFS('fuels and tailpipe emissions'!$G$10:$G$126,'fuels and tailpipe emissions'!$A$10:$A$126,'vehicles specifications'!$F112,'fuels and tailpipe emissions'!$B$10:$B$126,'vehicles specifications'!BB$2)/1000*$AQ112</f>
        <v>8.0019051052100739E-7</v>
      </c>
      <c r="BC112" s="7">
        <f>SUMIFS('fuels and tailpipe emissions'!$G$10:$G$126,'fuels and tailpipe emissions'!$A$10:$A$126,'vehicles specifications'!$F112,'fuels and tailpipe emissions'!$B$10:$B$126,'vehicles specifications'!BC$2)/1000*$AQ112</f>
        <v>8.7220273353176207E-6</v>
      </c>
      <c r="BD112" s="7">
        <f>SUMIFS('fuels and tailpipe emissions'!$G$10:$G$126,'fuels and tailpipe emissions'!$A$10:$A$126,'vehicles specifications'!$F112,'fuels and tailpipe emissions'!$B$10:$B$126,'vehicles specifications'!BD$2)/1000*$AQ112</f>
        <v>2.0004762763025187E-6</v>
      </c>
      <c r="BE112" s="7">
        <f>SUMIFS('fuels and tailpipe emissions'!$G$10:$G$126,'fuels and tailpipe emissions'!$A$10:$A$126,'vehicles specifications'!$F112,'fuels and tailpipe emissions'!$B$10:$B$126,'vehicles specifications'!BE$2)/1000*$AQ112</f>
        <v>8.7016931214236427E-6</v>
      </c>
      <c r="BF112" s="7">
        <f>SUMIFS('fuels and tailpipe emissions'!$G$10:$G$126,'fuels and tailpipe emissions'!$A$10:$A$126,'vehicles specifications'!$F112,'fuels and tailpipe emissions'!$B$10:$B$126,'vehicles specifications'!BF$2)/1000*$AQ112</f>
        <v>6.1358092522859004E-7</v>
      </c>
      <c r="BG112" s="7">
        <f>SUMIFS('fuels and tailpipe emissions'!$G$10:$G$126,'fuels and tailpipe emissions'!$A$10:$A$126,'vehicles specifications'!$F112,'fuels and tailpipe emissions'!$B$10:$B$126,'vehicles specifications'!BG$2)/1000*$AQ112</f>
        <v>1.2502432645723621E-7</v>
      </c>
      <c r="BH112" s="7">
        <f>SUMIFS('fuels and tailpipe emissions'!$G$10:$G$126,'fuels and tailpipe emissions'!$A$10:$A$126,'vehicles specifications'!$F112,'fuels and tailpipe emissions'!$B$10:$B$126,'vehicles specifications'!BH$2)/1000*$AQ112</f>
        <v>1.0078884163629505E-6</v>
      </c>
      <c r="BI112" s="7">
        <f>SUMIFS('fuels and tailpipe emissions'!$G$10:$G$126,'fuels and tailpipe emissions'!$A$10:$A$126,'vehicles specifications'!$F112,'fuels and tailpipe emissions'!$B$10:$B$126,'vehicles specifications'!BI$2)/1000*$AQ112</f>
        <v>4.1354200289701212E-7</v>
      </c>
      <c r="BJ112" s="7">
        <f>SUMIFS('fuels and tailpipe emissions'!$G$10:$G$126,'fuels and tailpipe emissions'!$A$10:$A$126,'vehicles specifications'!$F112,'fuels and tailpipe emissions'!$B$10:$B$126,'vehicles specifications'!BJ$2)/1000*$AQ112</f>
        <v>3.0967563937869277E-7</v>
      </c>
      <c r="BK112" s="7">
        <f>SUMIFS('fuels and tailpipe emissions'!$G$10:$G$126,'fuels and tailpipe emissions'!$A$10:$A$126,'vehicles specifications'!$F112,'fuels and tailpipe emissions'!$B$10:$B$126,'vehicles specifications'!BK$2)/1000*$AQ112</f>
        <v>2.1927343409422966E-7</v>
      </c>
      <c r="BL112" s="7">
        <f>SUMIFS('fuels and tailpipe emissions'!$G$10:$G$126,'fuels and tailpipe emissions'!$A$10:$A$126,'vehicles specifications'!$F112,'fuels and tailpipe emissions'!$B$10:$B$126,'vehicles specifications'!BL$2)/1000*$AQ112</f>
        <v>1.4233538704362279E-7</v>
      </c>
      <c r="BM112" s="7">
        <f>SUMIFS('fuels and tailpipe emissions'!$G$10:$G$126,'fuels and tailpipe emissions'!$A$10:$A$126,'vehicles specifications'!$F112,'fuels and tailpipe emissions'!$B$10:$B$126,'vehicles specifications'!BM$2)/1000*$AQ112</f>
        <v>1.404119358673576E-6</v>
      </c>
      <c r="BN112" s="7">
        <f>SUMIFS('fuels and tailpipe emissions'!$G$10:$G$126,'fuels and tailpipe emissions'!$A$10:$A$126,'vehicles specifications'!$F112,'fuels and tailpipe emissions'!$B$10:$B$126,'vehicles specifications'!BN$2)/1000*$AQ112</f>
        <v>7.3475834933329586E-7</v>
      </c>
      <c r="BO112" s="7">
        <f>SUMIFS('fuels and tailpipe emissions'!$G$10:$G$126,'fuels and tailpipe emissions'!$A$10:$A$126,'vehicles specifications'!$F112,'fuels and tailpipe emissions'!$B$10:$B$126,'vehicles specifications'!BO$2)/1000*$AQ112</f>
        <v>2.1157962938916902E-8</v>
      </c>
      <c r="BP112" s="7">
        <f>SUMIFS('fuels and tailpipe emissions'!$G$10:$G$126,'fuels and tailpipe emissions'!$A$10:$A$126,'vehicles specifications'!$F112,'fuels and tailpipe emissions'!$B$10:$B$126,'vehicles specifications'!BP$2)/1000*$AQ112</f>
        <v>1.0790561098847618E-6</v>
      </c>
      <c r="BQ112" s="7">
        <f>SUMIFS('fuels and tailpipe emissions'!$G$10:$G$126,'fuels and tailpipe emissions'!$A$10:$A$126,'vehicles specifications'!$F112,'fuels and tailpipe emissions'!$B$10:$B$126,'vehicles specifications'!BQ$2)/1000*$AQ112</f>
        <v>2.1119493915391591E-6</v>
      </c>
      <c r="BR112" s="7">
        <f>SUMIFS('fuels and tailpipe emissions'!$G$10:$G$126,'fuels and tailpipe emissions'!$A$10:$A$126,'vehicles specifications'!$F112,'fuels and tailpipe emissions'!$B$10:$B$126,'vehicles specifications'!BR$2)/1000*$AQ112</f>
        <v>1.0444339887119887E-6</v>
      </c>
      <c r="BS112" s="7">
        <f>SUMIFS('fuels and tailpipe emissions'!$G$10:$G$126,'fuels and tailpipe emissions'!$A$10:$A$126,'vehicles specifications'!$F112,'fuels and tailpipe emissions'!$B$10:$B$126,'vehicles specifications'!BS$2)/1000*$AQ112</f>
        <v>4.3469996583592895E-7</v>
      </c>
      <c r="BT112" s="7">
        <f>SUMIFS('fuels and tailpipe emissions'!$G$10:$G$126,'fuels and tailpipe emissions'!$A$10:$A$126,'vehicles specifications'!$F112,'fuels and tailpipe emissions'!$B$10:$B$126,'vehicles specifications'!BT$2)/1000*$AQ112</f>
        <v>3.2698669996507936E-7</v>
      </c>
      <c r="BU112" s="7">
        <f>SUMIFS('fuels and tailpipe emissions'!$G$10:$G$126,'fuels and tailpipe emissions'!$A$10:$A$126,'vehicles specifications'!$F112,'fuels and tailpipe emissions'!$B$10:$B$126,'vehicles specifications'!BU$2)/1000*$AQ112</f>
        <v>1.4425883821988794E-7</v>
      </c>
      <c r="BV112" s="7">
        <f>SUMIFS('fuels and tailpipe emissions'!$G$10:$G$126,'fuels and tailpipe emissions'!$A$10:$A$126,'vehicles specifications'!$F112,'fuels and tailpipe emissions'!$B$10:$B$126,'vehicles specifications'!BV$2)/1000*$AQ112</f>
        <v>4.2315925877833804E-8</v>
      </c>
      <c r="BW112" s="7">
        <f>SUMIFS('fuels and tailpipe emissions'!$G$10:$G$126,'fuels and tailpipe emissions'!$A$10:$A$126,'vehicles specifications'!$F112,'fuels and tailpipe emissions'!$B$10:$B$126,'vehicles specifications'!BW$2)/1000*$AQ112</f>
        <v>1.1733052175217554E-7</v>
      </c>
      <c r="BX112" s="7">
        <f>SUMIFS('fuels and tailpipe emissions'!$G$10:$G$126,'fuels and tailpipe emissions'!$A$10:$A$126,'vehicles specifications'!$F112,'fuels and tailpipe emissions'!$B$10:$B$126,'vehicles specifications'!BX$2)/1000*$AQ112</f>
        <v>0</v>
      </c>
      <c r="BY112" s="7">
        <f>SUMIFS('fuels and tailpipe emissions'!$G$10:$G$126,'fuels and tailpipe emissions'!$A$10:$A$126,'vehicles specifications'!$F112,'fuels and tailpipe emissions'!$B$10:$B$126,'vehicles specifications'!BY$2)/1000*$AQ112</f>
        <v>3.654557234903828E-8</v>
      </c>
      <c r="BZ112" s="7">
        <f>SUMIFS('fuels and tailpipe emissions'!$G$10:$G$126,'fuels and tailpipe emissions'!$A$10:$A$126,'vehicles specifications'!$F112,'fuels and tailpipe emissions'!$B$10:$B$126,'vehicles specifications'!BZ$2)/1000*$AQ112</f>
        <v>1.9426856880278244E-7</v>
      </c>
      <c r="CA112" s="7">
        <f>SUMIFS('fuels and tailpipe emissions'!$G$10:$G$126,'fuels and tailpipe emissions'!$A$10:$A$126,'vehicles specifications'!$F112,'fuels and tailpipe emissions'!$B$10:$B$126,'vehicles specifications'!CA$2)/1000*$AQ112</f>
        <v>1.1590043594394164E-9</v>
      </c>
      <c r="CB112" s="7">
        <f>SUMIFS('fuels and tailpipe emissions'!$G$10:$G$126,'fuels and tailpipe emissions'!$A$10:$A$126,'vehicles specifications'!$F112,'fuels and tailpipe emissions'!$B$10:$B$126,'vehicles specifications'!CB$2)/1000*$AQ112</f>
        <v>9.9914168917191075E-12</v>
      </c>
      <c r="CC112" s="7">
        <f>SUMIFS('fuels and tailpipe emissions'!$G$10:$G$126,'fuels and tailpipe emissions'!$A$10:$A$126,'vehicles specifications'!$F112,'fuels and tailpipe emissions'!$B$10:$B$126,'vehicles specifications'!CC$2)/1000*$AQ112</f>
        <v>6.6609445944794042E-12</v>
      </c>
      <c r="CD112" s="7">
        <f>SUMIFS('fuels and tailpipe emissions'!$G$10:$G$126,'fuels and tailpipe emissions'!$A$10:$A$126,'vehicles specifications'!$F112,'fuels and tailpipe emissions'!$B$10:$B$126,'vehicles specifications'!CD$2)/1000*$AQ112</f>
        <v>7.1938201620377578E-8</v>
      </c>
      <c r="CE112" s="7">
        <f>SUMIFS('fuels and tailpipe emissions'!$G$10:$G$126,'fuels and tailpipe emissions'!$A$10:$A$126,'vehicles specifications'!$F112,'fuels and tailpipe emissions'!$B$10:$B$126,'vehicles specifications'!CE$2)/1000*$AQ112</f>
        <v>1.3987983648406747E-9</v>
      </c>
      <c r="CF112" s="7">
        <f>SUMIFS('fuels and tailpipe emissions'!$G$10:$G$126,'fuels and tailpipe emissions'!$A$10:$A$126,'vehicles specifications'!$F112,'fuels and tailpipe emissions'!$B$10:$B$126,'vehicles specifications'!CF$2)/1000*$AQ112</f>
        <v>4.3296139864116131E-10</v>
      </c>
      <c r="CG112" s="7">
        <f>SUMIFS('fuels and tailpipe emissions'!$G$10:$G$126,'fuels and tailpipe emissions'!$A$10:$A$126,'vehicles specifications'!$F112,'fuels and tailpipe emissions'!$B$10:$B$126,'vehicles specifications'!CG$2)/1000*$AQ112</f>
        <v>5.328755675583524E-10</v>
      </c>
      <c r="CH112" s="7">
        <f>SUMIFS('fuels and tailpipe emissions'!$G$10:$G$126,'fuels and tailpipe emissions'!$A$10:$A$126,'vehicles specifications'!$F112,'fuels and tailpipe emissions'!$B$10:$B$126,'vehicles specifications'!CH$2)/1000*$AQ112</f>
        <v>1.0657511351167047E-12</v>
      </c>
      <c r="CI112" s="7">
        <f>SUMIFS('fuels and tailpipe emissions'!$G$10:$G$126,'fuels and tailpipe emissions'!$A$10:$A$126,'vehicles specifications'!$F112,'fuels and tailpipe emissions'!$B$10:$B$126,'vehicles specifications'!CI$2)/1000*$AQ112</f>
        <v>2.897510898598541E-10</v>
      </c>
      <c r="CJ112" s="7">
        <f>SUMIFS('fuels and tailpipe emissions'!$G$10:$G$126,'fuels and tailpipe emissions'!$A$10:$A$126,'vehicles specifications'!$F112,'fuels and tailpipe emissions'!$B$10:$B$126,'vehicles specifications'!CJ$2)/1000*$AQ112</f>
        <v>3.5969100810188791E-10</v>
      </c>
      <c r="CK112" s="38">
        <f>VLOOKUP($B112,'abrasion emissions'!$O$7:$R$36,2,FALSE)</f>
        <v>0.33</v>
      </c>
      <c r="CL112" s="38">
        <f>VLOOKUP($B112,'abrasion emissions'!$O$7:$R$36,3,FALSE)</f>
        <v>0.33</v>
      </c>
      <c r="CM112" s="38">
        <f>VLOOKUP($B112,'abrasion emissions'!$O$7:$R$36,4,FALSE)</f>
        <v>0.33</v>
      </c>
      <c r="CN112" s="7">
        <f>((SUMIFS('abrasion emissions'!$M$7:$M$34,'abrasion emissions'!$I$7:$I$34,"PM 2.5",'abrasion emissions'!$J$7:$J$34,"urban",'abrasion emissions'!$K$7:$K$34,"Tyre",'abrasion emissions'!$L$7:$L$34,"b")*POWER(('vehicles specifications'!$Q112/1000),(1/SUMIFS('abrasion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specifications'!$P112/1000),(1/SUMIFS('abrasion emissions'!$M$7:$M$34,'abrasion emissions'!$I$7:$I$34,"PM 10",'abrasion emissions'!$J$7:$J$34,"urban",'abrasion emissions'!$K$7:$K$34,"Tyre",'abrasion emissions'!$L$7:$L$34,"c")))))/1000000</f>
        <v>6.9432982284822032E-6</v>
      </c>
      <c r="CO112" s="7">
        <f>((SUMIFS('abrasion emissions'!$M$7:$M$34,'abrasion emissions'!$I$7:$I$34,"PM 2.5",'abrasion emissions'!$J$7:$J$34,"rural",'abrasion emissions'!$K$7:$K$34,"Tyre",'abrasion emissions'!$L$7:$L$34,"b")*POWER(('vehicles specifications'!$Q112/1000),(1/SUMIFS('abrasion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specifications'!$P112/1000),(1/SUMIFS('abrasion emissions'!$M$7:$M$34,'abrasion emissions'!$I$7:$I$34,"PM 10",'abrasion emissions'!$J$7:$J$34,"rural",'abrasion emissions'!$K$7:$K$34,"Tyre",'abrasion emissions'!$L$7:$L$34,"c")))))/1000000</f>
        <v>5.4073910127318179E-6</v>
      </c>
      <c r="CP112" s="7">
        <f>((SUMIFS('abrasion emissions'!$M$7:$M$34,'abrasion emissions'!$I$7:$I$34,"PM 2.5",'abrasion emissions'!$J$7:$J$34,"motorway",'abrasion emissions'!$K$7:$K$34,"Tyre",'abrasion emissions'!$L$7:$L$34,"b")*POWER(('vehicles specifications'!$Q112/1000),(1/SUMIFS('abrasion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specifications'!$P112/1000),(1/SUMIFS('abrasion emissions'!$M$7:$M$34,'abrasion emissions'!$I$7:$I$34,"PM 10",'abrasion emissions'!$J$7:$J$34,"motorway",'abrasion emissions'!$K$7:$K$34,"Tyre",'abrasion emissions'!$L$7:$L$34,"c")))))/1000000</f>
        <v>4.6175050507918053E-6</v>
      </c>
      <c r="CQ112" s="7">
        <f>((SUMIFS('abrasion emissions'!$M$7:$M$34,'abrasion emissions'!$I$7:$I$34,"PM 2.5",'abrasion emissions'!$J$7:$J$34,"urban",'abrasion emissions'!$K$7:$K$34,"Brake",'abrasion emissions'!$L$7:$L$34,"b")*POWER(('vehicles specifications'!$Q112/1000),(1/SUMIFS('abrasion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specifications'!$P112/1000),(1/SUMIFS('abrasion emissions'!$M$7:$M$34,'abrasion emissions'!$I$7:$I$34,"PM 10",'abrasion emissions'!$J$7:$J$34,"urban",'abrasion emissions'!$K$7:$K$34,"Brake",'abrasion emissions'!$L$7:$L$34,"c")))))/1000000</f>
        <v>6.7250913041549486E-6</v>
      </c>
      <c r="CR112" s="7">
        <f>((SUMIFS('abrasion emissions'!$M$7:$M$34,'abrasion emissions'!$I$7:$I$34,"PM 2.5",'abrasion emissions'!$J$7:$J$34,"rural",'abrasion emissions'!$K$7:$K$34,"Brake",'abrasion emissions'!$L$7:$L$34,"b")*POWER(('vehicles specifications'!$Q112/1000),(1/SUMIFS('abrasion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specifications'!$P112/1000),(1/SUMIFS('abrasion emissions'!$M$7:$M$34,'abrasion emissions'!$I$7:$I$34,"PM 10",'abrasion emissions'!$J$7:$J$34,"rural",'abrasion emissions'!$K$7:$K$34,"Brake",'abrasion emissions'!$L$7:$L$34,"c")))))/1000000</f>
        <v>2.2406893811279768E-6</v>
      </c>
      <c r="CS112" s="7">
        <f>((SUMIFS('abrasion emissions'!$M$7:$M$34,'abrasion emissions'!$I$7:$I$34,"PM 2.5",'abrasion emissions'!$J$7:$J$34,"motorway",'abrasion emissions'!$K$7:$K$34,"Brake",'abrasion emissions'!$L$7:$L$34,"b")*POWER(('vehicles specifications'!$Q112/1000),(1/SUMIFS('abrasion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specifications'!$P112/1000),(1/SUMIFS('abrasion emissions'!$M$7:$M$34,'abrasion emissions'!$I$7:$I$34,"PM 10",'abrasion emissions'!$J$7:$J$34,"motorway",'abrasion emissions'!$K$7:$K$34,"Brake",'abrasion emissions'!$L$7:$L$34,"c")))))/1000000</f>
        <v>4.2537653078432464E-7</v>
      </c>
      <c r="CT112" s="7">
        <f>((SUMIFS('abrasion emissions'!$M$7:$M$38,'abrasion emissions'!$I$7:$I$38,"PM 2.5",'abrasion emissions'!$K$7:$K$38,"Re-susp.",'abrasion emissions'!$L$7:$L$38,"b")*POWER(('vehicles specifications'!$Q112/1000),(1/SUMIFS('abrasion emissions'!$M$7:$M$38,'abrasion emissions'!$I$7:$I$38,"PM 2.5",'abrasion emissions'!$K$7:$K$38,"Re-susp.",'abrasion emissions'!$L$7:$L$38,"c"))))+
(SUMIFS('abrasion emissions'!$M$7:$M$38,'abrasion emissions'!$I$7:$I$38,"PM 10",'abrasion emissions'!$K$7:$K$38,"Re-susp.",'abrasion emissions'!$L$7:$L$38,"b")*POWER(('vehicles specifications'!$Q112/1000),(1/SUMIFS('abrasion emissions'!$M$7:$M$38,'abrasion emissions'!$I$7:$I$38,"PM 10",'abrasion emissions'!$K$7:$K$38,"Re-susp.",'abrasion emissions'!$L$7:$L$38,"c")))))/1000000</f>
        <v>4.4603277077000034E-6</v>
      </c>
      <c r="CU112" s="7">
        <f>((SUMIFS('abrasion emissions'!$M$7:$M$38,'abrasion emissions'!$I$7:$I$38,"PM 2.5",'abrasion emissions'!$K$7:$K$38,"Road",'abrasion emissions'!$L$7:$L$38,"b")*POWER(('vehicles specifications'!$Q112/1000),(1/SUMIFS('abrasion emissions'!$M$7:$M$38,'abrasion emissions'!$I$7:$I$38,"PM 2.5",'abrasion emissions'!$K$7:$K$38,"Road",'abrasion emissions'!$L$7:$L$38,"c"))))+
(SUMIFS('abrasion emissions'!$M$7:$M$38,'abrasion emissions'!$I$7:$I$38,"PM 10",'abrasion emissions'!$K$7:$K$38,"Road",'abrasion emissions'!$L$7:$L$38,"b")*POWER(('vehicles specifications'!$Q112/1000),(1/SUMIFS('abrasion emissions'!$M$7:$M$38,'abrasion emissions'!$I$7:$I$38,"PM 10",'abrasion emissions'!$K$7:$K$38,"Road",'abrasion emissions'!$L$7:$L$38,"c")))))/1000000+CT112</f>
        <v>8.3860265499696955E-6</v>
      </c>
      <c r="CV112" s="7">
        <f t="shared" si="79"/>
        <v>5.5995041163619232E-6</v>
      </c>
      <c r="CW112" s="7">
        <f t="shared" si="80"/>
        <v>3.0990818813021925E-6</v>
      </c>
    </row>
    <row r="113" spans="1:101" x14ac:dyDescent="0.2">
      <c r="A113" t="str">
        <f t="shared" si="1"/>
        <v>Motorbike, gasoline, &gt;35kW, EURO-3 - 2006 - CH</v>
      </c>
      <c r="B113" t="s">
        <v>404</v>
      </c>
      <c r="D113" s="18">
        <v>2006</v>
      </c>
      <c r="E113" t="s">
        <v>37</v>
      </c>
      <c r="F113" t="s">
        <v>139</v>
      </c>
      <c r="G113" t="s">
        <v>39</v>
      </c>
      <c r="H113" t="s">
        <v>35</v>
      </c>
      <c r="J113">
        <v>40500</v>
      </c>
      <c r="K113">
        <v>2896</v>
      </c>
      <c r="L113" s="2">
        <f t="shared" si="108"/>
        <v>13.984806629834255</v>
      </c>
      <c r="M113">
        <v>1.1000000000000001</v>
      </c>
      <c r="N113">
        <v>75</v>
      </c>
      <c r="O113">
        <v>6</v>
      </c>
      <c r="P113" s="2">
        <f t="shared" si="64"/>
        <v>262.07499999999999</v>
      </c>
      <c r="Q113" s="2">
        <f t="shared" si="109"/>
        <v>350.57499999999999</v>
      </c>
      <c r="R113">
        <v>91</v>
      </c>
      <c r="S113" s="2">
        <v>111</v>
      </c>
      <c r="T113" s="1">
        <v>-0.05</v>
      </c>
      <c r="U113" s="2">
        <f t="shared" si="105"/>
        <v>116.55000000000001</v>
      </c>
      <c r="V113" s="2">
        <v>130</v>
      </c>
      <c r="W113" s="2">
        <v>0</v>
      </c>
      <c r="X113" s="3">
        <v>0</v>
      </c>
      <c r="Y113" s="1">
        <v>0.8</v>
      </c>
      <c r="Z113" s="3">
        <f t="shared" si="110"/>
        <v>0</v>
      </c>
      <c r="AA113" s="3" t="str">
        <f>IF(I113&lt;&gt;"",X113/INDEX('energy battery'!$B$3:$D$6,MATCH('vehicles specifications'!$D113,'energy battery'!$A$3:$A$6,0),MATCH('vehicles specifications'!$I113,'energy battery'!$B$2:$D$2,0)),"")</f>
        <v/>
      </c>
      <c r="AB113" s="3" t="str">
        <f t="shared" si="6"/>
        <v/>
      </c>
      <c r="AC113" s="3" t="str">
        <f t="shared" si="7"/>
        <v/>
      </c>
      <c r="AD113" s="3">
        <v>0</v>
      </c>
      <c r="AE113" s="3">
        <v>18</v>
      </c>
      <c r="AF113">
        <f>AE113*'fuels and tailpipe emissions'!$B$3</f>
        <v>13.5</v>
      </c>
      <c r="AG113" s="2">
        <f>AF113*'fuels and tailpipe emissions'!$C$3</f>
        <v>159.75</v>
      </c>
      <c r="AH113" s="3">
        <f t="shared" si="106"/>
        <v>2.0249999999999999</v>
      </c>
      <c r="AI113" s="3">
        <v>0</v>
      </c>
      <c r="AJ113" s="3">
        <v>0</v>
      </c>
      <c r="AK113">
        <f t="shared" si="67"/>
        <v>1.62</v>
      </c>
      <c r="AL113">
        <f t="shared" si="65"/>
        <v>1.8825877500000001E-4</v>
      </c>
      <c r="AM113">
        <v>1.2899999999999999E-3</v>
      </c>
      <c r="AN113" s="2">
        <f t="shared" si="111"/>
        <v>116.55000000000001</v>
      </c>
      <c r="AO113" s="2">
        <f t="shared" si="112"/>
        <v>130</v>
      </c>
      <c r="AP113" s="2" t="str">
        <f t="shared" si="113"/>
        <v/>
      </c>
      <c r="AQ113" s="6">
        <v>1.9734383163842311</v>
      </c>
      <c r="AR113" s="20">
        <v>1.2E-2</v>
      </c>
      <c r="AS113" s="6" t="str">
        <f>IF($H113="BEV",SUMPRODUCT(#REF!,#REF!),"")</f>
        <v/>
      </c>
      <c r="AT113" s="2">
        <f t="shared" si="78"/>
        <v>291.42030699682999</v>
      </c>
      <c r="AU113" s="5">
        <f>IF($H113="ICEV-p",$AQ113/('fuels and tailpipe emissions'!$C$3*3.6)*'fuels and tailpipe emissions'!$D$3,"")*(1-AR113)</f>
        <v>0.14371448726960392</v>
      </c>
      <c r="AV113" s="5">
        <f>IF($H113="ICEV-p",$AQ113/('fuels and tailpipe emissions'!$C$3*3.6)*'fuels and tailpipe emissions'!$D$3,"")*AR113</f>
        <v>1.7455200882947846E-3</v>
      </c>
      <c r="AW113" s="7">
        <f>IF($H113="ICEV-p",$AQ113/('fuels and tailpipe emissions'!$C$3*3.6)*'fuels and tailpipe emissions'!$E$3,"")</f>
        <v>7.4119748972177688E-7</v>
      </c>
      <c r="AX113" s="7">
        <f>SUMIFS('fuels and tailpipe emissions'!$H$10:$H$126,'fuels and tailpipe emissions'!$A$10:$A$126,'vehicles specifications'!$F113,'fuels and tailpipe emissions'!$B$10:$B$126,'vehicles specifications'!AX$2)/1000*$AQ113</f>
        <v>7.237951507199054E-6</v>
      </c>
      <c r="AY113" s="7">
        <f>SUMIFS('fuels and tailpipe emissions'!$H$10:$H$126,'fuels and tailpipe emissions'!$A$10:$A$126,'vehicles specifications'!$F113,'fuels and tailpipe emissions'!$B$10:$B$126,'vehicles specifications'!AY$2)/1000*$AQ113</f>
        <v>1.6720380300830153E-5</v>
      </c>
      <c r="AZ113" s="7">
        <f>SUMIFS('fuels and tailpipe emissions'!$H$10:$H$126,'fuels and tailpipe emissions'!$A$10:$A$126,'vehicles specifications'!$F113,'fuels and tailpipe emissions'!$B$10:$B$126,'vehicles specifications'!AZ$2)/1000*$AQ113</f>
        <v>2.9373204293002417E-4</v>
      </c>
      <c r="BA113" s="7">
        <f>SUMIFS('fuels and tailpipe emissions'!$H$10:$H$126,'fuels and tailpipe emissions'!$A$10:$A$126,'vehicles specifications'!$F113,'fuels and tailpipe emissions'!$B$10:$B$126,'vehicles specifications'!BA$2)/1000*$AQ113</f>
        <v>8.8002001583316587E-7</v>
      </c>
      <c r="BB113" s="7">
        <f>SUMIFS('fuels and tailpipe emissions'!$H$10:$H$126,'fuels and tailpipe emissions'!$A$10:$A$126,'vehicles specifications'!$F113,'fuels and tailpipe emissions'!$B$10:$B$126,'vehicles specifications'!BB$2)/1000*$AQ113</f>
        <v>8.8002001583316587E-7</v>
      </c>
      <c r="BC113" s="7">
        <f>SUMIFS('fuels and tailpipe emissions'!$H$10:$H$126,'fuels and tailpipe emissions'!$A$10:$A$126,'vehicles specifications'!$F113,'fuels and tailpipe emissions'!$B$10:$B$126,'vehicles specifications'!BC$2)/1000*$AQ113</f>
        <v>3.1128530669022286E-5</v>
      </c>
      <c r="BD113" s="7">
        <f>SUMIFS('fuels and tailpipe emissions'!$H$10:$H$126,'fuels and tailpipe emissions'!$A$10:$A$126,'vehicles specifications'!$F113,'fuels and tailpipe emissions'!$B$10:$B$126,'vehicles specifications'!BD$2)/1000*$AQ113</f>
        <v>2.2000500395829146E-6</v>
      </c>
      <c r="BE113" s="7">
        <f>SUMIFS('fuels and tailpipe emissions'!$H$10:$H$126,'fuels and tailpipe emissions'!$A$10:$A$126,'vehicles specifications'!$F113,'fuels and tailpipe emissions'!$B$10:$B$126,'vehicles specifications'!BE$2)/1000*$AQ113</f>
        <v>5.8368079533990228E-5</v>
      </c>
      <c r="BF113" s="7">
        <f>SUMIFS('fuels and tailpipe emissions'!$H$10:$H$126,'fuels and tailpipe emissions'!$A$10:$A$126,'vehicles specifications'!$F113,'fuels and tailpipe emissions'!$B$10:$B$126,'vehicles specifications'!BF$2)/1000*$AQ113</f>
        <v>4.1156979158582854E-6</v>
      </c>
      <c r="BG113" s="7">
        <f>SUMIFS('fuels and tailpipe emissions'!$H$10:$H$126,'fuels and tailpipe emissions'!$A$10:$A$126,'vehicles specifications'!$F113,'fuels and tailpipe emissions'!$B$10:$B$126,'vehicles specifications'!BG$2)/1000*$AQ113</f>
        <v>8.3862183238491708E-7</v>
      </c>
      <c r="BH113" s="7">
        <f>SUMIFS('fuels and tailpipe emissions'!$H$10:$H$126,'fuels and tailpipe emissions'!$A$10:$A$126,'vehicles specifications'!$F113,'fuels and tailpipe emissions'!$B$10:$B$126,'vehicles specifications'!BH$2)/1000*$AQ113</f>
        <v>6.7605821564568703E-6</v>
      </c>
      <c r="BI113" s="7">
        <f>SUMIFS('fuels and tailpipe emissions'!$H$10:$H$126,'fuels and tailpipe emissions'!$A$10:$A$126,'vehicles specifications'!$F113,'fuels and tailpipe emissions'!$B$10:$B$126,'vehicles specifications'!BI$2)/1000*$AQ113</f>
        <v>2.7739029840424182E-6</v>
      </c>
      <c r="BJ113" s="7">
        <f>SUMIFS('fuels and tailpipe emissions'!$H$10:$H$126,'fuels and tailpipe emissions'!$A$10:$A$126,'vehicles specifications'!$F113,'fuels and tailpipe emissions'!$B$10:$B$126,'vehicles specifications'!BJ$2)/1000*$AQ113</f>
        <v>2.0772017694457178E-6</v>
      </c>
      <c r="BK113" s="7">
        <f>SUMIFS('fuels and tailpipe emissions'!$H$10:$H$126,'fuels and tailpipe emissions'!$A$10:$A$126,'vehicles specifications'!$F113,'fuels and tailpipe emissions'!$B$10:$B$126,'vehicles specifications'!BK$2)/1000*$AQ113</f>
        <v>1.4708136752597006E-6</v>
      </c>
      <c r="BL113" s="7">
        <f>SUMIFS('fuels and tailpipe emissions'!$H$10:$H$126,'fuels and tailpipe emissions'!$A$10:$A$126,'vehicles specifications'!$F113,'fuels and tailpipe emissions'!$B$10:$B$126,'vehicles specifications'!BL$2)/1000*$AQ113</f>
        <v>9.5473870148436736E-7</v>
      </c>
      <c r="BM113" s="7">
        <f>SUMIFS('fuels and tailpipe emissions'!$H$10:$H$126,'fuels and tailpipe emissions'!$A$10:$A$126,'vehicles specifications'!$F113,'fuels and tailpipe emissions'!$B$10:$B$126,'vehicles specifications'!BM$2)/1000*$AQ113</f>
        <v>9.4183682713998361E-6</v>
      </c>
      <c r="BN113" s="7">
        <f>SUMIFS('fuels and tailpipe emissions'!$H$10:$H$126,'fuels and tailpipe emissions'!$A$10:$A$126,'vehicles specifications'!$F113,'fuels and tailpipe emissions'!$B$10:$B$126,'vehicles specifications'!BN$2)/1000*$AQ113</f>
        <v>4.928515999554436E-6</v>
      </c>
      <c r="BO113" s="7">
        <f>SUMIFS('fuels and tailpipe emissions'!$H$10:$H$126,'fuels and tailpipe emissions'!$A$10:$A$126,'vehicles specifications'!$F113,'fuels and tailpipe emissions'!$B$10:$B$126,'vehicles specifications'!BO$2)/1000*$AQ113</f>
        <v>1.4192061778821673E-7</v>
      </c>
      <c r="BP113" s="7">
        <f>SUMIFS('fuels and tailpipe emissions'!$H$10:$H$126,'fuels and tailpipe emissions'!$A$10:$A$126,'vehicles specifications'!$F113,'fuels and tailpipe emissions'!$B$10:$B$126,'vehicles specifications'!BP$2)/1000*$AQ113</f>
        <v>7.237951507199054E-6</v>
      </c>
      <c r="BQ113" s="7">
        <f>SUMIFS('fuels and tailpipe emissions'!$H$10:$H$126,'fuels and tailpipe emissions'!$A$10:$A$126,'vehicles specifications'!$F113,'fuels and tailpipe emissions'!$B$10:$B$126,'vehicles specifications'!BQ$2)/1000*$AQ113</f>
        <v>1.4166258030132906E-5</v>
      </c>
      <c r="BR113" s="7">
        <f>SUMIFS('fuels and tailpipe emissions'!$H$10:$H$126,'fuels and tailpipe emissions'!$A$10:$A$126,'vehicles specifications'!$F113,'fuels and tailpipe emissions'!$B$10:$B$126,'vehicles specifications'!BR$2)/1000*$AQ113</f>
        <v>7.0057177690001534E-6</v>
      </c>
      <c r="BS113" s="7">
        <f>SUMIFS('fuels and tailpipe emissions'!$H$10:$H$126,'fuels and tailpipe emissions'!$A$10:$A$126,'vehicles specifications'!$F113,'fuels and tailpipe emissions'!$B$10:$B$126,'vehicles specifications'!BS$2)/1000*$AQ113</f>
        <v>2.9158236018306349E-6</v>
      </c>
      <c r="BT113" s="7">
        <f>SUMIFS('fuels and tailpipe emissions'!$H$10:$H$126,'fuels and tailpipe emissions'!$A$10:$A$126,'vehicles specifications'!$F113,'fuels and tailpipe emissions'!$B$10:$B$126,'vehicles specifications'!BT$2)/1000*$AQ113</f>
        <v>2.1933186385451676E-6</v>
      </c>
      <c r="BU113" s="7">
        <f>SUMIFS('fuels and tailpipe emissions'!$H$10:$H$126,'fuels and tailpipe emissions'!$A$10:$A$126,'vehicles specifications'!$F113,'fuels and tailpipe emissions'!$B$10:$B$126,'vehicles specifications'!BU$2)/1000*$AQ113</f>
        <v>9.6764057582875035E-7</v>
      </c>
      <c r="BV113" s="7">
        <f>SUMIFS('fuels and tailpipe emissions'!$H$10:$H$126,'fuels and tailpipe emissions'!$A$10:$A$126,'vehicles specifications'!$F113,'fuels and tailpipe emissions'!$B$10:$B$126,'vehicles specifications'!BV$2)/1000*$AQ113</f>
        <v>2.8384123557643346E-7</v>
      </c>
      <c r="BW113" s="7">
        <f>SUMIFS('fuels and tailpipe emissions'!$H$10:$H$126,'fuels and tailpipe emissions'!$A$10:$A$126,'vehicles specifications'!$F113,'fuels and tailpipe emissions'!$B$10:$B$126,'vehicles specifications'!BW$2)/1000*$AQ113</f>
        <v>7.8701433500738386E-7</v>
      </c>
      <c r="BX113" s="7">
        <f>SUMIFS('fuels and tailpipe emissions'!$H$10:$H$126,'fuels and tailpipe emissions'!$A$10:$A$126,'vehicles specifications'!$F113,'fuels and tailpipe emissions'!$B$10:$B$126,'vehicles specifications'!BX$2)/1000*$AQ113</f>
        <v>6.4509371721916699E-8</v>
      </c>
      <c r="BY113" s="7">
        <f>SUMIFS('fuels and tailpipe emissions'!$H$10:$H$126,'fuels and tailpipe emissions'!$A$10:$A$126,'vehicles specifications'!$F113,'fuels and tailpipe emissions'!$B$10:$B$126,'vehicles specifications'!BY$2)/1000*$AQ113</f>
        <v>2.4513561254328344E-7</v>
      </c>
      <c r="BZ113" s="7">
        <f>SUMIFS('fuels and tailpipe emissions'!$H$10:$H$126,'fuels and tailpipe emissions'!$A$10:$A$126,'vehicles specifications'!$F113,'fuels and tailpipe emissions'!$B$10:$B$126,'vehicles specifications'!BZ$2)/1000*$AQ113</f>
        <v>1.3030893087827173E-6</v>
      </c>
      <c r="CA113" s="7">
        <f>SUMIFS('fuels and tailpipe emissions'!$H$10:$H$126,'fuels and tailpipe emissions'!$A$10:$A$126,'vehicles specifications'!$F113,'fuels and tailpipe emissions'!$B$10:$B$126,'vehicles specifications'!CA$2)/1000*$AQ113</f>
        <v>1.6158977272981469E-9</v>
      </c>
      <c r="CB113" s="7">
        <f>SUMIFS('fuels and tailpipe emissions'!$H$10:$H$126,'fuels and tailpipe emissions'!$A$10:$A$126,'vehicles specifications'!$F113,'fuels and tailpipe emissions'!$B$10:$B$126,'vehicles specifications'!CB$2)/1000*$AQ113</f>
        <v>1.3930152821535749E-11</v>
      </c>
      <c r="CC113" s="7">
        <f>SUMIFS('fuels and tailpipe emissions'!$H$10:$H$126,'fuels and tailpipe emissions'!$A$10:$A$126,'vehicles specifications'!$F113,'fuels and tailpipe emissions'!$B$10:$B$126,'vehicles specifications'!CC$2)/1000*$AQ113</f>
        <v>9.2867685476904988E-12</v>
      </c>
      <c r="CD113" s="7">
        <f>SUMIFS('fuels and tailpipe emissions'!$H$10:$H$126,'fuels and tailpipe emissions'!$A$10:$A$126,'vehicles specifications'!$F113,'fuels and tailpipe emissions'!$B$10:$B$126,'vehicles specifications'!CD$2)/1000*$AQ113</f>
        <v>1.0029710031505739E-7</v>
      </c>
      <c r="CE113" s="7">
        <f>SUMIFS('fuels and tailpipe emissions'!$H$10:$H$126,'fuels and tailpipe emissions'!$A$10:$A$126,'vehicles specifications'!$F113,'fuels and tailpipe emissions'!$B$10:$B$126,'vehicles specifications'!CE$2)/1000*$AQ113</f>
        <v>1.9502213950150047E-9</v>
      </c>
      <c r="CF113" s="7">
        <f>SUMIFS('fuels and tailpipe emissions'!$H$10:$H$126,'fuels and tailpipe emissions'!$A$10:$A$126,'vehicles specifications'!$F113,'fuels and tailpipe emissions'!$B$10:$B$126,'vehicles specifications'!CF$2)/1000*$AQ113</f>
        <v>6.0363995559988245E-10</v>
      </c>
      <c r="CG113" s="7">
        <f>SUMIFS('fuels and tailpipe emissions'!$H$10:$H$126,'fuels and tailpipe emissions'!$A$10:$A$126,'vehicles specifications'!$F113,'fuels and tailpipe emissions'!$B$10:$B$126,'vehicles specifications'!CG$2)/1000*$AQ113</f>
        <v>7.4294148381523998E-10</v>
      </c>
      <c r="CH113" s="7">
        <f>SUMIFS('fuels and tailpipe emissions'!$H$10:$H$126,'fuels and tailpipe emissions'!$A$10:$A$126,'vehicles specifications'!$F113,'fuels and tailpipe emissions'!$B$10:$B$126,'vehicles specifications'!CH$2)/1000*$AQ113</f>
        <v>1.4858829676304797E-12</v>
      </c>
      <c r="CI113" s="7">
        <f>SUMIFS('fuels and tailpipe emissions'!$H$10:$H$126,'fuels and tailpipe emissions'!$A$10:$A$126,'vehicles specifications'!$F113,'fuels and tailpipe emissions'!$B$10:$B$126,'vehicles specifications'!CI$2)/1000*$AQ113</f>
        <v>4.0397443182453672E-10</v>
      </c>
      <c r="CJ113" s="7">
        <f>SUMIFS('fuels and tailpipe emissions'!$H$10:$H$126,'fuels and tailpipe emissions'!$A$10:$A$126,'vehicles specifications'!$F113,'fuels and tailpipe emissions'!$B$10:$B$126,'vehicles specifications'!CJ$2)/1000*$AQ113</f>
        <v>5.0148550157528711E-10</v>
      </c>
      <c r="CK113" s="38">
        <f>VLOOKUP($B113,'abrasion emissions'!$O$7:$R$36,2,FALSE)</f>
        <v>0.33</v>
      </c>
      <c r="CL113" s="38">
        <f>VLOOKUP($B113,'abrasion emissions'!$O$7:$R$36,3,FALSE)</f>
        <v>0.33</v>
      </c>
      <c r="CM113" s="38">
        <f>VLOOKUP($B113,'abrasion emissions'!$O$7:$R$36,4,FALSE)</f>
        <v>0.33</v>
      </c>
      <c r="CN113" s="7">
        <f>((SUMIFS('abrasion emissions'!$M$7:$M$34,'abrasion emissions'!$I$7:$I$34,"PM 2.5",'abrasion emissions'!$J$7:$J$34,"urban",'abrasion emissions'!$K$7:$K$34,"Tyre",'abrasion emissions'!$L$7:$L$34,"b")*POWER(('vehicles specifications'!$Q113/1000),(1/SUMIFS('abrasion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specifications'!$P113/1000),(1/SUMIFS('abrasion emissions'!$M$7:$M$34,'abrasion emissions'!$I$7:$I$34,"PM 10",'abrasion emissions'!$J$7:$J$34,"urban",'abrasion emissions'!$K$7:$K$34,"Tyre",'abrasion emissions'!$L$7:$L$34,"c")))))/1000000</f>
        <v>8.4388563951081501E-6</v>
      </c>
      <c r="CO113" s="7">
        <f>((SUMIFS('abrasion emissions'!$M$7:$M$34,'abrasion emissions'!$I$7:$I$34,"PM 2.5",'abrasion emissions'!$J$7:$J$34,"rural",'abrasion emissions'!$K$7:$K$34,"Tyre",'abrasion emissions'!$L$7:$L$34,"b")*POWER(('vehicles specifications'!$Q113/1000),(1/SUMIFS('abrasion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specifications'!$P113/1000),(1/SUMIFS('abrasion emissions'!$M$7:$M$34,'abrasion emissions'!$I$7:$I$34,"PM 10",'abrasion emissions'!$J$7:$J$34,"rural",'abrasion emissions'!$K$7:$K$34,"Tyre",'abrasion emissions'!$L$7:$L$34,"c")))))/1000000</f>
        <v>6.5714362720369016E-6</v>
      </c>
      <c r="CP113" s="7">
        <f>((SUMIFS('abrasion emissions'!$M$7:$M$34,'abrasion emissions'!$I$7:$I$34,"PM 2.5",'abrasion emissions'!$J$7:$J$34,"motorway",'abrasion emissions'!$K$7:$K$34,"Tyre",'abrasion emissions'!$L$7:$L$34,"b")*POWER(('vehicles specifications'!$Q113/1000),(1/SUMIFS('abrasion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specifications'!$P113/1000),(1/SUMIFS('abrasion emissions'!$M$7:$M$34,'abrasion emissions'!$I$7:$I$34,"PM 10",'abrasion emissions'!$J$7:$J$34,"motorway",'abrasion emissions'!$K$7:$K$34,"Tyre",'abrasion emissions'!$L$7:$L$34,"c")))))/1000000</f>
        <v>5.6097935973218272E-6</v>
      </c>
      <c r="CQ113" s="7">
        <f>((SUMIFS('abrasion emissions'!$M$7:$M$34,'abrasion emissions'!$I$7:$I$34,"PM 2.5",'abrasion emissions'!$J$7:$J$34,"urban",'abrasion emissions'!$K$7:$K$34,"Brake",'abrasion emissions'!$L$7:$L$34,"b")*POWER(('vehicles specifications'!$Q113/1000),(1/SUMIFS('abrasion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specifications'!$P113/1000),(1/SUMIFS('abrasion emissions'!$M$7:$M$34,'abrasion emissions'!$I$7:$I$34,"PM 10",'abrasion emissions'!$J$7:$J$34,"urban",'abrasion emissions'!$K$7:$K$34,"Brake",'abrasion emissions'!$L$7:$L$34,"c")))))/1000000</f>
        <v>8.4114989230631296E-6</v>
      </c>
      <c r="CR113" s="7">
        <f>((SUMIFS('abrasion emissions'!$M$7:$M$34,'abrasion emissions'!$I$7:$I$34,"PM 2.5",'abrasion emissions'!$J$7:$J$34,"rural",'abrasion emissions'!$K$7:$K$34,"Brake",'abrasion emissions'!$L$7:$L$34,"b")*POWER(('vehicles specifications'!$Q113/1000),(1/SUMIFS('abrasion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specifications'!$P113/1000),(1/SUMIFS('abrasion emissions'!$M$7:$M$34,'abrasion emissions'!$I$7:$I$34,"PM 10",'abrasion emissions'!$J$7:$J$34,"rural",'abrasion emissions'!$K$7:$K$34,"Brake",'abrasion emissions'!$L$7:$L$34,"c")))))/1000000</f>
        <v>2.9744965698354089E-6</v>
      </c>
      <c r="CS113" s="7">
        <f>((SUMIFS('abrasion emissions'!$M$7:$M$34,'abrasion emissions'!$I$7:$I$34,"PM 2.5",'abrasion emissions'!$J$7:$J$34,"motorway",'abrasion emissions'!$K$7:$K$34,"Brake",'abrasion emissions'!$L$7:$L$34,"b")*POWER(('vehicles specifications'!$Q113/1000),(1/SUMIFS('abrasion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specifications'!$P113/1000),(1/SUMIFS('abrasion emissions'!$M$7:$M$34,'abrasion emissions'!$I$7:$I$34,"PM 10",'abrasion emissions'!$J$7:$J$34,"motorway",'abrasion emissions'!$K$7:$K$34,"Brake",'abrasion emissions'!$L$7:$L$34,"c")))))/1000000</f>
        <v>5.8929941575106402E-7</v>
      </c>
      <c r="CT113" s="7">
        <f>((SUMIFS('abrasion emissions'!$M$7:$M$38,'abrasion emissions'!$I$7:$I$38,"PM 2.5",'abrasion emissions'!$K$7:$K$38,"Re-susp.",'abrasion emissions'!$L$7:$L$38,"b")*POWER(('vehicles specifications'!$Q113/1000),(1/SUMIFS('abrasion emissions'!$M$7:$M$38,'abrasion emissions'!$I$7:$I$38,"PM 2.5",'abrasion emissions'!$K$7:$K$38,"Re-susp.",'abrasion emissions'!$L$7:$L$38,"c"))))+
(SUMIFS('abrasion emissions'!$M$7:$M$38,'abrasion emissions'!$I$7:$I$38,"PM 10",'abrasion emissions'!$K$7:$K$38,"Re-susp.",'abrasion emissions'!$L$7:$L$38,"b")*POWER(('vehicles specifications'!$Q113/1000),(1/SUMIFS('abrasion emissions'!$M$7:$M$38,'abrasion emissions'!$I$7:$I$38,"PM 10",'abrasion emissions'!$K$7:$K$38,"Re-susp.",'abrasion emissions'!$L$7:$L$38,"c")))))/1000000</f>
        <v>6.3242399811616169E-6</v>
      </c>
      <c r="CU113" s="7">
        <f>((SUMIFS('abrasion emissions'!$M$7:$M$38,'abrasion emissions'!$I$7:$I$38,"PM 2.5",'abrasion emissions'!$K$7:$K$38,"Road",'abrasion emissions'!$L$7:$L$38,"b")*POWER(('vehicles specifications'!$Q113/1000),(1/SUMIFS('abrasion emissions'!$M$7:$M$38,'abrasion emissions'!$I$7:$I$38,"PM 2.5",'abrasion emissions'!$K$7:$K$38,"Road",'abrasion emissions'!$L$7:$L$38,"c"))))+
(SUMIFS('abrasion emissions'!$M$7:$M$38,'abrasion emissions'!$I$7:$I$38,"PM 10",'abrasion emissions'!$K$7:$K$38,"Road",'abrasion emissions'!$L$7:$L$38,"b")*POWER(('vehicles specifications'!$Q113/1000),(1/SUMIFS('abrasion emissions'!$M$7:$M$38,'abrasion emissions'!$I$7:$I$38,"PM 10",'abrasion emissions'!$K$7:$K$38,"Road",'abrasion emissions'!$L$7:$L$38,"c")))))/1000000+CT113</f>
        <v>1.1395557468987971E-5</v>
      </c>
      <c r="CV113" s="7">
        <f t="shared" si="79"/>
        <v>6.8046284672740703E-6</v>
      </c>
      <c r="CW113" s="7">
        <f t="shared" si="80"/>
        <v>3.9518473198543693E-6</v>
      </c>
    </row>
    <row r="114" spans="1:101" x14ac:dyDescent="0.2">
      <c r="A114" t="str">
        <f t="shared" si="1"/>
        <v>Motorbike, gasoline, &gt;35kW, EURO-4 - 2016 - CH</v>
      </c>
      <c r="B114" t="s">
        <v>405</v>
      </c>
      <c r="D114" s="18">
        <v>2016</v>
      </c>
      <c r="E114" t="s">
        <v>37</v>
      </c>
      <c r="F114" t="s">
        <v>140</v>
      </c>
      <c r="G114" t="s">
        <v>39</v>
      </c>
      <c r="H114" t="s">
        <v>35</v>
      </c>
      <c r="J114">
        <v>40500</v>
      </c>
      <c r="K114">
        <v>2896</v>
      </c>
      <c r="L114" s="2">
        <f t="shared" si="108"/>
        <v>13.984806629834255</v>
      </c>
      <c r="M114">
        <v>1.1000000000000001</v>
      </c>
      <c r="N114">
        <v>75</v>
      </c>
      <c r="O114">
        <v>6</v>
      </c>
      <c r="P114" s="2">
        <f t="shared" si="64"/>
        <v>258.745</v>
      </c>
      <c r="Q114" s="2">
        <f t="shared" si="109"/>
        <v>347.245</v>
      </c>
      <c r="R114">
        <v>91</v>
      </c>
      <c r="S114" s="2">
        <v>111</v>
      </c>
      <c r="T114" s="1">
        <v>-0.02</v>
      </c>
      <c r="U114" s="2">
        <f t="shared" si="105"/>
        <v>113.22</v>
      </c>
      <c r="V114" s="2">
        <v>130</v>
      </c>
      <c r="W114" s="2">
        <v>0</v>
      </c>
      <c r="X114" s="3">
        <v>0</v>
      </c>
      <c r="Y114" s="1">
        <v>0.8</v>
      </c>
      <c r="Z114" s="3">
        <f t="shared" si="110"/>
        <v>0</v>
      </c>
      <c r="AA114" s="3" t="str">
        <f>IF(I114&lt;&gt;"",X114/INDEX('energy battery'!$B$3:$D$6,MATCH('vehicles specifications'!$D114,'energy battery'!$A$3:$A$6,0),MATCH('vehicles specifications'!$I114,'energy battery'!$B$2:$D$2,0)),"")</f>
        <v/>
      </c>
      <c r="AB114" s="3" t="str">
        <f t="shared" si="6"/>
        <v/>
      </c>
      <c r="AC114" s="3" t="str">
        <f t="shared" si="7"/>
        <v/>
      </c>
      <c r="AD114" s="3">
        <v>0</v>
      </c>
      <c r="AE114" s="3">
        <v>18</v>
      </c>
      <c r="AF114">
        <f>AE114*'fuels and tailpipe emissions'!$B$3</f>
        <v>13.5</v>
      </c>
      <c r="AG114" s="2">
        <f>AF114*'fuels and tailpipe emissions'!$C$3</f>
        <v>159.75</v>
      </c>
      <c r="AH114" s="3">
        <f t="shared" si="106"/>
        <v>2.0249999999999999</v>
      </c>
      <c r="AI114" s="3">
        <v>0</v>
      </c>
      <c r="AJ114" s="3">
        <v>0</v>
      </c>
      <c r="AK114">
        <f t="shared" si="67"/>
        <v>1.62</v>
      </c>
      <c r="AL114">
        <f t="shared" si="65"/>
        <v>1.8647056500000001E-4</v>
      </c>
      <c r="AM114">
        <v>1.2899999999999999E-3</v>
      </c>
      <c r="AN114" s="2">
        <f t="shared" si="111"/>
        <v>113.22</v>
      </c>
      <c r="AO114" s="2">
        <f t="shared" si="112"/>
        <v>130</v>
      </c>
      <c r="AP114" s="2" t="str">
        <f t="shared" si="113"/>
        <v/>
      </c>
      <c r="AQ114" s="6">
        <v>1.953899323152704</v>
      </c>
      <c r="AR114" s="20">
        <v>1.2E-2</v>
      </c>
      <c r="AS114" s="6" t="str">
        <f>IF($H114="BEV",SUMPRODUCT(#REF!,#REF!),"")</f>
        <v/>
      </c>
      <c r="AT114" s="2">
        <f t="shared" si="78"/>
        <v>294.33451006679832</v>
      </c>
      <c r="AU114" s="5">
        <f>IF($H114="ICEV-p",$AQ114/('fuels and tailpipe emissions'!$C$3*3.6)*'fuels and tailpipe emissions'!$D$3,"")*(1-AR114)</f>
        <v>0.14229157155406327</v>
      </c>
      <c r="AV114" s="5">
        <f>IF($H114="ICEV-p",$AQ114/('fuels and tailpipe emissions'!$C$3*3.6)*'fuels and tailpipe emissions'!$D$3,"")*AR114</f>
        <v>1.7282377111829548E-3</v>
      </c>
      <c r="AW114" s="7">
        <f>IF($H114="ICEV-p",$AQ114/('fuels and tailpipe emissions'!$C$3*3.6)*'fuels and tailpipe emissions'!$E$3,"")</f>
        <v>7.3385890071463054E-7</v>
      </c>
      <c r="AX114" s="7">
        <f>SUMIFS('fuels and tailpipe emissions'!$H$10:$H$126,'fuels and tailpipe emissions'!$A$10:$A$126,'vehicles specifications'!$F114,'fuels and tailpipe emissions'!$B$10:$B$126,'vehicles specifications'!AX$2)/1000*$AQ114</f>
        <v>2.5284474658107934E-6</v>
      </c>
      <c r="AY114" s="7">
        <f>SUMIFS('fuels and tailpipe emissions'!$H$10:$H$126,'fuels and tailpipe emissions'!$A$10:$A$126,'vehicles specifications'!$F114,'fuels and tailpipe emissions'!$B$10:$B$126,'vehicles specifications'!AY$2)/1000*$AQ114</f>
        <v>2.0986931709545604E-5</v>
      </c>
      <c r="AZ114" s="7">
        <f>SUMIFS('fuels and tailpipe emissions'!$H$10:$H$126,'fuels and tailpipe emissions'!$A$10:$A$126,'vehicles specifications'!$F114,'fuels and tailpipe emissions'!$B$10:$B$126,'vehicles specifications'!AZ$2)/1000*$AQ114</f>
        <v>1.8591280332931159E-4</v>
      </c>
      <c r="BA114" s="7">
        <f>SUMIFS('fuels and tailpipe emissions'!$H$10:$H$126,'fuels and tailpipe emissions'!$A$10:$A$126,'vehicles specifications'!$F114,'fuels and tailpipe emissions'!$B$10:$B$126,'vehicles specifications'!BA$2)/1000*$AQ114</f>
        <v>1.1045753531339791E-6</v>
      </c>
      <c r="BB114" s="7">
        <f>SUMIFS('fuels and tailpipe emissions'!$H$10:$H$126,'fuels and tailpipe emissions'!$A$10:$A$126,'vehicles specifications'!$F114,'fuels and tailpipe emissions'!$B$10:$B$126,'vehicles specifications'!BB$2)/1000*$AQ114</f>
        <v>1.1045753531339791E-6</v>
      </c>
      <c r="BC114" s="7">
        <f>SUMIFS('fuels and tailpipe emissions'!$H$10:$H$126,'fuels and tailpipe emissions'!$A$10:$A$126,'vehicles specifications'!$F114,'fuels and tailpipe emissions'!$B$10:$B$126,'vehicles specifications'!BC$2)/1000*$AQ114</f>
        <v>1.3774566377073175E-5</v>
      </c>
      <c r="BD114" s="7">
        <f>SUMIFS('fuels and tailpipe emissions'!$H$10:$H$126,'fuels and tailpipe emissions'!$A$10:$A$126,'vehicles specifications'!$F114,'fuels and tailpipe emissions'!$B$10:$B$126,'vehicles specifications'!BD$2)/1000*$AQ114</f>
        <v>2.7614383828349475E-6</v>
      </c>
      <c r="BE114" s="7">
        <f>SUMIFS('fuels and tailpipe emissions'!$H$10:$H$126,'fuels and tailpipe emissions'!$A$10:$A$126,'vehicles specifications'!$F114,'fuels and tailpipe emissions'!$B$10:$B$126,'vehicles specifications'!BE$2)/1000*$AQ114</f>
        <v>2.0389833039800411E-5</v>
      </c>
      <c r="BF114" s="7">
        <f>SUMIFS('fuels and tailpipe emissions'!$H$10:$H$126,'fuels and tailpipe emissions'!$A$10:$A$126,'vehicles specifications'!$F114,'fuels and tailpipe emissions'!$B$10:$B$126,'vehicles specifications'!BF$2)/1000*$AQ114</f>
        <v>1.4377446374218237E-6</v>
      </c>
      <c r="BG114" s="7">
        <f>SUMIFS('fuels and tailpipe emissions'!$H$10:$H$126,'fuels and tailpipe emissions'!$A$10:$A$126,'vehicles specifications'!$F114,'fuels and tailpipe emissions'!$B$10:$B$126,'vehicles specifications'!BG$2)/1000*$AQ114</f>
        <v>2.9295737126150013E-7</v>
      </c>
      <c r="BH114" s="7">
        <f>SUMIFS('fuels and tailpipe emissions'!$H$10:$H$126,'fuels and tailpipe emissions'!$A$10:$A$126,'vehicles specifications'!$F114,'fuels and tailpipe emissions'!$B$10:$B$126,'vehicles specifications'!BH$2)/1000*$AQ114</f>
        <v>2.3616871160157862E-6</v>
      </c>
      <c r="BI114" s="7">
        <f>SUMIFS('fuels and tailpipe emissions'!$H$10:$H$126,'fuels and tailpipe emissions'!$A$10:$A$126,'vehicles specifications'!$F114,'fuels and tailpipe emissions'!$B$10:$B$126,'vehicles specifications'!BI$2)/1000*$AQ114</f>
        <v>9.6901284340342343E-7</v>
      </c>
      <c r="BJ114" s="7">
        <f>SUMIFS('fuels and tailpipe emissions'!$H$10:$H$126,'fuels and tailpipe emissions'!$A$10:$A$126,'vehicles specifications'!$F114,'fuels and tailpipe emissions'!$B$10:$B$126,'vehicles specifications'!BJ$2)/1000*$AQ114</f>
        <v>7.2563287343233113E-7</v>
      </c>
      <c r="BK114" s="7">
        <f>SUMIFS('fuels and tailpipe emissions'!$H$10:$H$126,'fuels and tailpipe emissions'!$A$10:$A$126,'vehicles specifications'!$F114,'fuels and tailpipe emissions'!$B$10:$B$126,'vehicles specifications'!BK$2)/1000*$AQ114</f>
        <v>5.1380215882786179E-7</v>
      </c>
      <c r="BL114" s="7">
        <f>SUMIFS('fuels and tailpipe emissions'!$H$10:$H$126,'fuels and tailpipe emissions'!$A$10:$A$126,'vehicles specifications'!$F114,'fuels and tailpipe emissions'!$B$10:$B$126,'vehicles specifications'!BL$2)/1000*$AQ114</f>
        <v>3.335206995900156E-7</v>
      </c>
      <c r="BM114" s="7">
        <f>SUMIFS('fuels and tailpipe emissions'!$H$10:$H$126,'fuels and tailpipe emissions'!$A$10:$A$126,'vehicles specifications'!$F114,'fuels and tailpipe emissions'!$B$10:$B$126,'vehicles specifications'!BM$2)/1000*$AQ114</f>
        <v>3.2901366310906936E-6</v>
      </c>
      <c r="BN114" s="7">
        <f>SUMIFS('fuels and tailpipe emissions'!$H$10:$H$126,'fuels and tailpipe emissions'!$A$10:$A$126,'vehicles specifications'!$F114,'fuels and tailpipe emissions'!$B$10:$B$126,'vehicles specifications'!BN$2)/1000*$AQ114</f>
        <v>1.7216879357214317E-6</v>
      </c>
      <c r="BO114" s="7">
        <f>SUMIFS('fuels and tailpipe emissions'!$H$10:$H$126,'fuels and tailpipe emissions'!$A$10:$A$126,'vehicles specifications'!$F114,'fuels and tailpipe emissions'!$B$10:$B$126,'vehicles specifications'!BO$2)/1000*$AQ114</f>
        <v>4.9577401290407721E-8</v>
      </c>
      <c r="BP114" s="7">
        <f>SUMIFS('fuels and tailpipe emissions'!$H$10:$H$126,'fuels and tailpipe emissions'!$A$10:$A$126,'vehicles specifications'!$F114,'fuels and tailpipe emissions'!$B$10:$B$126,'vehicles specifications'!BP$2)/1000*$AQ114</f>
        <v>2.5284474658107934E-6</v>
      </c>
      <c r="BQ114" s="7">
        <f>SUMIFS('fuels and tailpipe emissions'!$H$10:$H$126,'fuels and tailpipe emissions'!$A$10:$A$126,'vehicles specifications'!$F114,'fuels and tailpipe emissions'!$B$10:$B$126,'vehicles specifications'!BQ$2)/1000*$AQ114</f>
        <v>4.9487260560788793E-6</v>
      </c>
      <c r="BR114" s="7">
        <f>SUMIFS('fuels and tailpipe emissions'!$H$10:$H$126,'fuels and tailpipe emissions'!$A$10:$A$126,'vehicles specifications'!$F114,'fuels and tailpipe emissions'!$B$10:$B$126,'vehicles specifications'!BR$2)/1000*$AQ114</f>
        <v>2.4473208091537626E-6</v>
      </c>
      <c r="BS114" s="7">
        <f>SUMIFS('fuels and tailpipe emissions'!$H$10:$H$126,'fuels and tailpipe emissions'!$A$10:$A$126,'vehicles specifications'!$F114,'fuels and tailpipe emissions'!$B$10:$B$126,'vehicles specifications'!BS$2)/1000*$AQ114</f>
        <v>1.0185902446938312E-6</v>
      </c>
      <c r="BT114" s="7">
        <f>SUMIFS('fuels and tailpipe emissions'!$H$10:$H$126,'fuels and tailpipe emissions'!$A$10:$A$126,'vehicles specifications'!$F114,'fuels and tailpipe emissions'!$B$10:$B$126,'vehicles specifications'!BT$2)/1000*$AQ114</f>
        <v>7.6619620176084655E-7</v>
      </c>
      <c r="BU114" s="7">
        <f>SUMIFS('fuels and tailpipe emissions'!$H$10:$H$126,'fuels and tailpipe emissions'!$A$10:$A$126,'vehicles specifications'!$F114,'fuels and tailpipe emissions'!$B$10:$B$126,'vehicles specifications'!BU$2)/1000*$AQ114</f>
        <v>3.3802773607096173E-7</v>
      </c>
      <c r="BV114" s="7">
        <f>SUMIFS('fuels and tailpipe emissions'!$H$10:$H$126,'fuels and tailpipe emissions'!$A$10:$A$126,'vehicles specifications'!$F114,'fuels and tailpipe emissions'!$B$10:$B$126,'vehicles specifications'!BV$2)/1000*$AQ114</f>
        <v>9.9154802580815442E-8</v>
      </c>
      <c r="BW114" s="7">
        <f>SUMIFS('fuels and tailpipe emissions'!$H$10:$H$126,'fuels and tailpipe emissions'!$A$10:$A$126,'vehicles specifications'!$F114,'fuels and tailpipe emissions'!$B$10:$B$126,'vehicles specifications'!BW$2)/1000*$AQ114</f>
        <v>2.7492922533771551E-7</v>
      </c>
      <c r="BX114" s="7">
        <f>SUMIFS('fuels and tailpipe emissions'!$H$10:$H$126,'fuels and tailpipe emissions'!$A$10:$A$126,'vehicles specifications'!$F114,'fuels and tailpipe emissions'!$B$10:$B$126,'vehicles specifications'!BX$2)/1000*$AQ114</f>
        <v>0</v>
      </c>
      <c r="BY114" s="7">
        <f>SUMIFS('fuels and tailpipe emissions'!$H$10:$H$126,'fuels and tailpipe emissions'!$A$10:$A$126,'vehicles specifications'!$F114,'fuels and tailpipe emissions'!$B$10:$B$126,'vehicles specifications'!BY$2)/1000*$AQ114</f>
        <v>8.5633693137976965E-8</v>
      </c>
      <c r="BZ114" s="7">
        <f>SUMIFS('fuels and tailpipe emissions'!$H$10:$H$126,'fuels and tailpipe emissions'!$A$10:$A$126,'vehicles specifications'!$F114,'fuels and tailpipe emissions'!$B$10:$B$126,'vehicles specifications'!BZ$2)/1000*$AQ114</f>
        <v>4.5521068457556175E-7</v>
      </c>
      <c r="CA114" s="7">
        <f>SUMIFS('fuels and tailpipe emissions'!$H$10:$H$126,'fuels and tailpipe emissions'!$A$10:$A$126,'vehicles specifications'!$F114,'fuels and tailpipe emissions'!$B$10:$B$126,'vehicles specifications'!CA$2)/1000*$AQ114</f>
        <v>1.5998987398991553E-9</v>
      </c>
      <c r="CB114" s="7">
        <f>SUMIFS('fuels and tailpipe emissions'!$H$10:$H$126,'fuels and tailpipe emissions'!$A$10:$A$126,'vehicles specifications'!$F114,'fuels and tailpipe emissions'!$B$10:$B$126,'vehicles specifications'!CB$2)/1000*$AQ114</f>
        <v>1.3792230516372029E-11</v>
      </c>
      <c r="CC114" s="7">
        <f>SUMIFS('fuels and tailpipe emissions'!$H$10:$H$126,'fuels and tailpipe emissions'!$A$10:$A$126,'vehicles specifications'!$F114,'fuels and tailpipe emissions'!$B$10:$B$126,'vehicles specifications'!CC$2)/1000*$AQ114</f>
        <v>9.1948203442480187E-12</v>
      </c>
      <c r="CD114" s="7">
        <f>SUMIFS('fuels and tailpipe emissions'!$H$10:$H$126,'fuels and tailpipe emissions'!$A$10:$A$126,'vehicles specifications'!$F114,'fuels and tailpipe emissions'!$B$10:$B$126,'vehicles specifications'!CD$2)/1000*$AQ114</f>
        <v>9.930405971787861E-8</v>
      </c>
      <c r="CE114" s="7">
        <f>SUMIFS('fuels and tailpipe emissions'!$H$10:$H$126,'fuels and tailpipe emissions'!$A$10:$A$126,'vehicles specifications'!$F114,'fuels and tailpipe emissions'!$B$10:$B$126,'vehicles specifications'!CE$2)/1000*$AQ114</f>
        <v>1.9309122722920839E-9</v>
      </c>
      <c r="CF114" s="7">
        <f>SUMIFS('fuels and tailpipe emissions'!$H$10:$H$126,'fuels and tailpipe emissions'!$A$10:$A$126,'vehicles specifications'!$F114,'fuels and tailpipe emissions'!$B$10:$B$126,'vehicles specifications'!CF$2)/1000*$AQ114</f>
        <v>5.9766332237612127E-10</v>
      </c>
      <c r="CG114" s="7">
        <f>SUMIFS('fuels and tailpipe emissions'!$H$10:$H$126,'fuels and tailpipe emissions'!$A$10:$A$126,'vehicles specifications'!$F114,'fuels and tailpipe emissions'!$B$10:$B$126,'vehicles specifications'!CG$2)/1000*$AQ114</f>
        <v>7.3558562753984162E-10</v>
      </c>
      <c r="CH114" s="7">
        <f>SUMIFS('fuels and tailpipe emissions'!$H$10:$H$126,'fuels and tailpipe emissions'!$A$10:$A$126,'vehicles specifications'!$F114,'fuels and tailpipe emissions'!$B$10:$B$126,'vehicles specifications'!CH$2)/1000*$AQ114</f>
        <v>1.4711712550796828E-12</v>
      </c>
      <c r="CI114" s="7">
        <f>SUMIFS('fuels and tailpipe emissions'!$H$10:$H$126,'fuels and tailpipe emissions'!$A$10:$A$126,'vehicles specifications'!$F114,'fuels and tailpipe emissions'!$B$10:$B$126,'vehicles specifications'!CI$2)/1000*$AQ114</f>
        <v>3.9997468497478883E-10</v>
      </c>
      <c r="CJ114" s="7">
        <f>SUMIFS('fuels and tailpipe emissions'!$H$10:$H$126,'fuels and tailpipe emissions'!$A$10:$A$126,'vehicles specifications'!$F114,'fuels and tailpipe emissions'!$B$10:$B$126,'vehicles specifications'!CJ$2)/1000*$AQ114</f>
        <v>4.9652029858939313E-10</v>
      </c>
      <c r="CK114" s="38">
        <f>VLOOKUP($B114,'abrasion emissions'!$O$7:$R$36,2,FALSE)</f>
        <v>0.33</v>
      </c>
      <c r="CL114" s="38">
        <f>VLOOKUP($B114,'abrasion emissions'!$O$7:$R$36,3,FALSE)</f>
        <v>0.33</v>
      </c>
      <c r="CM114" s="38">
        <f>VLOOKUP($B114,'abrasion emissions'!$O$7:$R$36,4,FALSE)</f>
        <v>0.33</v>
      </c>
      <c r="CN114" s="7">
        <f>((SUMIFS('abrasion emissions'!$M$7:$M$34,'abrasion emissions'!$I$7:$I$34,"PM 2.5",'abrasion emissions'!$J$7:$J$34,"urban",'abrasion emissions'!$K$7:$K$34,"Tyre",'abrasion emissions'!$L$7:$L$34,"b")*POWER(('vehicles specifications'!$Q114/1000),(1/SUMIFS('abrasion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specifications'!$P114/1000),(1/SUMIFS('abrasion emissions'!$M$7:$M$34,'abrasion emissions'!$I$7:$I$34,"PM 10",'abrasion emissions'!$J$7:$J$34,"urban",'abrasion emissions'!$K$7:$K$34,"Tyre",'abrasion emissions'!$L$7:$L$34,"c")))))/1000000</f>
        <v>8.3993636650275864E-6</v>
      </c>
      <c r="CO114" s="7">
        <f>((SUMIFS('abrasion emissions'!$M$7:$M$34,'abrasion emissions'!$I$7:$I$34,"PM 2.5",'abrasion emissions'!$J$7:$J$34,"rural",'abrasion emissions'!$K$7:$K$34,"Tyre",'abrasion emissions'!$L$7:$L$34,"b")*POWER(('vehicles specifications'!$Q114/1000),(1/SUMIFS('abrasion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specifications'!$P114/1000),(1/SUMIFS('abrasion emissions'!$M$7:$M$34,'abrasion emissions'!$I$7:$I$34,"PM 10",'abrasion emissions'!$J$7:$J$34,"rural",'abrasion emissions'!$K$7:$K$34,"Tyre",'abrasion emissions'!$L$7:$L$34,"c")))))/1000000</f>
        <v>6.5406957792196127E-6</v>
      </c>
      <c r="CP114" s="7">
        <f>((SUMIFS('abrasion emissions'!$M$7:$M$34,'abrasion emissions'!$I$7:$I$34,"PM 2.5",'abrasion emissions'!$J$7:$J$34,"motorway",'abrasion emissions'!$K$7:$K$34,"Tyre",'abrasion emissions'!$L$7:$L$34,"b")*POWER(('vehicles specifications'!$Q114/1000),(1/SUMIFS('abrasion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specifications'!$P114/1000),(1/SUMIFS('abrasion emissions'!$M$7:$M$34,'abrasion emissions'!$I$7:$I$34,"PM 10",'abrasion emissions'!$J$7:$J$34,"motorway",'abrasion emissions'!$K$7:$K$34,"Tyre",'abrasion emissions'!$L$7:$L$34,"c")))))/1000000</f>
        <v>5.5835840939120512E-6</v>
      </c>
      <c r="CQ114" s="7">
        <f>((SUMIFS('abrasion emissions'!$M$7:$M$34,'abrasion emissions'!$I$7:$I$34,"PM 2.5",'abrasion emissions'!$J$7:$J$34,"urban",'abrasion emissions'!$K$7:$K$34,"Brake",'abrasion emissions'!$L$7:$L$34,"b")*POWER(('vehicles specifications'!$Q114/1000),(1/SUMIFS('abrasion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specifications'!$P114/1000),(1/SUMIFS('abrasion emissions'!$M$7:$M$34,'abrasion emissions'!$I$7:$I$34,"PM 10",'abrasion emissions'!$J$7:$J$34,"urban",'abrasion emissions'!$K$7:$K$34,"Brake",'abrasion emissions'!$L$7:$L$34,"c")))))/1000000</f>
        <v>8.3658294723897611E-6</v>
      </c>
      <c r="CR114" s="7">
        <f>((SUMIFS('abrasion emissions'!$M$7:$M$34,'abrasion emissions'!$I$7:$I$34,"PM 2.5",'abrasion emissions'!$J$7:$J$34,"rural",'abrasion emissions'!$K$7:$K$34,"Brake",'abrasion emissions'!$L$7:$L$34,"b")*POWER(('vehicles specifications'!$Q114/1000),(1/SUMIFS('abrasion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specifications'!$P114/1000),(1/SUMIFS('abrasion emissions'!$M$7:$M$34,'abrasion emissions'!$I$7:$I$34,"PM 10",'abrasion emissions'!$J$7:$J$34,"rural",'abrasion emissions'!$K$7:$K$34,"Brake",'abrasion emissions'!$L$7:$L$34,"c")))))/1000000</f>
        <v>2.9540485585320965E-6</v>
      </c>
      <c r="CS114" s="7">
        <f>((SUMIFS('abrasion emissions'!$M$7:$M$34,'abrasion emissions'!$I$7:$I$34,"PM 2.5",'abrasion emissions'!$J$7:$J$34,"motorway",'abrasion emissions'!$K$7:$K$34,"Brake",'abrasion emissions'!$L$7:$L$34,"b")*POWER(('vehicles specifications'!$Q114/1000),(1/SUMIFS('abrasion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specifications'!$P114/1000),(1/SUMIFS('abrasion emissions'!$M$7:$M$34,'abrasion emissions'!$I$7:$I$34,"PM 10",'abrasion emissions'!$J$7:$J$34,"motorway",'abrasion emissions'!$K$7:$K$34,"Brake",'abrasion emissions'!$L$7:$L$34,"c")))))/1000000</f>
        <v>5.8463563211009624E-7</v>
      </c>
      <c r="CT114" s="7">
        <f>((SUMIFS('abrasion emissions'!$M$7:$M$38,'abrasion emissions'!$I$7:$I$38,"PM 2.5",'abrasion emissions'!$K$7:$K$38,"Re-susp.",'abrasion emissions'!$L$7:$L$38,"b")*POWER(('vehicles specifications'!$Q114/1000),(1/SUMIFS('abrasion emissions'!$M$7:$M$38,'abrasion emissions'!$I$7:$I$38,"PM 2.5",'abrasion emissions'!$K$7:$K$38,"Re-susp.",'abrasion emissions'!$L$7:$L$38,"c"))))+
(SUMIFS('abrasion emissions'!$M$7:$M$38,'abrasion emissions'!$I$7:$I$38,"PM 10",'abrasion emissions'!$K$7:$K$38,"Re-susp.",'abrasion emissions'!$L$7:$L$38,"b")*POWER(('vehicles specifications'!$Q114/1000),(1/SUMIFS('abrasion emissions'!$M$7:$M$38,'abrasion emissions'!$I$7:$I$38,"PM 10",'abrasion emissions'!$K$7:$K$38,"Re-susp.",'abrasion emissions'!$L$7:$L$38,"c")))))/1000000</f>
        <v>6.2696054692683277E-6</v>
      </c>
      <c r="CU114" s="7">
        <f>((SUMIFS('abrasion emissions'!$M$7:$M$38,'abrasion emissions'!$I$7:$I$38,"PM 2.5",'abrasion emissions'!$K$7:$K$38,"Road",'abrasion emissions'!$L$7:$L$38,"b")*POWER(('vehicles specifications'!$Q114/1000),(1/SUMIFS('abrasion emissions'!$M$7:$M$38,'abrasion emissions'!$I$7:$I$38,"PM 2.5",'abrasion emissions'!$K$7:$K$38,"Road",'abrasion emissions'!$L$7:$L$38,"c"))))+
(SUMIFS('abrasion emissions'!$M$7:$M$38,'abrasion emissions'!$I$7:$I$38,"PM 10",'abrasion emissions'!$K$7:$K$38,"Road",'abrasion emissions'!$L$7:$L$38,"b")*POWER(('vehicles specifications'!$Q114/1000),(1/SUMIFS('abrasion emissions'!$M$7:$M$38,'abrasion emissions'!$I$7:$I$38,"PM 10",'abrasion emissions'!$K$7:$K$38,"Road",'abrasion emissions'!$L$7:$L$38,"c")))))/1000000+CT114</f>
        <v>1.1308758017520681E-5</v>
      </c>
      <c r="CV114" s="7">
        <f t="shared" si="79"/>
        <v>6.7728023675925525E-6</v>
      </c>
      <c r="CW114" s="7">
        <f t="shared" si="80"/>
        <v>3.9284895088005455E-6</v>
      </c>
    </row>
    <row r="115" spans="1:101" x14ac:dyDescent="0.2">
      <c r="A115" t="str">
        <f t="shared" si="1"/>
        <v>Motorbike, gasoline, &gt;35kW, EURO-5 - 2020 - CH</v>
      </c>
      <c r="B115" t="s">
        <v>406</v>
      </c>
      <c r="D115" s="18">
        <v>2020</v>
      </c>
      <c r="E115" t="s">
        <v>37</v>
      </c>
      <c r="F115" t="s">
        <v>141</v>
      </c>
      <c r="G115" t="s">
        <v>39</v>
      </c>
      <c r="H115" t="s">
        <v>35</v>
      </c>
      <c r="J115">
        <v>40500</v>
      </c>
      <c r="K115">
        <v>2896</v>
      </c>
      <c r="L115" s="2">
        <f t="shared" si="108"/>
        <v>13.984806629834255</v>
      </c>
      <c r="M115">
        <v>1.1000000000000001</v>
      </c>
      <c r="N115">
        <v>75</v>
      </c>
      <c r="O115">
        <v>6</v>
      </c>
      <c r="P115" s="2">
        <f t="shared" si="64"/>
        <v>256.52499999999998</v>
      </c>
      <c r="Q115" s="2">
        <f t="shared" si="109"/>
        <v>345.02499999999998</v>
      </c>
      <c r="R115">
        <v>91</v>
      </c>
      <c r="S115" s="2">
        <v>111</v>
      </c>
      <c r="T115" s="1">
        <v>0</v>
      </c>
      <c r="U115" s="2">
        <f t="shared" si="105"/>
        <v>111</v>
      </c>
      <c r="V115" s="2">
        <v>130</v>
      </c>
      <c r="W115" s="2">
        <v>0</v>
      </c>
      <c r="X115" s="3">
        <v>0</v>
      </c>
      <c r="Y115" s="1">
        <v>0.8</v>
      </c>
      <c r="Z115" s="3">
        <f t="shared" si="110"/>
        <v>0</v>
      </c>
      <c r="AA115" s="3" t="str">
        <f>IF(I115&lt;&gt;"",X115/INDEX('energy battery'!$B$3:$D$6,MATCH('vehicles specifications'!$D115,'energy battery'!$A$3:$A$6,0),MATCH('vehicles specifications'!$I115,'energy battery'!$B$2:$D$2,0)),"")</f>
        <v/>
      </c>
      <c r="AB115" s="3" t="str">
        <f t="shared" si="6"/>
        <v/>
      </c>
      <c r="AC115" s="3" t="str">
        <f t="shared" si="7"/>
        <v/>
      </c>
      <c r="AD115" s="3">
        <v>0</v>
      </c>
      <c r="AE115" s="3">
        <v>18</v>
      </c>
      <c r="AF115">
        <f>AE115*'fuels and tailpipe emissions'!$B$3</f>
        <v>13.5</v>
      </c>
      <c r="AG115" s="2">
        <f>AF115*'fuels and tailpipe emissions'!$C$3</f>
        <v>159.75</v>
      </c>
      <c r="AH115" s="3">
        <f t="shared" si="106"/>
        <v>2.0249999999999999</v>
      </c>
      <c r="AI115" s="3">
        <v>0</v>
      </c>
      <c r="AJ115" s="3">
        <v>0</v>
      </c>
      <c r="AK115">
        <f t="shared" si="67"/>
        <v>1.62</v>
      </c>
      <c r="AL115">
        <f t="shared" si="65"/>
        <v>1.8527842499999999E-4</v>
      </c>
      <c r="AM115">
        <v>1.2899999999999999E-3</v>
      </c>
      <c r="AN115" s="2">
        <f t="shared" si="111"/>
        <v>111</v>
      </c>
      <c r="AO115" s="2">
        <f t="shared" si="112"/>
        <v>130</v>
      </c>
      <c r="AP115" s="2" t="str">
        <f t="shared" si="113"/>
        <v/>
      </c>
      <c r="AQ115" s="6">
        <v>1.9343603299211769</v>
      </c>
      <c r="AR115" s="20">
        <v>1.2E-2</v>
      </c>
      <c r="AS115" s="6" t="str">
        <f>IF($H115="BEV",SUMPRODUCT(#REF!,#REF!),"")</f>
        <v/>
      </c>
      <c r="AT115" s="2">
        <f t="shared" si="78"/>
        <v>297.30758592605895</v>
      </c>
      <c r="AU115" s="5">
        <f>IF($H115="ICEV-p",$AQ115/('fuels and tailpipe emissions'!$C$3*3.6)*'fuels and tailpipe emissions'!$D$3,"")*(1-AR115)</f>
        <v>0.14086865583852268</v>
      </c>
      <c r="AV115" s="5">
        <f>IF($H115="ICEV-p",$AQ115/('fuels and tailpipe emissions'!$C$3*3.6)*'fuels and tailpipe emissions'!$D$3,"")*AR115</f>
        <v>1.7109553340711255E-3</v>
      </c>
      <c r="AW115" s="7">
        <f>IF($H115="ICEV-p",$AQ115/('fuels and tailpipe emissions'!$C$3*3.6)*'fuels and tailpipe emissions'!$E$3,"")</f>
        <v>7.265203117074842E-7</v>
      </c>
      <c r="AX115" s="7">
        <f>SUMIFS('fuels and tailpipe emissions'!$H$10:$H$126,'fuels and tailpipe emissions'!$A$10:$A$126,'vehicles specifications'!$F115,'fuels and tailpipe emissions'!$B$10:$B$126,'vehicles specifications'!AX$2)/1000*$AQ115</f>
        <v>1.4740138315818797E-6</v>
      </c>
      <c r="AY115" s="7">
        <f>SUMIFS('fuels and tailpipe emissions'!$H$10:$H$126,'fuels and tailpipe emissions'!$A$10:$A$126,'vehicles specifications'!$F115,'fuels and tailpipe emissions'!$B$10:$B$126,'vehicles specifications'!AY$2)/1000*$AQ115</f>
        <v>2.0777062392450149E-5</v>
      </c>
      <c r="AZ115" s="7">
        <f>SUMIFS('fuels and tailpipe emissions'!$H$10:$H$126,'fuels and tailpipe emissions'!$A$10:$A$126,'vehicles specifications'!$F115,'fuels and tailpipe emissions'!$B$10:$B$126,'vehicles specifications'!AZ$2)/1000*$AQ115</f>
        <v>1.6143029994865083E-4</v>
      </c>
      <c r="BA115" s="7">
        <f>SUMIFS('fuels and tailpipe emissions'!$H$10:$H$126,'fuels and tailpipe emissions'!$A$10:$A$126,'vehicles specifications'!$F115,'fuels and tailpipe emissions'!$B$10:$B$126,'vehicles specifications'!BA$2)/1000*$AQ115</f>
        <v>1.0935295996026393E-6</v>
      </c>
      <c r="BB115" s="7">
        <f>SUMIFS('fuels and tailpipe emissions'!$H$10:$H$126,'fuels and tailpipe emissions'!$A$10:$A$126,'vehicles specifications'!$F115,'fuels and tailpipe emissions'!$B$10:$B$126,'vehicles specifications'!BB$2)/1000*$AQ115</f>
        <v>1.0935295996026393E-6</v>
      </c>
      <c r="BC115" s="7">
        <f>SUMIFS('fuels and tailpipe emissions'!$H$10:$H$126,'fuels and tailpipe emissions'!$A$10:$A$126,'vehicles specifications'!$F115,'fuels and tailpipe emissions'!$B$10:$B$126,'vehicles specifications'!BC$2)/1000*$AQ115</f>
        <v>9.2040080028458703E-6</v>
      </c>
      <c r="BD115" s="7">
        <f>SUMIFS('fuels and tailpipe emissions'!$H$10:$H$126,'fuels and tailpipe emissions'!$A$10:$A$126,'vehicles specifications'!$F115,'fuels and tailpipe emissions'!$B$10:$B$126,'vehicles specifications'!BD$2)/1000*$AQ115</f>
        <v>2.7338239990065983E-6</v>
      </c>
      <c r="BE115" s="7">
        <f>SUMIFS('fuels and tailpipe emissions'!$H$10:$H$126,'fuels and tailpipe emissions'!$A$10:$A$126,'vehicles specifications'!$F115,'fuels and tailpipe emissions'!$B$10:$B$126,'vehicles specifications'!BE$2)/1000*$AQ115</f>
        <v>1.18866997755373E-5</v>
      </c>
      <c r="BF115" s="7">
        <f>SUMIFS('fuels and tailpipe emissions'!$H$10:$H$126,'fuels and tailpipe emissions'!$A$10:$A$126,'vehicles specifications'!$F115,'fuels and tailpipe emissions'!$B$10:$B$126,'vehicles specifications'!BF$2)/1000*$AQ115</f>
        <v>8.381647277622453E-7</v>
      </c>
      <c r="BG115" s="7">
        <f>SUMIFS('fuels and tailpipe emissions'!$H$10:$H$126,'fuels and tailpipe emissions'!$A$10:$A$126,'vehicles specifications'!$F115,'fuels and tailpipe emissions'!$B$10:$B$126,'vehicles specifications'!BG$2)/1000*$AQ115</f>
        <v>1.7078591631519106E-7</v>
      </c>
      <c r="BH115" s="7">
        <f>SUMIFS('fuels and tailpipe emissions'!$H$10:$H$126,'fuels and tailpipe emissions'!$A$10:$A$126,'vehicles specifications'!$F115,'fuels and tailpipe emissions'!$B$10:$B$126,'vehicles specifications'!BH$2)/1000*$AQ115</f>
        <v>1.3767972330640017E-6</v>
      </c>
      <c r="BI115" s="7">
        <f>SUMIFS('fuels and tailpipe emissions'!$H$10:$H$126,'fuels and tailpipe emissions'!$A$10:$A$126,'vehicles specifications'!$F115,'fuels and tailpipe emissions'!$B$10:$B$126,'vehicles specifications'!BI$2)/1000*$AQ115</f>
        <v>5.6490726165793968E-7</v>
      </c>
      <c r="BJ115" s="7">
        <f>SUMIFS('fuels and tailpipe emissions'!$H$10:$H$126,'fuels and tailpipe emissions'!$A$10:$A$126,'vehicles specifications'!$F115,'fuels and tailpipe emissions'!$B$10:$B$126,'vehicles specifications'!BJ$2)/1000*$AQ115</f>
        <v>4.2302357733455016E-7</v>
      </c>
      <c r="BK115" s="7">
        <f>SUMIFS('fuels and tailpipe emissions'!$H$10:$H$126,'fuels and tailpipe emissions'!$A$10:$A$126,'vehicles specifications'!$F115,'fuels and tailpipe emissions'!$B$10:$B$126,'vehicles specifications'!BK$2)/1000*$AQ115</f>
        <v>2.9953222246048898E-7</v>
      </c>
      <c r="BL115" s="7">
        <f>SUMIFS('fuels and tailpipe emissions'!$H$10:$H$126,'fuels and tailpipe emissions'!$A$10:$A$126,'vehicles specifications'!$F115,'fuels and tailpipe emissions'!$B$10:$B$126,'vehicles specifications'!BL$2)/1000*$AQ115</f>
        <v>1.9443319703575599E-7</v>
      </c>
      <c r="BM115" s="7">
        <f>SUMIFS('fuels and tailpipe emissions'!$H$10:$H$126,'fuels and tailpipe emissions'!$A$10:$A$126,'vehicles specifications'!$F115,'fuels and tailpipe emissions'!$B$10:$B$126,'vehicles specifications'!BM$2)/1000*$AQ115</f>
        <v>1.9180572140013763E-6</v>
      </c>
      <c r="BN115" s="7">
        <f>SUMIFS('fuels and tailpipe emissions'!$H$10:$H$126,'fuels and tailpipe emissions'!$A$10:$A$126,'vehicles specifications'!$F115,'fuels and tailpipe emissions'!$B$10:$B$126,'vehicles specifications'!BN$2)/1000*$AQ115</f>
        <v>1.0036956928061999E-6</v>
      </c>
      <c r="BO115" s="7">
        <f>SUMIFS('fuels and tailpipe emissions'!$H$10:$H$126,'fuels and tailpipe emissions'!$A$10:$A$126,'vehicles specifications'!$F115,'fuels and tailpipe emissions'!$B$10:$B$126,'vehicles specifications'!BO$2)/1000*$AQ115</f>
        <v>2.8902231991801569E-8</v>
      </c>
      <c r="BP115" s="7">
        <f>SUMIFS('fuels and tailpipe emissions'!$H$10:$H$126,'fuels and tailpipe emissions'!$A$10:$A$126,'vehicles specifications'!$F115,'fuels and tailpipe emissions'!$B$10:$B$126,'vehicles specifications'!BP$2)/1000*$AQ115</f>
        <v>1.4740138315818797E-6</v>
      </c>
      <c r="BQ115" s="7">
        <f>SUMIFS('fuels and tailpipe emissions'!$H$10:$H$126,'fuels and tailpipe emissions'!$A$10:$A$126,'vehicles specifications'!$F115,'fuels and tailpipe emissions'!$B$10:$B$126,'vehicles specifications'!BQ$2)/1000*$AQ115</f>
        <v>2.8849682479089193E-6</v>
      </c>
      <c r="BR115" s="7">
        <f>SUMIFS('fuels and tailpipe emissions'!$H$10:$H$126,'fuels and tailpipe emissions'!$A$10:$A$126,'vehicles specifications'!$F115,'fuels and tailpipe emissions'!$B$10:$B$126,'vehicles specifications'!BR$2)/1000*$AQ115</f>
        <v>1.42671927014075E-6</v>
      </c>
      <c r="BS115" s="7">
        <f>SUMIFS('fuels and tailpipe emissions'!$H$10:$H$126,'fuels and tailpipe emissions'!$A$10:$A$126,'vehicles specifications'!$F115,'fuels and tailpipe emissions'!$B$10:$B$126,'vehicles specifications'!BS$2)/1000*$AQ115</f>
        <v>5.9380949364974125E-7</v>
      </c>
      <c r="BT115" s="7">
        <f>SUMIFS('fuels and tailpipe emissions'!$H$10:$H$126,'fuels and tailpipe emissions'!$A$10:$A$126,'vehicles specifications'!$F115,'fuels and tailpipe emissions'!$B$10:$B$126,'vehicles specifications'!BT$2)/1000*$AQ115</f>
        <v>4.4667085805511511E-7</v>
      </c>
      <c r="BU115" s="7">
        <f>SUMIFS('fuels and tailpipe emissions'!$H$10:$H$126,'fuels and tailpipe emissions'!$A$10:$A$126,'vehicles specifications'!$F115,'fuels and tailpipe emissions'!$B$10:$B$126,'vehicles specifications'!BU$2)/1000*$AQ115</f>
        <v>1.970606726713743E-7</v>
      </c>
      <c r="BV115" s="7">
        <f>SUMIFS('fuels and tailpipe emissions'!$H$10:$H$126,'fuels and tailpipe emissions'!$A$10:$A$126,'vehicles specifications'!$F115,'fuels and tailpipe emissions'!$B$10:$B$126,'vehicles specifications'!BV$2)/1000*$AQ115</f>
        <v>5.7804463983603138E-8</v>
      </c>
      <c r="BW115" s="7">
        <f>SUMIFS('fuels and tailpipe emissions'!$H$10:$H$126,'fuels and tailpipe emissions'!$A$10:$A$126,'vehicles specifications'!$F115,'fuels and tailpipe emissions'!$B$10:$B$126,'vehicles specifications'!BW$2)/1000*$AQ115</f>
        <v>1.6027601377271776E-7</v>
      </c>
      <c r="BX115" s="7">
        <f>SUMIFS('fuels and tailpipe emissions'!$H$10:$H$126,'fuels and tailpipe emissions'!$A$10:$A$126,'vehicles specifications'!$F115,'fuels and tailpipe emissions'!$B$10:$B$126,'vehicles specifications'!BX$2)/1000*$AQ115</f>
        <v>0</v>
      </c>
      <c r="BY115" s="7">
        <f>SUMIFS('fuels and tailpipe emissions'!$H$10:$H$126,'fuels and tailpipe emissions'!$A$10:$A$126,'vehicles specifications'!$F115,'fuels and tailpipe emissions'!$B$10:$B$126,'vehicles specifications'!BY$2)/1000*$AQ115</f>
        <v>4.992203707674815E-8</v>
      </c>
      <c r="BZ115" s="7">
        <f>SUMIFS('fuels and tailpipe emissions'!$H$10:$H$126,'fuels and tailpipe emissions'!$A$10:$A$126,'vehicles specifications'!$F115,'fuels and tailpipe emissions'!$B$10:$B$126,'vehicles specifications'!BZ$2)/1000*$AQ115</f>
        <v>2.6537503919745075E-7</v>
      </c>
      <c r="CA115" s="7">
        <f>SUMIFS('fuels and tailpipe emissions'!$H$10:$H$126,'fuels and tailpipe emissions'!$A$10:$A$126,'vehicles specifications'!$F115,'fuels and tailpipe emissions'!$B$10:$B$126,'vehicles specifications'!CA$2)/1000*$AQ115</f>
        <v>1.5838997525001637E-9</v>
      </c>
      <c r="CB115" s="7">
        <f>SUMIFS('fuels and tailpipe emissions'!$H$10:$H$126,'fuels and tailpipe emissions'!$A$10:$A$126,'vehicles specifications'!$F115,'fuels and tailpipe emissions'!$B$10:$B$126,'vehicles specifications'!CB$2)/1000*$AQ115</f>
        <v>1.3654308211208309E-11</v>
      </c>
      <c r="CC115" s="7">
        <f>SUMIFS('fuels and tailpipe emissions'!$H$10:$H$126,'fuels and tailpipe emissions'!$A$10:$A$126,'vehicles specifications'!$F115,'fuels and tailpipe emissions'!$B$10:$B$126,'vehicles specifications'!CC$2)/1000*$AQ115</f>
        <v>9.1028721408055385E-12</v>
      </c>
      <c r="CD115" s="7">
        <f>SUMIFS('fuels and tailpipe emissions'!$H$10:$H$126,'fuels and tailpipe emissions'!$A$10:$A$126,'vehicles specifications'!$F115,'fuels and tailpipe emissions'!$B$10:$B$126,'vehicles specifications'!CD$2)/1000*$AQ115</f>
        <v>9.8311019120699828E-8</v>
      </c>
      <c r="CE115" s="7">
        <f>SUMIFS('fuels and tailpipe emissions'!$H$10:$H$126,'fuels and tailpipe emissions'!$A$10:$A$126,'vehicles specifications'!$F115,'fuels and tailpipe emissions'!$B$10:$B$126,'vehicles specifications'!CE$2)/1000*$AQ115</f>
        <v>1.911603149569163E-9</v>
      </c>
      <c r="CF115" s="7">
        <f>SUMIFS('fuels and tailpipe emissions'!$H$10:$H$126,'fuels and tailpipe emissions'!$A$10:$A$126,'vehicles specifications'!$F115,'fuels and tailpipe emissions'!$B$10:$B$126,'vehicles specifications'!CF$2)/1000*$AQ115</f>
        <v>5.9168668915236E-10</v>
      </c>
      <c r="CG115" s="7">
        <f>SUMIFS('fuels and tailpipe emissions'!$H$10:$H$126,'fuels and tailpipe emissions'!$A$10:$A$126,'vehicles specifications'!$F115,'fuels and tailpipe emissions'!$B$10:$B$126,'vehicles specifications'!CG$2)/1000*$AQ115</f>
        <v>7.2822977126444316E-10</v>
      </c>
      <c r="CH115" s="7">
        <f>SUMIFS('fuels and tailpipe emissions'!$H$10:$H$126,'fuels and tailpipe emissions'!$A$10:$A$126,'vehicles specifications'!$F115,'fuels and tailpipe emissions'!$B$10:$B$126,'vehicles specifications'!CH$2)/1000*$AQ115</f>
        <v>1.4564595425288861E-12</v>
      </c>
      <c r="CI115" s="7">
        <f>SUMIFS('fuels and tailpipe emissions'!$H$10:$H$126,'fuels and tailpipe emissions'!$A$10:$A$126,'vehicles specifications'!$F115,'fuels and tailpipe emissions'!$B$10:$B$126,'vehicles specifications'!CI$2)/1000*$AQ115</f>
        <v>3.9597493812504094E-10</v>
      </c>
      <c r="CJ115" s="7">
        <f>SUMIFS('fuels and tailpipe emissions'!$H$10:$H$126,'fuels and tailpipe emissions'!$A$10:$A$126,'vehicles specifications'!$F115,'fuels and tailpipe emissions'!$B$10:$B$126,'vehicles specifications'!CJ$2)/1000*$AQ115</f>
        <v>4.9155509560349916E-10</v>
      </c>
      <c r="CK115" s="38">
        <f>VLOOKUP($B115,'abrasion emissions'!$O$7:$R$36,2,FALSE)</f>
        <v>0.33</v>
      </c>
      <c r="CL115" s="38">
        <f>VLOOKUP($B115,'abrasion emissions'!$O$7:$R$36,3,FALSE)</f>
        <v>0.33</v>
      </c>
      <c r="CM115" s="38">
        <f>VLOOKUP($B115,'abrasion emissions'!$O$7:$R$36,4,FALSE)</f>
        <v>0.33</v>
      </c>
      <c r="CN115" s="7">
        <f>((SUMIFS('abrasion emissions'!$M$7:$M$34,'abrasion emissions'!$I$7:$I$34,"PM 2.5",'abrasion emissions'!$J$7:$J$34,"urban",'abrasion emissions'!$K$7:$K$34,"Tyre",'abrasion emissions'!$L$7:$L$34,"b")*POWER(('vehicles specifications'!$Q115/1000),(1/SUMIFS('abrasion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specifications'!$P115/1000),(1/SUMIFS('abrasion emissions'!$M$7:$M$34,'abrasion emissions'!$I$7:$I$34,"PM 10",'abrasion emissions'!$J$7:$J$34,"urban",'abrasion emissions'!$K$7:$K$34,"Tyre",'abrasion emissions'!$L$7:$L$34,"c")))))/1000000</f>
        <v>8.3728975795597335E-6</v>
      </c>
      <c r="CO115" s="7">
        <f>((SUMIFS('abrasion emissions'!$M$7:$M$34,'abrasion emissions'!$I$7:$I$34,"PM 2.5",'abrasion emissions'!$J$7:$J$34,"rural",'abrasion emissions'!$K$7:$K$34,"Tyre",'abrasion emissions'!$L$7:$L$34,"b")*POWER(('vehicles specifications'!$Q115/1000),(1/SUMIFS('abrasion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specifications'!$P115/1000),(1/SUMIFS('abrasion emissions'!$M$7:$M$34,'abrasion emissions'!$I$7:$I$34,"PM 10",'abrasion emissions'!$J$7:$J$34,"rural",'abrasion emissions'!$K$7:$K$34,"Tyre",'abrasion emissions'!$L$7:$L$34,"c")))))/1000000</f>
        <v>6.5200950595079898E-6</v>
      </c>
      <c r="CP115" s="7">
        <f>((SUMIFS('abrasion emissions'!$M$7:$M$34,'abrasion emissions'!$I$7:$I$34,"PM 2.5",'abrasion emissions'!$J$7:$J$34,"motorway",'abrasion emissions'!$K$7:$K$34,"Tyre",'abrasion emissions'!$L$7:$L$34,"b")*POWER(('vehicles specifications'!$Q115/1000),(1/SUMIFS('abrasion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specifications'!$P115/1000),(1/SUMIFS('abrasion emissions'!$M$7:$M$34,'abrasion emissions'!$I$7:$I$34,"PM 10",'abrasion emissions'!$J$7:$J$34,"motorway",'abrasion emissions'!$K$7:$K$34,"Tyre",'abrasion emissions'!$L$7:$L$34,"c")))))/1000000</f>
        <v>5.5660199310237594E-6</v>
      </c>
      <c r="CQ115" s="7">
        <f>((SUMIFS('abrasion emissions'!$M$7:$M$34,'abrasion emissions'!$I$7:$I$34,"PM 2.5",'abrasion emissions'!$J$7:$J$34,"urban",'abrasion emissions'!$K$7:$K$34,"Brake",'abrasion emissions'!$L$7:$L$34,"b")*POWER(('vehicles specifications'!$Q115/1000),(1/SUMIFS('abrasion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specifications'!$P115/1000),(1/SUMIFS('abrasion emissions'!$M$7:$M$34,'abrasion emissions'!$I$7:$I$34,"PM 10",'abrasion emissions'!$J$7:$J$34,"urban",'abrasion emissions'!$K$7:$K$34,"Brake",'abrasion emissions'!$L$7:$L$34,"c")))))/1000000</f>
        <v>8.335255798831221E-6</v>
      </c>
      <c r="CR115" s="7">
        <f>((SUMIFS('abrasion emissions'!$M$7:$M$34,'abrasion emissions'!$I$7:$I$34,"PM 2.5",'abrasion emissions'!$J$7:$J$34,"rural",'abrasion emissions'!$K$7:$K$34,"Brake",'abrasion emissions'!$L$7:$L$34,"b")*POWER(('vehicles specifications'!$Q115/1000),(1/SUMIFS('abrasion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specifications'!$P115/1000),(1/SUMIFS('abrasion emissions'!$M$7:$M$34,'abrasion emissions'!$I$7:$I$34,"PM 10",'abrasion emissions'!$J$7:$J$34,"rural",'abrasion emissions'!$K$7:$K$34,"Brake",'abrasion emissions'!$L$7:$L$34,"c")))))/1000000</f>
        <v>2.9403764280959344E-6</v>
      </c>
      <c r="CS115" s="7">
        <f>((SUMIFS('abrasion emissions'!$M$7:$M$34,'abrasion emissions'!$I$7:$I$34,"PM 2.5",'abrasion emissions'!$J$7:$J$34,"motorway",'abrasion emissions'!$K$7:$K$34,"Brake",'abrasion emissions'!$L$7:$L$34,"b")*POWER(('vehicles specifications'!$Q115/1000),(1/SUMIFS('abrasion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specifications'!$P115/1000),(1/SUMIFS('abrasion emissions'!$M$7:$M$34,'abrasion emissions'!$I$7:$I$34,"PM 10",'abrasion emissions'!$J$7:$J$34,"motorway",'abrasion emissions'!$K$7:$K$34,"Brake",'abrasion emissions'!$L$7:$L$34,"c")))))/1000000</f>
        <v>5.8152012269883543E-7</v>
      </c>
      <c r="CT115" s="7">
        <f>((SUMIFS('abrasion emissions'!$M$7:$M$38,'abrasion emissions'!$I$7:$I$38,"PM 2.5",'abrasion emissions'!$K$7:$K$38,"Re-susp.",'abrasion emissions'!$L$7:$L$38,"b")*POWER(('vehicles specifications'!$Q115/1000),(1/SUMIFS('abrasion emissions'!$M$7:$M$38,'abrasion emissions'!$I$7:$I$38,"PM 2.5",'abrasion emissions'!$K$7:$K$38,"Re-susp.",'abrasion emissions'!$L$7:$L$38,"c"))))+
(SUMIFS('abrasion emissions'!$M$7:$M$38,'abrasion emissions'!$I$7:$I$38,"PM 10",'abrasion emissions'!$K$7:$K$38,"Re-susp.",'abrasion emissions'!$L$7:$L$38,"b")*POWER(('vehicles specifications'!$Q115/1000),(1/SUMIFS('abrasion emissions'!$M$7:$M$38,'abrasion emissions'!$I$7:$I$38,"PM 10",'abrasion emissions'!$K$7:$K$38,"Re-susp.",'abrasion emissions'!$L$7:$L$38,"c")))))/1000000</f>
        <v>6.233156019018277E-6</v>
      </c>
      <c r="CU115" s="7">
        <f>((SUMIFS('abrasion emissions'!$M$7:$M$38,'abrasion emissions'!$I$7:$I$38,"PM 2.5",'abrasion emissions'!$K$7:$K$38,"Road",'abrasion emissions'!$L$7:$L$38,"b")*POWER(('vehicles specifications'!$Q115/1000),(1/SUMIFS('abrasion emissions'!$M$7:$M$38,'abrasion emissions'!$I$7:$I$38,"PM 2.5",'abrasion emissions'!$K$7:$K$38,"Road",'abrasion emissions'!$L$7:$L$38,"c"))))+
(SUMIFS('abrasion emissions'!$M$7:$M$38,'abrasion emissions'!$I$7:$I$38,"PM 10",'abrasion emissions'!$K$7:$K$38,"Road",'abrasion emissions'!$L$7:$L$38,"b")*POWER(('vehicles specifications'!$Q115/1000),(1/SUMIFS('abrasion emissions'!$M$7:$M$38,'abrasion emissions'!$I$7:$I$38,"PM 10",'abrasion emissions'!$K$7:$K$38,"Road",'abrasion emissions'!$L$7:$L$38,"c")))))/1000000+CT115</f>
        <v>1.1250808142206311E-5</v>
      </c>
      <c r="CV115" s="7">
        <f t="shared" si="79"/>
        <v>6.7514741481301901E-6</v>
      </c>
      <c r="CW115" s="7">
        <f t="shared" si="80"/>
        <v>3.9128602753765776E-6</v>
      </c>
    </row>
    <row r="116" spans="1:101" x14ac:dyDescent="0.2">
      <c r="A116" t="str">
        <f t="shared" ref="A116:A166" si="114">B116&amp;" - "&amp;D116&amp;" - "&amp;IF(I116&lt;&gt;"",I116&amp;" - "&amp;E116,E116)</f>
        <v>Motorbike, gasoline, &gt;35kW, EURO-5 - 2030 - CH</v>
      </c>
      <c r="B116" t="s">
        <v>406</v>
      </c>
      <c r="D116" s="18">
        <v>2030</v>
      </c>
      <c r="E116" t="s">
        <v>37</v>
      </c>
      <c r="F116" t="s">
        <v>141</v>
      </c>
      <c r="G116" t="s">
        <v>39</v>
      </c>
      <c r="H116" t="s">
        <v>35</v>
      </c>
      <c r="J116">
        <v>40500</v>
      </c>
      <c r="K116">
        <v>2896</v>
      </c>
      <c r="L116" s="2">
        <f t="shared" si="108"/>
        <v>13.984806629834255</v>
      </c>
      <c r="M116">
        <v>1.1000000000000001</v>
      </c>
      <c r="N116">
        <v>75</v>
      </c>
      <c r="O116">
        <v>6</v>
      </c>
      <c r="P116" s="2">
        <f t="shared" si="64"/>
        <v>253.19500000000002</v>
      </c>
      <c r="Q116" s="2">
        <f t="shared" si="109"/>
        <v>341.69500000000005</v>
      </c>
      <c r="R116">
        <v>91</v>
      </c>
      <c r="S116" s="2">
        <v>111</v>
      </c>
      <c r="T116" s="1">
        <v>0.03</v>
      </c>
      <c r="U116" s="2">
        <f t="shared" si="105"/>
        <v>107.67</v>
      </c>
      <c r="V116" s="2">
        <v>130</v>
      </c>
      <c r="W116" s="2">
        <v>0</v>
      </c>
      <c r="X116" s="3">
        <v>0</v>
      </c>
      <c r="Y116" s="1">
        <v>0.8</v>
      </c>
      <c r="Z116" s="3">
        <f t="shared" si="110"/>
        <v>0</v>
      </c>
      <c r="AA116" s="3" t="str">
        <f>IF(I116&lt;&gt;"",X116/INDEX('energy battery'!$B$3:$D$6,MATCH('vehicles specifications'!$D116,'energy battery'!$A$3:$A$6,0),MATCH('vehicles specifications'!$I116,'energy battery'!$B$2:$D$2,0)),"")</f>
        <v/>
      </c>
      <c r="AB116" s="3" t="str">
        <f t="shared" ref="AB116:AB166" si="115">IF(AA116&lt;&gt;"",0.3*AA116,"")</f>
        <v/>
      </c>
      <c r="AC116" s="3" t="str">
        <f t="shared" ref="AC116:AC166" si="116">IF(AA116&lt;&gt;"",AB116+AA116,"")</f>
        <v/>
      </c>
      <c r="AD116" s="3">
        <v>0</v>
      </c>
      <c r="AE116" s="3">
        <v>18</v>
      </c>
      <c r="AF116">
        <f>AE116*'fuels and tailpipe emissions'!$B$3</f>
        <v>13.5</v>
      </c>
      <c r="AG116" s="2">
        <f>AF116*'fuels and tailpipe emissions'!$C$3</f>
        <v>159.75</v>
      </c>
      <c r="AH116" s="3">
        <f t="shared" si="106"/>
        <v>2.0249999999999999</v>
      </c>
      <c r="AI116" s="3">
        <v>0</v>
      </c>
      <c r="AJ116" s="3">
        <v>0</v>
      </c>
      <c r="AK116">
        <f t="shared" si="67"/>
        <v>1.62</v>
      </c>
      <c r="AL116">
        <f t="shared" si="65"/>
        <v>1.8349021500000003E-4</v>
      </c>
      <c r="AM116">
        <v>1.2899999999999999E-3</v>
      </c>
      <c r="AN116" s="2">
        <f t="shared" si="111"/>
        <v>107.67</v>
      </c>
      <c r="AO116" s="2">
        <f t="shared" si="112"/>
        <v>130</v>
      </c>
      <c r="AP116" s="2" t="str">
        <f t="shared" si="113"/>
        <v/>
      </c>
      <c r="AQ116" s="6">
        <v>1.9150167266219651</v>
      </c>
      <c r="AR116" s="20">
        <v>1.2E-2</v>
      </c>
      <c r="AS116" s="6" t="str">
        <f>IF($H116="BEV",SUMPRODUCT(#REF!,#REF!),"")</f>
        <v/>
      </c>
      <c r="AT116" s="2">
        <f t="shared" si="78"/>
        <v>300.31069285460501</v>
      </c>
      <c r="AU116" s="5">
        <f>IF($H116="ICEV-p",$AQ116/('fuels and tailpipe emissions'!$C$3*3.6)*'fuels and tailpipe emissions'!$D$3,"")*(1-AR116)</f>
        <v>0.13945996928013743</v>
      </c>
      <c r="AV116" s="5">
        <f>IF($H116="ICEV-p",$AQ116/('fuels and tailpipe emissions'!$C$3*3.6)*'fuels and tailpipe emissions'!$D$3,"")*AR116</f>
        <v>1.6938457807304144E-3</v>
      </c>
      <c r="AW116" s="7">
        <f>IF($H116="ICEV-p",$AQ116/('fuels and tailpipe emissions'!$C$3*3.6)*'fuels and tailpipe emissions'!$E$3,"")</f>
        <v>7.1925510859040943E-7</v>
      </c>
      <c r="AX116" s="7">
        <f>SUMIFS('fuels and tailpipe emissions'!$H$10:$H$126,'fuels and tailpipe emissions'!$A$10:$A$126,'vehicles specifications'!$F116,'fuels and tailpipe emissions'!$B$10:$B$126,'vehicles specifications'!AX$2)/1000*$AQ116</f>
        <v>1.459273693266061E-6</v>
      </c>
      <c r="AY116" s="7">
        <f>SUMIFS('fuels and tailpipe emissions'!$H$10:$H$126,'fuels and tailpipe emissions'!$A$10:$A$126,'vehicles specifications'!$F116,'fuels and tailpipe emissions'!$B$10:$B$126,'vehicles specifications'!AY$2)/1000*$AQ116</f>
        <v>2.0569291768525646E-5</v>
      </c>
      <c r="AZ116" s="7">
        <f>SUMIFS('fuels and tailpipe emissions'!$H$10:$H$126,'fuels and tailpipe emissions'!$A$10:$A$126,'vehicles specifications'!$F116,'fuels and tailpipe emissions'!$B$10:$B$126,'vehicles specifications'!AZ$2)/1000*$AQ116</f>
        <v>1.5981599694916431E-4</v>
      </c>
      <c r="BA116" s="7">
        <f>SUMIFS('fuels and tailpipe emissions'!$H$10:$H$126,'fuels and tailpipe emissions'!$A$10:$A$126,'vehicles specifications'!$F116,'fuels and tailpipe emissions'!$B$10:$B$126,'vehicles specifications'!BA$2)/1000*$AQ116</f>
        <v>1.0825943036066128E-6</v>
      </c>
      <c r="BB116" s="7">
        <f>SUMIFS('fuels and tailpipe emissions'!$H$10:$H$126,'fuels and tailpipe emissions'!$A$10:$A$126,'vehicles specifications'!$F116,'fuels and tailpipe emissions'!$B$10:$B$126,'vehicles specifications'!BB$2)/1000*$AQ116</f>
        <v>1.0825943036066128E-6</v>
      </c>
      <c r="BC116" s="7">
        <f>SUMIFS('fuels and tailpipe emissions'!$H$10:$H$126,'fuels and tailpipe emissions'!$A$10:$A$126,'vehicles specifications'!$F116,'fuels and tailpipe emissions'!$B$10:$B$126,'vehicles specifications'!BC$2)/1000*$AQ116</f>
        <v>9.1119679228174102E-6</v>
      </c>
      <c r="BD116" s="7">
        <f>SUMIFS('fuels and tailpipe emissions'!$H$10:$H$126,'fuels and tailpipe emissions'!$A$10:$A$126,'vehicles specifications'!$F116,'fuels and tailpipe emissions'!$B$10:$B$126,'vehicles specifications'!BD$2)/1000*$AQ116</f>
        <v>2.7064857590165319E-6</v>
      </c>
      <c r="BE116" s="7">
        <f>SUMIFS('fuels and tailpipe emissions'!$H$10:$H$126,'fuels and tailpipe emissions'!$A$10:$A$126,'vehicles specifications'!$F116,'fuels and tailpipe emissions'!$B$10:$B$126,'vehicles specifications'!BE$2)/1000*$AQ116</f>
        <v>1.1767832777781926E-5</v>
      </c>
      <c r="BF116" s="7">
        <f>SUMIFS('fuels and tailpipe emissions'!$H$10:$H$126,'fuels and tailpipe emissions'!$A$10:$A$126,'vehicles specifications'!$F116,'fuels and tailpipe emissions'!$B$10:$B$126,'vehicles specifications'!BF$2)/1000*$AQ116</f>
        <v>8.2978308048462282E-7</v>
      </c>
      <c r="BG116" s="7">
        <f>SUMIFS('fuels and tailpipe emissions'!$H$10:$H$126,'fuels and tailpipe emissions'!$A$10:$A$126,'vehicles specifications'!$F116,'fuels and tailpipe emissions'!$B$10:$B$126,'vehicles specifications'!BG$2)/1000*$AQ116</f>
        <v>1.6907805715203913E-7</v>
      </c>
      <c r="BH116" s="7">
        <f>SUMIFS('fuels and tailpipe emissions'!$H$10:$H$126,'fuels and tailpipe emissions'!$A$10:$A$126,'vehicles specifications'!$F116,'fuels and tailpipe emissions'!$B$10:$B$126,'vehicles specifications'!BH$2)/1000*$AQ116</f>
        <v>1.3630292607333617E-6</v>
      </c>
      <c r="BI116" s="7">
        <f>SUMIFS('fuels and tailpipe emissions'!$H$10:$H$126,'fuels and tailpipe emissions'!$A$10:$A$126,'vehicles specifications'!$F116,'fuels and tailpipe emissions'!$B$10:$B$126,'vehicles specifications'!BI$2)/1000*$AQ116</f>
        <v>5.5925818904136034E-7</v>
      </c>
      <c r="BJ116" s="7">
        <f>SUMIFS('fuels and tailpipe emissions'!$H$10:$H$126,'fuels and tailpipe emissions'!$A$10:$A$126,'vehicles specifications'!$F116,'fuels and tailpipe emissions'!$B$10:$B$126,'vehicles specifications'!BJ$2)/1000*$AQ116</f>
        <v>4.1879334156120465E-7</v>
      </c>
      <c r="BK116" s="7">
        <f>SUMIFS('fuels and tailpipe emissions'!$H$10:$H$126,'fuels and tailpipe emissions'!$A$10:$A$126,'vehicles specifications'!$F116,'fuels and tailpipe emissions'!$B$10:$B$126,'vehicles specifications'!BK$2)/1000*$AQ116</f>
        <v>2.9653690023588408E-7</v>
      </c>
      <c r="BL116" s="7">
        <f>SUMIFS('fuels and tailpipe emissions'!$H$10:$H$126,'fuels and tailpipe emissions'!$A$10:$A$126,'vehicles specifications'!$F116,'fuels and tailpipe emissions'!$B$10:$B$126,'vehicles specifications'!BL$2)/1000*$AQ116</f>
        <v>1.9248886506539842E-7</v>
      </c>
      <c r="BM116" s="7">
        <f>SUMIFS('fuels and tailpipe emissions'!$H$10:$H$126,'fuels and tailpipe emissions'!$A$10:$A$126,'vehicles specifications'!$F116,'fuels and tailpipe emissions'!$B$10:$B$126,'vehicles specifications'!BM$2)/1000*$AQ116</f>
        <v>1.8988766418613624E-6</v>
      </c>
      <c r="BN116" s="7">
        <f>SUMIFS('fuels and tailpipe emissions'!$H$10:$H$126,'fuels and tailpipe emissions'!$A$10:$A$126,'vehicles specifications'!$F116,'fuels and tailpipe emissions'!$B$10:$B$126,'vehicles specifications'!BN$2)/1000*$AQ116</f>
        <v>9.9365873587813773E-7</v>
      </c>
      <c r="BO116" s="7">
        <f>SUMIFS('fuels and tailpipe emissions'!$H$10:$H$126,'fuels and tailpipe emissions'!$A$10:$A$126,'vehicles specifications'!$F116,'fuels and tailpipe emissions'!$B$10:$B$126,'vehicles specifications'!BO$2)/1000*$AQ116</f>
        <v>2.8613209671883554E-8</v>
      </c>
      <c r="BP116" s="7">
        <f>SUMIFS('fuels and tailpipe emissions'!$H$10:$H$126,'fuels and tailpipe emissions'!$A$10:$A$126,'vehicles specifications'!$F116,'fuels and tailpipe emissions'!$B$10:$B$126,'vehicles specifications'!BP$2)/1000*$AQ116</f>
        <v>1.459273693266061E-6</v>
      </c>
      <c r="BQ116" s="7">
        <f>SUMIFS('fuels and tailpipe emissions'!$H$10:$H$126,'fuels and tailpipe emissions'!$A$10:$A$126,'vehicles specifications'!$F116,'fuels and tailpipe emissions'!$B$10:$B$126,'vehicles specifications'!BQ$2)/1000*$AQ116</f>
        <v>2.8561185654298302E-6</v>
      </c>
      <c r="BR116" s="7">
        <f>SUMIFS('fuels and tailpipe emissions'!$H$10:$H$126,'fuels and tailpipe emissions'!$A$10:$A$126,'vehicles specifications'!$F116,'fuels and tailpipe emissions'!$B$10:$B$126,'vehicles specifications'!BR$2)/1000*$AQ116</f>
        <v>1.4124520774393426E-6</v>
      </c>
      <c r="BS116" s="7">
        <f>SUMIFS('fuels and tailpipe emissions'!$H$10:$H$126,'fuels and tailpipe emissions'!$A$10:$A$126,'vehicles specifications'!$F116,'fuels and tailpipe emissions'!$B$10:$B$126,'vehicles specifications'!BS$2)/1000*$AQ116</f>
        <v>5.878713987132438E-7</v>
      </c>
      <c r="BT116" s="7">
        <f>SUMIFS('fuels and tailpipe emissions'!$H$10:$H$126,'fuels and tailpipe emissions'!$A$10:$A$126,'vehicles specifications'!$F116,'fuels and tailpipe emissions'!$B$10:$B$126,'vehicles specifications'!BT$2)/1000*$AQ116</f>
        <v>4.4220414947456396E-7</v>
      </c>
      <c r="BU116" s="7">
        <f>SUMIFS('fuels and tailpipe emissions'!$H$10:$H$126,'fuels and tailpipe emissions'!$A$10:$A$126,'vehicles specifications'!$F116,'fuels and tailpipe emissions'!$B$10:$B$126,'vehicles specifications'!BU$2)/1000*$AQ116</f>
        <v>1.9509006594466054E-7</v>
      </c>
      <c r="BV116" s="7">
        <f>SUMIFS('fuels and tailpipe emissions'!$H$10:$H$126,'fuels and tailpipe emissions'!$A$10:$A$126,'vehicles specifications'!$F116,'fuels and tailpipe emissions'!$B$10:$B$126,'vehicles specifications'!BV$2)/1000*$AQ116</f>
        <v>5.7226419343767108E-8</v>
      </c>
      <c r="BW116" s="7">
        <f>SUMIFS('fuels and tailpipe emissions'!$H$10:$H$126,'fuels and tailpipe emissions'!$A$10:$A$126,'vehicles specifications'!$F116,'fuels and tailpipe emissions'!$B$10:$B$126,'vehicles specifications'!BW$2)/1000*$AQ116</f>
        <v>1.5867325363499058E-7</v>
      </c>
      <c r="BX116" s="7">
        <f>SUMIFS('fuels and tailpipe emissions'!$H$10:$H$126,'fuels and tailpipe emissions'!$A$10:$A$126,'vehicles specifications'!$F116,'fuels and tailpipe emissions'!$B$10:$B$126,'vehicles specifications'!BX$2)/1000*$AQ116</f>
        <v>0</v>
      </c>
      <c r="BY116" s="7">
        <f>SUMIFS('fuels and tailpipe emissions'!$H$10:$H$126,'fuels and tailpipe emissions'!$A$10:$A$126,'vehicles specifications'!$F116,'fuels and tailpipe emissions'!$B$10:$B$126,'vehicles specifications'!BY$2)/1000*$AQ116</f>
        <v>4.9422816705980673E-8</v>
      </c>
      <c r="BZ116" s="7">
        <f>SUMIFS('fuels and tailpipe emissions'!$H$10:$H$126,'fuels and tailpipe emissions'!$A$10:$A$126,'vehicles specifications'!$F116,'fuels and tailpipe emissions'!$B$10:$B$126,'vehicles specifications'!BZ$2)/1000*$AQ116</f>
        <v>2.6272128880547621E-7</v>
      </c>
      <c r="CA116" s="7">
        <f>SUMIFS('fuels and tailpipe emissions'!$H$10:$H$126,'fuels and tailpipe emissions'!$A$10:$A$126,'vehicles specifications'!$F116,'fuels and tailpipe emissions'!$B$10:$B$126,'vehicles specifications'!CA$2)/1000*$AQ116</f>
        <v>1.5680607549751621E-9</v>
      </c>
      <c r="CB116" s="7">
        <f>SUMIFS('fuels and tailpipe emissions'!$H$10:$H$126,'fuels and tailpipe emissions'!$A$10:$A$126,'vehicles specifications'!$F116,'fuels and tailpipe emissions'!$B$10:$B$126,'vehicles specifications'!CB$2)/1000*$AQ116</f>
        <v>1.3517765129096225E-11</v>
      </c>
      <c r="CC116" s="7">
        <f>SUMIFS('fuels and tailpipe emissions'!$H$10:$H$126,'fuels and tailpipe emissions'!$A$10:$A$126,'vehicles specifications'!$F116,'fuels and tailpipe emissions'!$B$10:$B$126,'vehicles specifications'!CC$2)/1000*$AQ116</f>
        <v>9.0118434193974832E-12</v>
      </c>
      <c r="CD116" s="7">
        <f>SUMIFS('fuels and tailpipe emissions'!$H$10:$H$126,'fuels and tailpipe emissions'!$A$10:$A$126,'vehicles specifications'!$F116,'fuels and tailpipe emissions'!$B$10:$B$126,'vehicles specifications'!CD$2)/1000*$AQ116</f>
        <v>9.7327908929492816E-8</v>
      </c>
      <c r="CE116" s="7">
        <f>SUMIFS('fuels and tailpipe emissions'!$H$10:$H$126,'fuels and tailpipe emissions'!$A$10:$A$126,'vehicles specifications'!$F116,'fuels and tailpipe emissions'!$B$10:$B$126,'vehicles specifications'!CE$2)/1000*$AQ116</f>
        <v>1.8924871180734711E-9</v>
      </c>
      <c r="CF116" s="7">
        <f>SUMIFS('fuels and tailpipe emissions'!$H$10:$H$126,'fuels and tailpipe emissions'!$A$10:$A$126,'vehicles specifications'!$F116,'fuels and tailpipe emissions'!$B$10:$B$126,'vehicles specifications'!CF$2)/1000*$AQ116</f>
        <v>5.8576982226083646E-10</v>
      </c>
      <c r="CG116" s="7">
        <f>SUMIFS('fuels and tailpipe emissions'!$H$10:$H$126,'fuels and tailpipe emissions'!$A$10:$A$126,'vehicles specifications'!$F116,'fuels and tailpipe emissions'!$B$10:$B$126,'vehicles specifications'!CG$2)/1000*$AQ116</f>
        <v>7.2094747355179865E-10</v>
      </c>
      <c r="CH116" s="7">
        <f>SUMIFS('fuels and tailpipe emissions'!$H$10:$H$126,'fuels and tailpipe emissions'!$A$10:$A$126,'vehicles specifications'!$F116,'fuels and tailpipe emissions'!$B$10:$B$126,'vehicles specifications'!CH$2)/1000*$AQ116</f>
        <v>1.4418949471035971E-12</v>
      </c>
      <c r="CI116" s="7">
        <f>SUMIFS('fuels and tailpipe emissions'!$H$10:$H$126,'fuels and tailpipe emissions'!$A$10:$A$126,'vehicles specifications'!$F116,'fuels and tailpipe emissions'!$B$10:$B$126,'vehicles specifications'!CI$2)/1000*$AQ116</f>
        <v>3.9201518874379051E-10</v>
      </c>
      <c r="CJ116" s="7">
        <f>SUMIFS('fuels and tailpipe emissions'!$H$10:$H$126,'fuels and tailpipe emissions'!$A$10:$A$126,'vehicles specifications'!$F116,'fuels and tailpipe emissions'!$B$10:$B$126,'vehicles specifications'!CJ$2)/1000*$AQ116</f>
        <v>4.8663954464746423E-10</v>
      </c>
      <c r="CK116" s="38">
        <f>VLOOKUP($B116,'abrasion emissions'!$O$7:$R$36,2,FALSE)</f>
        <v>0.33</v>
      </c>
      <c r="CL116" s="38">
        <f>VLOOKUP($B116,'abrasion emissions'!$O$7:$R$36,3,FALSE)</f>
        <v>0.33</v>
      </c>
      <c r="CM116" s="38">
        <f>VLOOKUP($B116,'abrasion emissions'!$O$7:$R$36,4,FALSE)</f>
        <v>0.33</v>
      </c>
      <c r="CN116" s="7">
        <f>((SUMIFS('abrasion emissions'!$M$7:$M$34,'abrasion emissions'!$I$7:$I$34,"PM 2.5",'abrasion emissions'!$J$7:$J$34,"urban",'abrasion emissions'!$K$7:$K$34,"Tyre",'abrasion emissions'!$L$7:$L$34,"b")*POWER(('vehicles specifications'!$Q116/1000),(1/SUMIFS('abrasion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specifications'!$P116/1000),(1/SUMIFS('abrasion emissions'!$M$7:$M$34,'abrasion emissions'!$I$7:$I$34,"PM 10",'abrasion emissions'!$J$7:$J$34,"urban",'abrasion emissions'!$K$7:$K$34,"Tyre",'abrasion emissions'!$L$7:$L$34,"c")))))/1000000</f>
        <v>8.3329887624736449E-6</v>
      </c>
      <c r="CO116" s="7">
        <f>((SUMIFS('abrasion emissions'!$M$7:$M$34,'abrasion emissions'!$I$7:$I$34,"PM 2.5",'abrasion emissions'!$J$7:$J$34,"rural",'abrasion emissions'!$K$7:$K$34,"Tyre",'abrasion emissions'!$L$7:$L$34,"b")*POWER(('vehicles specifications'!$Q116/1000),(1/SUMIFS('abrasion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specifications'!$P116/1000),(1/SUMIFS('abrasion emissions'!$M$7:$M$34,'abrasion emissions'!$I$7:$I$34,"PM 10",'abrasion emissions'!$J$7:$J$34,"rural",'abrasion emissions'!$K$7:$K$34,"Tyre",'abrasion emissions'!$L$7:$L$34,"c")))))/1000000</f>
        <v>6.4890308339444193E-6</v>
      </c>
      <c r="CP116" s="7">
        <f>((SUMIFS('abrasion emissions'!$M$7:$M$34,'abrasion emissions'!$I$7:$I$34,"PM 2.5",'abrasion emissions'!$J$7:$J$34,"motorway",'abrasion emissions'!$K$7:$K$34,"Tyre",'abrasion emissions'!$L$7:$L$34,"b")*POWER(('vehicles specifications'!$Q116/1000),(1/SUMIFS('abrasion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specifications'!$P116/1000),(1/SUMIFS('abrasion emissions'!$M$7:$M$34,'abrasion emissions'!$I$7:$I$34,"PM 10",'abrasion emissions'!$J$7:$J$34,"motorway",'abrasion emissions'!$K$7:$K$34,"Tyre",'abrasion emissions'!$L$7:$L$34,"c")))))/1000000</f>
        <v>5.5395347693418289E-6</v>
      </c>
      <c r="CQ116" s="7">
        <f>((SUMIFS('abrasion emissions'!$M$7:$M$34,'abrasion emissions'!$I$7:$I$34,"PM 2.5",'abrasion emissions'!$J$7:$J$34,"urban",'abrasion emissions'!$K$7:$K$34,"Brake",'abrasion emissions'!$L$7:$L$34,"b")*POWER(('vehicles specifications'!$Q116/1000),(1/SUMIFS('abrasion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specifications'!$P116/1000),(1/SUMIFS('abrasion emissions'!$M$7:$M$34,'abrasion emissions'!$I$7:$I$34,"PM 10",'abrasion emissions'!$J$7:$J$34,"urban",'abrasion emissions'!$K$7:$K$34,"Brake",'abrasion emissions'!$L$7:$L$34,"c")))))/1000000</f>
        <v>8.2892014946113247E-6</v>
      </c>
      <c r="CR116" s="7">
        <f>((SUMIFS('abrasion emissions'!$M$7:$M$34,'abrasion emissions'!$I$7:$I$34,"PM 2.5",'abrasion emissions'!$J$7:$J$34,"rural",'abrasion emissions'!$K$7:$K$34,"Brake",'abrasion emissions'!$L$7:$L$34,"b")*POWER(('vehicles specifications'!$Q116/1000),(1/SUMIFS('abrasion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specifications'!$P116/1000),(1/SUMIFS('abrasion emissions'!$M$7:$M$34,'abrasion emissions'!$I$7:$I$34,"PM 10",'abrasion emissions'!$J$7:$J$34,"rural",'abrasion emissions'!$K$7:$K$34,"Brake",'abrasion emissions'!$L$7:$L$34,"c")))))/1000000</f>
        <v>2.9198072690787368E-6</v>
      </c>
      <c r="CS116" s="7">
        <f>((SUMIFS('abrasion emissions'!$M$7:$M$34,'abrasion emissions'!$I$7:$I$34,"PM 2.5",'abrasion emissions'!$J$7:$J$34,"motorway",'abrasion emissions'!$K$7:$K$34,"Brake",'abrasion emissions'!$L$7:$L$34,"b")*POWER(('vehicles specifications'!$Q116/1000),(1/SUMIFS('abrasion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specifications'!$P116/1000),(1/SUMIFS('abrasion emissions'!$M$7:$M$34,'abrasion emissions'!$I$7:$I$34,"PM 10",'abrasion emissions'!$J$7:$J$34,"motorway",'abrasion emissions'!$K$7:$K$34,"Brake",'abrasion emissions'!$L$7:$L$34,"c")))))/1000000</f>
        <v>5.7683726513333103E-7</v>
      </c>
      <c r="CT116" s="7">
        <f>((SUMIFS('abrasion emissions'!$M$7:$M$38,'abrasion emissions'!$I$7:$I$38,"PM 2.5",'abrasion emissions'!$K$7:$K$38,"Re-susp.",'abrasion emissions'!$L$7:$L$38,"b")*POWER(('vehicles specifications'!$Q116/1000),(1/SUMIFS('abrasion emissions'!$M$7:$M$38,'abrasion emissions'!$I$7:$I$38,"PM 2.5",'abrasion emissions'!$K$7:$K$38,"Re-susp.",'abrasion emissions'!$L$7:$L$38,"c"))))+
(SUMIFS('abrasion emissions'!$M$7:$M$38,'abrasion emissions'!$I$7:$I$38,"PM 10",'abrasion emissions'!$K$7:$K$38,"Re-susp.",'abrasion emissions'!$L$7:$L$38,"b")*POWER(('vehicles specifications'!$Q116/1000),(1/SUMIFS('abrasion emissions'!$M$7:$M$38,'abrasion emissions'!$I$7:$I$38,"PM 10",'abrasion emissions'!$K$7:$K$38,"Re-susp.",'abrasion emissions'!$L$7:$L$38,"c")))))/1000000</f>
        <v>6.1784418083983486E-6</v>
      </c>
      <c r="CU116" s="7">
        <f>((SUMIFS('abrasion emissions'!$M$7:$M$38,'abrasion emissions'!$I$7:$I$38,"PM 2.5",'abrasion emissions'!$K$7:$K$38,"Road",'abrasion emissions'!$L$7:$L$38,"b")*POWER(('vehicles specifications'!$Q116/1000),(1/SUMIFS('abrasion emissions'!$M$7:$M$38,'abrasion emissions'!$I$7:$I$38,"PM 2.5",'abrasion emissions'!$K$7:$K$38,"Road",'abrasion emissions'!$L$7:$L$38,"c"))))+
(SUMIFS('abrasion emissions'!$M$7:$M$38,'abrasion emissions'!$I$7:$I$38,"PM 10",'abrasion emissions'!$K$7:$K$38,"Road",'abrasion emissions'!$L$7:$L$38,"b")*POWER(('vehicles specifications'!$Q116/1000),(1/SUMIFS('abrasion emissions'!$M$7:$M$38,'abrasion emissions'!$I$7:$I$38,"PM 10",'abrasion emissions'!$K$7:$K$38,"Road",'abrasion emissions'!$L$7:$L$38,"c")))))/1000000+CT116</f>
        <v>1.1163756613204765E-5</v>
      </c>
      <c r="CV116" s="7">
        <f t="shared" si="79"/>
        <v>6.7193129407007649E-6</v>
      </c>
      <c r="CW116" s="7">
        <f t="shared" si="80"/>
        <v>3.8893291895117198E-6</v>
      </c>
    </row>
    <row r="117" spans="1:101" x14ac:dyDescent="0.2">
      <c r="A117" t="str">
        <f t="shared" si="114"/>
        <v>Motorbike, gasoline, &gt;35kW, EURO-5 - 2040 - CH</v>
      </c>
      <c r="B117" t="s">
        <v>406</v>
      </c>
      <c r="D117" s="18">
        <v>2040</v>
      </c>
      <c r="E117" t="s">
        <v>37</v>
      </c>
      <c r="F117" t="s">
        <v>141</v>
      </c>
      <c r="G117" t="s">
        <v>39</v>
      </c>
      <c r="H117" t="s">
        <v>35</v>
      </c>
      <c r="J117">
        <v>40500</v>
      </c>
      <c r="K117">
        <v>2896</v>
      </c>
      <c r="L117" s="2">
        <f t="shared" si="108"/>
        <v>13.984806629834255</v>
      </c>
      <c r="M117">
        <v>1.1000000000000001</v>
      </c>
      <c r="N117">
        <v>75</v>
      </c>
      <c r="O117">
        <v>6</v>
      </c>
      <c r="P117" s="2">
        <f t="shared" si="64"/>
        <v>250.97499999999999</v>
      </c>
      <c r="Q117" s="2">
        <f t="shared" si="109"/>
        <v>339.47500000000002</v>
      </c>
      <c r="R117">
        <v>91</v>
      </c>
      <c r="S117" s="2">
        <v>111</v>
      </c>
      <c r="T117" s="1">
        <v>0.05</v>
      </c>
      <c r="U117" s="2">
        <f t="shared" si="105"/>
        <v>105.44999999999999</v>
      </c>
      <c r="V117" s="2">
        <v>130</v>
      </c>
      <c r="W117" s="2">
        <v>0</v>
      </c>
      <c r="X117" s="3">
        <v>0</v>
      </c>
      <c r="Y117" s="1">
        <v>0.8</v>
      </c>
      <c r="Z117" s="3">
        <f t="shared" si="110"/>
        <v>0</v>
      </c>
      <c r="AA117" s="3" t="str">
        <f>IF(I117&lt;&gt;"",X117/INDEX('energy battery'!$B$3:$D$6,MATCH('vehicles specifications'!$D117,'energy battery'!$A$3:$A$6,0),MATCH('vehicles specifications'!$I117,'energy battery'!$B$2:$D$2,0)),"")</f>
        <v/>
      </c>
      <c r="AB117" s="3" t="str">
        <f t="shared" si="115"/>
        <v/>
      </c>
      <c r="AC117" s="3" t="str">
        <f t="shared" si="116"/>
        <v/>
      </c>
      <c r="AD117" s="3">
        <v>0</v>
      </c>
      <c r="AE117" s="3">
        <v>18</v>
      </c>
      <c r="AF117">
        <f>AE117*'fuels and tailpipe emissions'!$B$3</f>
        <v>13.5</v>
      </c>
      <c r="AG117" s="2">
        <f>AF117*'fuels and tailpipe emissions'!$C$3</f>
        <v>159.75</v>
      </c>
      <c r="AH117" s="3">
        <f t="shared" si="106"/>
        <v>2.0249999999999999</v>
      </c>
      <c r="AI117" s="3">
        <v>0</v>
      </c>
      <c r="AJ117" s="3">
        <v>0</v>
      </c>
      <c r="AK117">
        <f t="shared" si="67"/>
        <v>1.62</v>
      </c>
      <c r="AL117">
        <f t="shared" si="65"/>
        <v>1.8229807500000001E-4</v>
      </c>
      <c r="AM117">
        <v>1.2899999999999999E-3</v>
      </c>
      <c r="AN117" s="2">
        <f t="shared" si="111"/>
        <v>105.44999999999999</v>
      </c>
      <c r="AO117" s="2">
        <f t="shared" si="112"/>
        <v>130</v>
      </c>
      <c r="AP117" s="2" t="str">
        <f t="shared" si="113"/>
        <v/>
      </c>
      <c r="AQ117" s="6">
        <v>1.8958665593557453</v>
      </c>
      <c r="AR117" s="20">
        <v>1.2E-2</v>
      </c>
      <c r="AS117" s="6" t="str">
        <f>IF($H117="BEV",SUMPRODUCT(#REF!,#REF!),"")</f>
        <v/>
      </c>
      <c r="AT117" s="2">
        <f t="shared" si="78"/>
        <v>303.34413419657068</v>
      </c>
      <c r="AU117" s="5">
        <f>IF($H117="ICEV-p",$AQ117/('fuels and tailpipe emissions'!$C$3*3.6)*'fuels and tailpipe emissions'!$D$3,"")*(1-AR117)</f>
        <v>0.13806536958733606</v>
      </c>
      <c r="AV117" s="5">
        <f>IF($H117="ICEV-p",$AQ117/('fuels and tailpipe emissions'!$C$3*3.6)*'fuels and tailpipe emissions'!$D$3,"")*AR117</f>
        <v>1.6769073229231102E-3</v>
      </c>
      <c r="AW117" s="7">
        <f>IF($H117="ICEV-p",$AQ117/('fuels and tailpipe emissions'!$C$3*3.6)*'fuels and tailpipe emissions'!$E$3,"")</f>
        <v>7.1206255750450526E-7</v>
      </c>
      <c r="AX117" s="7">
        <f>SUMIFS('fuels and tailpipe emissions'!$H$10:$H$126,'fuels and tailpipe emissions'!$A$10:$A$126,'vehicles specifications'!$F117,'fuels and tailpipe emissions'!$B$10:$B$126,'vehicles specifications'!AX$2)/1000*$AQ117</f>
        <v>1.4446809563334003E-6</v>
      </c>
      <c r="AY117" s="7">
        <f>SUMIFS('fuels and tailpipe emissions'!$H$10:$H$126,'fuels and tailpipe emissions'!$A$10:$A$126,'vehicles specifications'!$F117,'fuels and tailpipe emissions'!$B$10:$B$126,'vehicles specifications'!AY$2)/1000*$AQ117</f>
        <v>2.0363598850840388E-5</v>
      </c>
      <c r="AZ117" s="7">
        <f>SUMIFS('fuels and tailpipe emissions'!$H$10:$H$126,'fuels and tailpipe emissions'!$A$10:$A$126,'vehicles specifications'!$F117,'fuels and tailpipe emissions'!$B$10:$B$126,'vehicles specifications'!AZ$2)/1000*$AQ117</f>
        <v>1.5821783697967266E-4</v>
      </c>
      <c r="BA117" s="7">
        <f>SUMIFS('fuels and tailpipe emissions'!$H$10:$H$126,'fuels and tailpipe emissions'!$A$10:$A$126,'vehicles specifications'!$F117,'fuels and tailpipe emissions'!$B$10:$B$126,'vehicles specifications'!BA$2)/1000*$AQ117</f>
        <v>1.0717683605705466E-6</v>
      </c>
      <c r="BB117" s="7">
        <f>SUMIFS('fuels and tailpipe emissions'!$H$10:$H$126,'fuels and tailpipe emissions'!$A$10:$A$126,'vehicles specifications'!$F117,'fuels and tailpipe emissions'!$B$10:$B$126,'vehicles specifications'!BB$2)/1000*$AQ117</f>
        <v>1.0717683605705466E-6</v>
      </c>
      <c r="BC117" s="7">
        <f>SUMIFS('fuels and tailpipe emissions'!$H$10:$H$126,'fuels and tailpipe emissions'!$A$10:$A$126,'vehicles specifications'!$F117,'fuels and tailpipe emissions'!$B$10:$B$126,'vehicles specifications'!BC$2)/1000*$AQ117</f>
        <v>9.0208482435892366E-6</v>
      </c>
      <c r="BD117" s="7">
        <f>SUMIFS('fuels and tailpipe emissions'!$H$10:$H$126,'fuels and tailpipe emissions'!$A$10:$A$126,'vehicles specifications'!$F117,'fuels and tailpipe emissions'!$B$10:$B$126,'vehicles specifications'!BD$2)/1000*$AQ117</f>
        <v>2.6794209014263668E-6</v>
      </c>
      <c r="BE117" s="7">
        <f>SUMIFS('fuels and tailpipe emissions'!$H$10:$H$126,'fuels and tailpipe emissions'!$A$10:$A$126,'vehicles specifications'!$F117,'fuels and tailpipe emissions'!$B$10:$B$126,'vehicles specifications'!BE$2)/1000*$AQ117</f>
        <v>1.1650154450004105E-5</v>
      </c>
      <c r="BF117" s="7">
        <f>SUMIFS('fuels and tailpipe emissions'!$H$10:$H$126,'fuels and tailpipe emissions'!$A$10:$A$126,'vehicles specifications'!$F117,'fuels and tailpipe emissions'!$B$10:$B$126,'vehicles specifications'!BF$2)/1000*$AQ117</f>
        <v>8.2148524967977661E-7</v>
      </c>
      <c r="BG117" s="7">
        <f>SUMIFS('fuels and tailpipe emissions'!$H$10:$H$126,'fuels and tailpipe emissions'!$A$10:$A$126,'vehicles specifications'!$F117,'fuels and tailpipe emissions'!$B$10:$B$126,'vehicles specifications'!BG$2)/1000*$AQ117</f>
        <v>1.6738727658051873E-7</v>
      </c>
      <c r="BH117" s="7">
        <f>SUMIFS('fuels and tailpipe emissions'!$H$10:$H$126,'fuels and tailpipe emissions'!$A$10:$A$126,'vehicles specifications'!$F117,'fuels and tailpipe emissions'!$B$10:$B$126,'vehicles specifications'!BH$2)/1000*$AQ117</f>
        <v>1.3493989681260279E-6</v>
      </c>
      <c r="BI117" s="7">
        <f>SUMIFS('fuels and tailpipe emissions'!$H$10:$H$126,'fuels and tailpipe emissions'!$A$10:$A$126,'vehicles specifications'!$F117,'fuels and tailpipe emissions'!$B$10:$B$126,'vehicles specifications'!BI$2)/1000*$AQ117</f>
        <v>5.5366560715094662E-7</v>
      </c>
      <c r="BJ117" s="7">
        <f>SUMIFS('fuels and tailpipe emissions'!$H$10:$H$126,'fuels and tailpipe emissions'!$A$10:$A$126,'vehicles specifications'!$F117,'fuels and tailpipe emissions'!$B$10:$B$126,'vehicles specifications'!BJ$2)/1000*$AQ117</f>
        <v>4.1460540814559257E-7</v>
      </c>
      <c r="BK117" s="7">
        <f>SUMIFS('fuels and tailpipe emissions'!$H$10:$H$126,'fuels and tailpipe emissions'!$A$10:$A$126,'vehicles specifications'!$F117,'fuels and tailpipe emissions'!$B$10:$B$126,'vehicles specifications'!BK$2)/1000*$AQ117</f>
        <v>2.9357153123352523E-7</v>
      </c>
      <c r="BL117" s="7">
        <f>SUMIFS('fuels and tailpipe emissions'!$H$10:$H$126,'fuels and tailpipe emissions'!$A$10:$A$126,'vehicles specifications'!$F117,'fuels and tailpipe emissions'!$B$10:$B$126,'vehicles specifications'!BL$2)/1000*$AQ117</f>
        <v>1.9056397641474442E-7</v>
      </c>
      <c r="BM117" s="7">
        <f>SUMIFS('fuels and tailpipe emissions'!$H$10:$H$126,'fuels and tailpipe emissions'!$A$10:$A$126,'vehicles specifications'!$F117,'fuels and tailpipe emissions'!$B$10:$B$126,'vehicles specifications'!BM$2)/1000*$AQ117</f>
        <v>1.8798878754427487E-6</v>
      </c>
      <c r="BN117" s="7">
        <f>SUMIFS('fuels and tailpipe emissions'!$H$10:$H$126,'fuels and tailpipe emissions'!$A$10:$A$126,'vehicles specifications'!$F117,'fuels and tailpipe emissions'!$B$10:$B$126,'vehicles specifications'!BN$2)/1000*$AQ117</f>
        <v>9.8372214851935643E-7</v>
      </c>
      <c r="BO117" s="7">
        <f>SUMIFS('fuels and tailpipe emissions'!$H$10:$H$126,'fuels and tailpipe emissions'!$A$10:$A$126,'vehicles specifications'!$F117,'fuels and tailpipe emissions'!$B$10:$B$126,'vehicles specifications'!BO$2)/1000*$AQ117</f>
        <v>2.8327077575164717E-8</v>
      </c>
      <c r="BP117" s="7">
        <f>SUMIFS('fuels and tailpipe emissions'!$H$10:$H$126,'fuels and tailpipe emissions'!$A$10:$A$126,'vehicles specifications'!$F117,'fuels and tailpipe emissions'!$B$10:$B$126,'vehicles specifications'!BP$2)/1000*$AQ117</f>
        <v>1.4446809563334003E-6</v>
      </c>
      <c r="BQ117" s="7">
        <f>SUMIFS('fuels and tailpipe emissions'!$H$10:$H$126,'fuels and tailpipe emissions'!$A$10:$A$126,'vehicles specifications'!$F117,'fuels and tailpipe emissions'!$B$10:$B$126,'vehicles specifications'!BQ$2)/1000*$AQ117</f>
        <v>2.8275573797755318E-6</v>
      </c>
      <c r="BR117" s="7">
        <f>SUMIFS('fuels and tailpipe emissions'!$H$10:$H$126,'fuels and tailpipe emissions'!$A$10:$A$126,'vehicles specifications'!$F117,'fuels and tailpipe emissions'!$B$10:$B$126,'vehicles specifications'!BR$2)/1000*$AQ117</f>
        <v>1.3983275566649491E-6</v>
      </c>
      <c r="BS117" s="7">
        <f>SUMIFS('fuels and tailpipe emissions'!$H$10:$H$126,'fuels and tailpipe emissions'!$A$10:$A$126,'vehicles specifications'!$F117,'fuels and tailpipe emissions'!$B$10:$B$126,'vehicles specifications'!BS$2)/1000*$AQ117</f>
        <v>5.819926847261114E-7</v>
      </c>
      <c r="BT117" s="7">
        <f>SUMIFS('fuels and tailpipe emissions'!$H$10:$H$126,'fuels and tailpipe emissions'!$A$10:$A$126,'vehicles specifications'!$F117,'fuels and tailpipe emissions'!$B$10:$B$126,'vehicles specifications'!BT$2)/1000*$AQ117</f>
        <v>4.3778210797981829E-7</v>
      </c>
      <c r="BU117" s="7">
        <f>SUMIFS('fuels and tailpipe emissions'!$H$10:$H$126,'fuels and tailpipe emissions'!$A$10:$A$126,'vehicles specifications'!$F117,'fuels and tailpipe emissions'!$B$10:$B$126,'vehicles specifications'!BU$2)/1000*$AQ117</f>
        <v>1.9313916528521392E-7</v>
      </c>
      <c r="BV117" s="7">
        <f>SUMIFS('fuels and tailpipe emissions'!$H$10:$H$126,'fuels and tailpipe emissions'!$A$10:$A$126,'vehicles specifications'!$F117,'fuels and tailpipe emissions'!$B$10:$B$126,'vehicles specifications'!BV$2)/1000*$AQ117</f>
        <v>5.6654155150329434E-8</v>
      </c>
      <c r="BW117" s="7">
        <f>SUMIFS('fuels and tailpipe emissions'!$H$10:$H$126,'fuels and tailpipe emissions'!$A$10:$A$126,'vehicles specifications'!$F117,'fuels and tailpipe emissions'!$B$10:$B$126,'vehicles specifications'!BW$2)/1000*$AQ117</f>
        <v>1.5708652109864066E-7</v>
      </c>
      <c r="BX117" s="7">
        <f>SUMIFS('fuels and tailpipe emissions'!$H$10:$H$126,'fuels and tailpipe emissions'!$A$10:$A$126,'vehicles specifications'!$F117,'fuels and tailpipe emissions'!$B$10:$B$126,'vehicles specifications'!BX$2)/1000*$AQ117</f>
        <v>0</v>
      </c>
      <c r="BY117" s="7">
        <f>SUMIFS('fuels and tailpipe emissions'!$H$10:$H$126,'fuels and tailpipe emissions'!$A$10:$A$126,'vehicles specifications'!$F117,'fuels and tailpipe emissions'!$B$10:$B$126,'vehicles specifications'!BY$2)/1000*$AQ117</f>
        <v>4.8928588538920863E-8</v>
      </c>
      <c r="BZ117" s="7">
        <f>SUMIFS('fuels and tailpipe emissions'!$H$10:$H$126,'fuels and tailpipe emissions'!$A$10:$A$126,'vehicles specifications'!$F117,'fuels and tailpipe emissions'!$B$10:$B$126,'vehicles specifications'!BZ$2)/1000*$AQ117</f>
        <v>2.6009407591742145E-7</v>
      </c>
      <c r="CA117" s="7">
        <f>SUMIFS('fuels and tailpipe emissions'!$H$10:$H$126,'fuels and tailpipe emissions'!$A$10:$A$126,'vehicles specifications'!$F117,'fuels and tailpipe emissions'!$B$10:$B$126,'vehicles specifications'!CA$2)/1000*$AQ117</f>
        <v>1.5523801474254103E-9</v>
      </c>
      <c r="CB117" s="7">
        <f>SUMIFS('fuels and tailpipe emissions'!$H$10:$H$126,'fuels and tailpipe emissions'!$A$10:$A$126,'vehicles specifications'!$F117,'fuels and tailpipe emissions'!$B$10:$B$126,'vehicles specifications'!CB$2)/1000*$AQ117</f>
        <v>1.3382587477805262E-11</v>
      </c>
      <c r="CC117" s="7">
        <f>SUMIFS('fuels and tailpipe emissions'!$H$10:$H$126,'fuels and tailpipe emissions'!$A$10:$A$126,'vehicles specifications'!$F117,'fuels and tailpipe emissions'!$B$10:$B$126,'vehicles specifications'!CC$2)/1000*$AQ117</f>
        <v>8.9217249852035084E-12</v>
      </c>
      <c r="CD117" s="7">
        <f>SUMIFS('fuels and tailpipe emissions'!$H$10:$H$126,'fuels and tailpipe emissions'!$A$10:$A$126,'vehicles specifications'!$F117,'fuels and tailpipe emissions'!$B$10:$B$126,'vehicles specifications'!CD$2)/1000*$AQ117</f>
        <v>9.635462984019789E-8</v>
      </c>
      <c r="CE117" s="7">
        <f>SUMIFS('fuels and tailpipe emissions'!$H$10:$H$126,'fuels and tailpipe emissions'!$A$10:$A$126,'vehicles specifications'!$F117,'fuels and tailpipe emissions'!$B$10:$B$126,'vehicles specifications'!CE$2)/1000*$AQ117</f>
        <v>1.8735622468927363E-9</v>
      </c>
      <c r="CF117" s="7">
        <f>SUMIFS('fuels and tailpipe emissions'!$H$10:$H$126,'fuels and tailpipe emissions'!$A$10:$A$126,'vehicles specifications'!$F117,'fuels and tailpipe emissions'!$B$10:$B$126,'vehicles specifications'!CF$2)/1000*$AQ117</f>
        <v>5.7991212403822797E-10</v>
      </c>
      <c r="CG117" s="7">
        <f>SUMIFS('fuels and tailpipe emissions'!$H$10:$H$126,'fuels and tailpipe emissions'!$A$10:$A$126,'vehicles specifications'!$F117,'fuels and tailpipe emissions'!$B$10:$B$126,'vehicles specifications'!CG$2)/1000*$AQ117</f>
        <v>7.137379988162807E-10</v>
      </c>
      <c r="CH117" s="7">
        <f>SUMIFS('fuels and tailpipe emissions'!$H$10:$H$126,'fuels and tailpipe emissions'!$A$10:$A$126,'vehicles specifications'!$F117,'fuels and tailpipe emissions'!$B$10:$B$126,'vehicles specifications'!CH$2)/1000*$AQ117</f>
        <v>1.427475997632561E-12</v>
      </c>
      <c r="CI117" s="7">
        <f>SUMIFS('fuels and tailpipe emissions'!$H$10:$H$126,'fuels and tailpipe emissions'!$A$10:$A$126,'vehicles specifications'!$F117,'fuels and tailpipe emissions'!$B$10:$B$126,'vehicles specifications'!CI$2)/1000*$AQ117</f>
        <v>3.8809503685635257E-10</v>
      </c>
      <c r="CJ117" s="7">
        <f>SUMIFS('fuels and tailpipe emissions'!$H$10:$H$126,'fuels and tailpipe emissions'!$A$10:$A$126,'vehicles specifications'!$F117,'fuels and tailpipe emissions'!$B$10:$B$126,'vehicles specifications'!CJ$2)/1000*$AQ117</f>
        <v>4.8177314920098949E-10</v>
      </c>
      <c r="CK117" s="38">
        <f>VLOOKUP($B117,'abrasion emissions'!$O$7:$R$36,2,FALSE)</f>
        <v>0.33</v>
      </c>
      <c r="CL117" s="38">
        <f>VLOOKUP($B117,'abrasion emissions'!$O$7:$R$36,3,FALSE)</f>
        <v>0.33</v>
      </c>
      <c r="CM117" s="38">
        <f>VLOOKUP($B117,'abrasion emissions'!$O$7:$R$36,4,FALSE)</f>
        <v>0.33</v>
      </c>
      <c r="CN117" s="7">
        <f>((SUMIFS('abrasion emissions'!$M$7:$M$34,'abrasion emissions'!$I$7:$I$34,"PM 2.5",'abrasion emissions'!$J$7:$J$34,"urban",'abrasion emissions'!$K$7:$K$34,"Tyre",'abrasion emissions'!$L$7:$L$34,"b")*POWER(('vehicles specifications'!$Q117/1000),(1/SUMIFS('abrasion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specifications'!$P117/1000),(1/SUMIFS('abrasion emissions'!$M$7:$M$34,'abrasion emissions'!$I$7:$I$34,"PM 10",'abrasion emissions'!$J$7:$J$34,"urban",'abrasion emissions'!$K$7:$K$34,"Tyre",'abrasion emissions'!$L$7:$L$34,"c")))))/1000000</f>
        <v>8.3062411237614483E-6</v>
      </c>
      <c r="CO117" s="7">
        <f>((SUMIFS('abrasion emissions'!$M$7:$M$34,'abrasion emissions'!$I$7:$I$34,"PM 2.5",'abrasion emissions'!$J$7:$J$34,"rural",'abrasion emissions'!$K$7:$K$34,"Tyre",'abrasion emissions'!$L$7:$L$34,"b")*POWER(('vehicles specifications'!$Q117/1000),(1/SUMIFS('abrasion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specifications'!$P117/1000),(1/SUMIFS('abrasion emissions'!$M$7:$M$34,'abrasion emissions'!$I$7:$I$34,"PM 10",'abrasion emissions'!$J$7:$J$34,"rural",'abrasion emissions'!$K$7:$K$34,"Tyre",'abrasion emissions'!$L$7:$L$34,"c")))))/1000000</f>
        <v>6.4682110556774452E-6</v>
      </c>
      <c r="CP117" s="7">
        <f>((SUMIFS('abrasion emissions'!$M$7:$M$34,'abrasion emissions'!$I$7:$I$34,"PM 2.5",'abrasion emissions'!$J$7:$J$34,"motorway",'abrasion emissions'!$K$7:$K$34,"Tyre",'abrasion emissions'!$L$7:$L$34,"b")*POWER(('vehicles specifications'!$Q117/1000),(1/SUMIFS('abrasion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specifications'!$P117/1000),(1/SUMIFS('abrasion emissions'!$M$7:$M$34,'abrasion emissions'!$I$7:$I$34,"PM 10",'abrasion emissions'!$J$7:$J$34,"motorway",'abrasion emissions'!$K$7:$K$34,"Tyre",'abrasion emissions'!$L$7:$L$34,"c")))))/1000000</f>
        <v>5.5217840817449345E-6</v>
      </c>
      <c r="CQ117" s="7">
        <f>((SUMIFS('abrasion emissions'!$M$7:$M$34,'abrasion emissions'!$I$7:$I$34,"PM 2.5",'abrasion emissions'!$J$7:$J$34,"urban",'abrasion emissions'!$K$7:$K$34,"Brake",'abrasion emissions'!$L$7:$L$34,"b")*POWER(('vehicles specifications'!$Q117/1000),(1/SUMIFS('abrasion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specifications'!$P117/1000),(1/SUMIFS('abrasion emissions'!$M$7:$M$34,'abrasion emissions'!$I$7:$I$34,"PM 10",'abrasion emissions'!$J$7:$J$34,"urban",'abrasion emissions'!$K$7:$K$34,"Brake",'abrasion emissions'!$L$7:$L$34,"c")))))/1000000</f>
        <v>8.2583677972300274E-6</v>
      </c>
      <c r="CR117" s="7">
        <f>((SUMIFS('abrasion emissions'!$M$7:$M$34,'abrasion emissions'!$I$7:$I$34,"PM 2.5",'abrasion emissions'!$J$7:$J$34,"rural",'abrasion emissions'!$K$7:$K$34,"Brake",'abrasion emissions'!$L$7:$L$34,"b")*POWER(('vehicles specifications'!$Q117/1000),(1/SUMIFS('abrasion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specifications'!$P117/1000),(1/SUMIFS('abrasion emissions'!$M$7:$M$34,'abrasion emissions'!$I$7:$I$34,"PM 10",'abrasion emissions'!$J$7:$J$34,"rural",'abrasion emissions'!$K$7:$K$34,"Brake",'abrasion emissions'!$L$7:$L$34,"c")))))/1000000</f>
        <v>2.9060533897886684E-6</v>
      </c>
      <c r="CS117" s="7">
        <f>((SUMIFS('abrasion emissions'!$M$7:$M$34,'abrasion emissions'!$I$7:$I$34,"PM 2.5",'abrasion emissions'!$J$7:$J$34,"motorway",'abrasion emissions'!$K$7:$K$34,"Brake",'abrasion emissions'!$L$7:$L$34,"b")*POWER(('vehicles specifications'!$Q117/1000),(1/SUMIFS('abrasion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specifications'!$P117/1000),(1/SUMIFS('abrasion emissions'!$M$7:$M$34,'abrasion emissions'!$I$7:$I$34,"PM 10",'abrasion emissions'!$J$7:$J$34,"motorway",'abrasion emissions'!$K$7:$K$34,"Brake",'abrasion emissions'!$L$7:$L$34,"c")))))/1000000</f>
        <v>5.7370889718126504E-7</v>
      </c>
      <c r="CT117" s="7">
        <f>((SUMIFS('abrasion emissions'!$M$7:$M$38,'abrasion emissions'!$I$7:$I$38,"PM 2.5",'abrasion emissions'!$K$7:$K$38,"Re-susp.",'abrasion emissions'!$L$7:$L$38,"b")*POWER(('vehicles specifications'!$Q117/1000),(1/SUMIFS('abrasion emissions'!$M$7:$M$38,'abrasion emissions'!$I$7:$I$38,"PM 2.5",'abrasion emissions'!$K$7:$K$38,"Re-susp.",'abrasion emissions'!$L$7:$L$38,"c"))))+
(SUMIFS('abrasion emissions'!$M$7:$M$38,'abrasion emissions'!$I$7:$I$38,"PM 10",'abrasion emissions'!$K$7:$K$38,"Re-susp.",'abrasion emissions'!$L$7:$L$38,"b")*POWER(('vehicles specifications'!$Q117/1000),(1/SUMIFS('abrasion emissions'!$M$7:$M$38,'abrasion emissions'!$I$7:$I$38,"PM 10",'abrasion emissions'!$K$7:$K$38,"Re-susp.",'abrasion emissions'!$L$7:$L$38,"c")))))/1000000</f>
        <v>6.1419387572808959E-6</v>
      </c>
      <c r="CU117" s="7">
        <f>((SUMIFS('abrasion emissions'!$M$7:$M$38,'abrasion emissions'!$I$7:$I$38,"PM 2.5",'abrasion emissions'!$K$7:$K$38,"Road",'abrasion emissions'!$L$7:$L$38,"b")*POWER(('vehicles specifications'!$Q117/1000),(1/SUMIFS('abrasion emissions'!$M$7:$M$38,'abrasion emissions'!$I$7:$I$38,"PM 2.5",'abrasion emissions'!$K$7:$K$38,"Road",'abrasion emissions'!$L$7:$L$38,"c"))))+
(SUMIFS('abrasion emissions'!$M$7:$M$38,'abrasion emissions'!$I$7:$I$38,"PM 10",'abrasion emissions'!$K$7:$K$38,"Road",'abrasion emissions'!$L$7:$L$38,"b")*POWER(('vehicles specifications'!$Q117/1000),(1/SUMIFS('abrasion emissions'!$M$7:$M$38,'abrasion emissions'!$I$7:$I$38,"PM 10",'abrasion emissions'!$K$7:$K$38,"Road",'abrasion emissions'!$L$7:$L$38,"c")))))/1000000+CT117</f>
        <v>1.1105636978500829E-5</v>
      </c>
      <c r="CV117" s="7">
        <f t="shared" si="79"/>
        <v>6.6977579661906636E-6</v>
      </c>
      <c r="CW117" s="7">
        <f t="shared" si="80"/>
        <v>3.8735829277859865E-6</v>
      </c>
    </row>
    <row r="118" spans="1:101" x14ac:dyDescent="0.2">
      <c r="A118" t="str">
        <f t="shared" si="114"/>
        <v>Motorbike, gasoline, &gt;35kW, EURO-5 - 2050 - CH</v>
      </c>
      <c r="B118" t="s">
        <v>406</v>
      </c>
      <c r="D118" s="18">
        <v>2050</v>
      </c>
      <c r="E118" t="s">
        <v>37</v>
      </c>
      <c r="F118" t="s">
        <v>141</v>
      </c>
      <c r="G118" t="s">
        <v>39</v>
      </c>
      <c r="H118" t="s">
        <v>35</v>
      </c>
      <c r="J118">
        <v>40500</v>
      </c>
      <c r="K118">
        <v>2896</v>
      </c>
      <c r="L118" s="2">
        <f t="shared" si="108"/>
        <v>13.984806629834255</v>
      </c>
      <c r="M118">
        <v>1.1000000000000001</v>
      </c>
      <c r="N118">
        <v>75</v>
      </c>
      <c r="O118">
        <v>6</v>
      </c>
      <c r="P118" s="2">
        <f t="shared" si="64"/>
        <v>248.755</v>
      </c>
      <c r="Q118" s="2">
        <f t="shared" si="109"/>
        <v>337.255</v>
      </c>
      <c r="R118">
        <v>91</v>
      </c>
      <c r="S118" s="2">
        <v>111</v>
      </c>
      <c r="T118" s="1">
        <v>7.0000000000000007E-2</v>
      </c>
      <c r="U118" s="2">
        <f t="shared" si="105"/>
        <v>103.22999999999999</v>
      </c>
      <c r="V118" s="2">
        <v>130</v>
      </c>
      <c r="W118" s="2">
        <v>0</v>
      </c>
      <c r="X118" s="3">
        <v>0</v>
      </c>
      <c r="Y118" s="1">
        <v>0.8</v>
      </c>
      <c r="Z118" s="3">
        <f t="shared" si="110"/>
        <v>0</v>
      </c>
      <c r="AA118" s="3" t="str">
        <f>IF(I118&lt;&gt;"",X118/INDEX('energy battery'!$B$3:$D$6,MATCH('vehicles specifications'!$D118,'energy battery'!$A$3:$A$6,0),MATCH('vehicles specifications'!$I118,'energy battery'!$B$2:$D$2,0)),"")</f>
        <v/>
      </c>
      <c r="AB118" s="3" t="str">
        <f t="shared" si="115"/>
        <v/>
      </c>
      <c r="AC118" s="3" t="str">
        <f t="shared" si="116"/>
        <v/>
      </c>
      <c r="AD118" s="3">
        <v>0</v>
      </c>
      <c r="AE118" s="3">
        <v>18</v>
      </c>
      <c r="AF118">
        <f>AE118*'fuels and tailpipe emissions'!$B$3</f>
        <v>13.5</v>
      </c>
      <c r="AG118" s="2">
        <f>AF118*'fuels and tailpipe emissions'!$C$3</f>
        <v>159.75</v>
      </c>
      <c r="AH118" s="3">
        <f t="shared" si="106"/>
        <v>2.0249999999999999</v>
      </c>
      <c r="AI118" s="3">
        <v>0</v>
      </c>
      <c r="AJ118" s="3">
        <v>0</v>
      </c>
      <c r="AK118">
        <f t="shared" si="67"/>
        <v>1.62</v>
      </c>
      <c r="AL118">
        <f t="shared" si="65"/>
        <v>1.8110593499999999E-4</v>
      </c>
      <c r="AM118">
        <v>1.2899999999999999E-3</v>
      </c>
      <c r="AN118" s="2">
        <f t="shared" si="111"/>
        <v>103.22999999999999</v>
      </c>
      <c r="AO118" s="2">
        <f t="shared" si="112"/>
        <v>130</v>
      </c>
      <c r="AP118" s="2" t="str">
        <f t="shared" si="113"/>
        <v/>
      </c>
      <c r="AQ118" s="6">
        <v>1.8769078937621879</v>
      </c>
      <c r="AR118" s="20">
        <v>1.2E-2</v>
      </c>
      <c r="AS118" s="6" t="str">
        <f>IF($H118="BEV",SUMPRODUCT(#REF!,#REF!),"")</f>
        <v/>
      </c>
      <c r="AT118" s="2">
        <f t="shared" si="78"/>
        <v>306.40821636017245</v>
      </c>
      <c r="AU118" s="5">
        <f>IF($H118="ICEV-p",$AQ118/('fuels and tailpipe emissions'!$C$3*3.6)*'fuels and tailpipe emissions'!$D$3,"")*(1-AR118)</f>
        <v>0.13668471589146269</v>
      </c>
      <c r="AV118" s="5">
        <f>IF($H118="ICEV-p",$AQ118/('fuels and tailpipe emissions'!$C$3*3.6)*'fuels and tailpipe emissions'!$D$3,"")*AR118</f>
        <v>1.6601382496938789E-3</v>
      </c>
      <c r="AW118" s="7">
        <f>IF($H118="ICEV-p",$AQ118/('fuels and tailpipe emissions'!$C$3*3.6)*'fuels and tailpipe emissions'!$E$3,"")</f>
        <v>7.0494193192946013E-7</v>
      </c>
      <c r="AX118" s="7">
        <f>SUMIFS('fuels and tailpipe emissions'!$H$10:$H$126,'fuels and tailpipe emissions'!$A$10:$A$126,'vehicles specifications'!$F118,'fuels and tailpipe emissions'!$B$10:$B$126,'vehicles specifications'!AX$2)/1000*$AQ118</f>
        <v>1.4302341467700663E-6</v>
      </c>
      <c r="AY118" s="7">
        <f>SUMIFS('fuels and tailpipe emissions'!$H$10:$H$126,'fuels and tailpipe emissions'!$A$10:$A$126,'vehicles specifications'!$F118,'fuels and tailpipe emissions'!$B$10:$B$126,'vehicles specifications'!AY$2)/1000*$AQ118</f>
        <v>2.0159962862331985E-5</v>
      </c>
      <c r="AZ118" s="7">
        <f>SUMIFS('fuels and tailpipe emissions'!$H$10:$H$126,'fuels and tailpipe emissions'!$A$10:$A$126,'vehicles specifications'!$F118,'fuels and tailpipe emissions'!$B$10:$B$126,'vehicles specifications'!AZ$2)/1000*$AQ118</f>
        <v>1.5663565860987594E-4</v>
      </c>
      <c r="BA118" s="7">
        <f>SUMIFS('fuels and tailpipe emissions'!$H$10:$H$126,'fuels and tailpipe emissions'!$A$10:$A$126,'vehicles specifications'!$F118,'fuels and tailpipe emissions'!$B$10:$B$126,'vehicles specifications'!BA$2)/1000*$AQ118</f>
        <v>1.0610506769648412E-6</v>
      </c>
      <c r="BB118" s="7">
        <f>SUMIFS('fuels and tailpipe emissions'!$H$10:$H$126,'fuels and tailpipe emissions'!$A$10:$A$126,'vehicles specifications'!$F118,'fuels and tailpipe emissions'!$B$10:$B$126,'vehicles specifications'!BB$2)/1000*$AQ118</f>
        <v>1.0610506769648412E-6</v>
      </c>
      <c r="BC118" s="7">
        <f>SUMIFS('fuels and tailpipe emissions'!$H$10:$H$126,'fuels and tailpipe emissions'!$A$10:$A$126,'vehicles specifications'!$F118,'fuels and tailpipe emissions'!$B$10:$B$126,'vehicles specifications'!BC$2)/1000*$AQ118</f>
        <v>8.9306397611533445E-6</v>
      </c>
      <c r="BD118" s="7">
        <f>SUMIFS('fuels and tailpipe emissions'!$H$10:$H$126,'fuels and tailpipe emissions'!$A$10:$A$126,'vehicles specifications'!$F118,'fuels and tailpipe emissions'!$B$10:$B$126,'vehicles specifications'!BD$2)/1000*$AQ118</f>
        <v>2.6526266924121032E-6</v>
      </c>
      <c r="BE118" s="7">
        <f>SUMIFS('fuels and tailpipe emissions'!$H$10:$H$126,'fuels and tailpipe emissions'!$A$10:$A$126,'vehicles specifications'!$F118,'fuels and tailpipe emissions'!$B$10:$B$126,'vehicles specifications'!BE$2)/1000*$AQ118</f>
        <v>1.1533652905504065E-5</v>
      </c>
      <c r="BF118" s="7">
        <f>SUMIFS('fuels and tailpipe emissions'!$H$10:$H$126,'fuels and tailpipe emissions'!$A$10:$A$126,'vehicles specifications'!$F118,'fuels and tailpipe emissions'!$B$10:$B$126,'vehicles specifications'!BF$2)/1000*$AQ118</f>
        <v>8.132703971829788E-7</v>
      </c>
      <c r="BG118" s="7">
        <f>SUMIFS('fuels and tailpipe emissions'!$H$10:$H$126,'fuels and tailpipe emissions'!$A$10:$A$126,'vehicles specifications'!$F118,'fuels and tailpipe emissions'!$B$10:$B$126,'vehicles specifications'!BG$2)/1000*$AQ118</f>
        <v>1.6571340381471356E-7</v>
      </c>
      <c r="BH118" s="7">
        <f>SUMIFS('fuels and tailpipe emissions'!$H$10:$H$126,'fuels and tailpipe emissions'!$A$10:$A$126,'vehicles specifications'!$F118,'fuels and tailpipe emissions'!$B$10:$B$126,'vehicles specifications'!BH$2)/1000*$AQ118</f>
        <v>1.3359049784447677E-6</v>
      </c>
      <c r="BI118" s="7">
        <f>SUMIFS('fuels and tailpipe emissions'!$H$10:$H$126,'fuels and tailpipe emissions'!$A$10:$A$126,'vehicles specifications'!$F118,'fuels and tailpipe emissions'!$B$10:$B$126,'vehicles specifications'!BI$2)/1000*$AQ118</f>
        <v>5.4812895107943716E-7</v>
      </c>
      <c r="BJ118" s="7">
        <f>SUMIFS('fuels and tailpipe emissions'!$H$10:$H$126,'fuels and tailpipe emissions'!$A$10:$A$126,'vehicles specifications'!$F118,'fuels and tailpipe emissions'!$B$10:$B$126,'vehicles specifications'!BJ$2)/1000*$AQ118</f>
        <v>4.1045935406413667E-7</v>
      </c>
      <c r="BK118" s="7">
        <f>SUMIFS('fuels and tailpipe emissions'!$H$10:$H$126,'fuels and tailpipe emissions'!$A$10:$A$126,'vehicles specifications'!$F118,'fuels and tailpipe emissions'!$B$10:$B$126,'vehicles specifications'!BK$2)/1000*$AQ118</f>
        <v>2.9063581592118997E-7</v>
      </c>
      <c r="BL118" s="7">
        <f>SUMIFS('fuels and tailpipe emissions'!$H$10:$H$126,'fuels and tailpipe emissions'!$A$10:$A$126,'vehicles specifications'!$F118,'fuels and tailpipe emissions'!$B$10:$B$126,'vehicles specifications'!BL$2)/1000*$AQ118</f>
        <v>1.8865833665059698E-7</v>
      </c>
      <c r="BM118" s="7">
        <f>SUMIFS('fuels and tailpipe emissions'!$H$10:$H$126,'fuels and tailpipe emissions'!$A$10:$A$126,'vehicles specifications'!$F118,'fuels and tailpipe emissions'!$B$10:$B$126,'vehicles specifications'!BM$2)/1000*$AQ118</f>
        <v>1.8610889966883214E-6</v>
      </c>
      <c r="BN118" s="7">
        <f>SUMIFS('fuels and tailpipe emissions'!$H$10:$H$126,'fuels and tailpipe emissions'!$A$10:$A$126,'vehicles specifications'!$F118,'fuels and tailpipe emissions'!$B$10:$B$126,'vehicles specifications'!BN$2)/1000*$AQ118</f>
        <v>9.7388492703416292E-7</v>
      </c>
      <c r="BO118" s="7">
        <f>SUMIFS('fuels and tailpipe emissions'!$H$10:$H$126,'fuels and tailpipe emissions'!$A$10:$A$126,'vehicles specifications'!$F118,'fuels and tailpipe emissions'!$B$10:$B$126,'vehicles specifications'!BO$2)/1000*$AQ118</f>
        <v>2.804380679941307E-8</v>
      </c>
      <c r="BP118" s="7">
        <f>SUMIFS('fuels and tailpipe emissions'!$H$10:$H$126,'fuels and tailpipe emissions'!$A$10:$A$126,'vehicles specifications'!$F118,'fuels and tailpipe emissions'!$B$10:$B$126,'vehicles specifications'!BP$2)/1000*$AQ118</f>
        <v>1.4302341467700663E-6</v>
      </c>
      <c r="BQ118" s="7">
        <f>SUMIFS('fuels and tailpipe emissions'!$H$10:$H$126,'fuels and tailpipe emissions'!$A$10:$A$126,'vehicles specifications'!$F118,'fuels and tailpipe emissions'!$B$10:$B$126,'vehicles specifications'!BQ$2)/1000*$AQ118</f>
        <v>2.7992818059777767E-6</v>
      </c>
      <c r="BR118" s="7">
        <f>SUMIFS('fuels and tailpipe emissions'!$H$10:$H$126,'fuels and tailpipe emissions'!$A$10:$A$126,'vehicles specifications'!$F118,'fuels and tailpipe emissions'!$B$10:$B$126,'vehicles specifications'!BR$2)/1000*$AQ118</f>
        <v>1.3843442810982995E-6</v>
      </c>
      <c r="BS118" s="7">
        <f>SUMIFS('fuels and tailpipe emissions'!$H$10:$H$126,'fuels and tailpipe emissions'!$A$10:$A$126,'vehicles specifications'!$F118,'fuels and tailpipe emissions'!$B$10:$B$126,'vehicles specifications'!BS$2)/1000*$AQ118</f>
        <v>5.761727578788502E-7</v>
      </c>
      <c r="BT118" s="7">
        <f>SUMIFS('fuels and tailpipe emissions'!$H$10:$H$126,'fuels and tailpipe emissions'!$A$10:$A$126,'vehicles specifications'!$F118,'fuels and tailpipe emissions'!$B$10:$B$126,'vehicles specifications'!BT$2)/1000*$AQ118</f>
        <v>4.3340428690002014E-7</v>
      </c>
      <c r="BU118" s="7">
        <f>SUMIFS('fuels and tailpipe emissions'!$H$10:$H$126,'fuels and tailpipe emissions'!$A$10:$A$126,'vehicles specifications'!$F118,'fuels and tailpipe emissions'!$B$10:$B$126,'vehicles specifications'!BU$2)/1000*$AQ118</f>
        <v>1.9120777363236179E-7</v>
      </c>
      <c r="BV118" s="7">
        <f>SUMIFS('fuels and tailpipe emissions'!$H$10:$H$126,'fuels and tailpipe emissions'!$A$10:$A$126,'vehicles specifications'!$F118,'fuels and tailpipe emissions'!$B$10:$B$126,'vehicles specifications'!BV$2)/1000*$AQ118</f>
        <v>5.608761359882614E-8</v>
      </c>
      <c r="BW118" s="7">
        <f>SUMIFS('fuels and tailpipe emissions'!$H$10:$H$126,'fuels and tailpipe emissions'!$A$10:$A$126,'vehicles specifications'!$F118,'fuels and tailpipe emissions'!$B$10:$B$126,'vehicles specifications'!BW$2)/1000*$AQ118</f>
        <v>1.5551565588765426E-7</v>
      </c>
      <c r="BX118" s="7">
        <f>SUMIFS('fuels and tailpipe emissions'!$H$10:$H$126,'fuels and tailpipe emissions'!$A$10:$A$126,'vehicles specifications'!$F118,'fuels and tailpipe emissions'!$B$10:$B$126,'vehicles specifications'!BX$2)/1000*$AQ118</f>
        <v>0</v>
      </c>
      <c r="BY118" s="7">
        <f>SUMIFS('fuels and tailpipe emissions'!$H$10:$H$126,'fuels and tailpipe emissions'!$A$10:$A$126,'vehicles specifications'!$F118,'fuels and tailpipe emissions'!$B$10:$B$126,'vehicles specifications'!BY$2)/1000*$AQ118</f>
        <v>4.843930265353165E-8</v>
      </c>
      <c r="BZ118" s="7">
        <f>SUMIFS('fuels and tailpipe emissions'!$H$10:$H$126,'fuels and tailpipe emissions'!$A$10:$A$126,'vehicles specifications'!$F118,'fuels and tailpipe emissions'!$B$10:$B$126,'vehicles specifications'!BZ$2)/1000*$AQ118</f>
        <v>2.5749313515824725E-7</v>
      </c>
      <c r="CA118" s="7">
        <f>SUMIFS('fuels and tailpipe emissions'!$H$10:$H$126,'fuels and tailpipe emissions'!$A$10:$A$126,'vehicles specifications'!$F118,'fuels and tailpipe emissions'!$B$10:$B$126,'vehicles specifications'!CA$2)/1000*$AQ118</f>
        <v>1.5368563459511563E-9</v>
      </c>
      <c r="CB118" s="7">
        <f>SUMIFS('fuels and tailpipe emissions'!$H$10:$H$126,'fuels and tailpipe emissions'!$A$10:$A$126,'vehicles specifications'!$F118,'fuels and tailpipe emissions'!$B$10:$B$126,'vehicles specifications'!CB$2)/1000*$AQ118</f>
        <v>1.324876160302721E-11</v>
      </c>
      <c r="CC118" s="7">
        <f>SUMIFS('fuels and tailpipe emissions'!$H$10:$H$126,'fuels and tailpipe emissions'!$A$10:$A$126,'vehicles specifications'!$F118,'fuels and tailpipe emissions'!$B$10:$B$126,'vehicles specifications'!CC$2)/1000*$AQ118</f>
        <v>8.8325077353514733E-12</v>
      </c>
      <c r="CD118" s="7">
        <f>SUMIFS('fuels and tailpipe emissions'!$H$10:$H$126,'fuels and tailpipe emissions'!$A$10:$A$126,'vehicles specifications'!$F118,'fuels and tailpipe emissions'!$B$10:$B$126,'vehicles specifications'!CD$2)/1000*$AQ118</f>
        <v>9.539108354179591E-8</v>
      </c>
      <c r="CE118" s="7">
        <f>SUMIFS('fuels and tailpipe emissions'!$H$10:$H$126,'fuels and tailpipe emissions'!$A$10:$A$126,'vehicles specifications'!$F118,'fuels and tailpipe emissions'!$B$10:$B$126,'vehicles specifications'!CE$2)/1000*$AQ118</f>
        <v>1.854826624423809E-9</v>
      </c>
      <c r="CF118" s="7">
        <f>SUMIFS('fuels and tailpipe emissions'!$H$10:$H$126,'fuels and tailpipe emissions'!$A$10:$A$126,'vehicles specifications'!$F118,'fuels and tailpipe emissions'!$B$10:$B$126,'vehicles specifications'!CF$2)/1000*$AQ118</f>
        <v>5.741130027978458E-10</v>
      </c>
      <c r="CG118" s="7">
        <f>SUMIFS('fuels and tailpipe emissions'!$H$10:$H$126,'fuels and tailpipe emissions'!$A$10:$A$126,'vehicles specifications'!$F118,'fuels and tailpipe emissions'!$B$10:$B$126,'vehicles specifications'!CG$2)/1000*$AQ118</f>
        <v>7.0660061882811791E-10</v>
      </c>
      <c r="CH118" s="7">
        <f>SUMIFS('fuels and tailpipe emissions'!$H$10:$H$126,'fuels and tailpipe emissions'!$A$10:$A$126,'vehicles specifications'!$F118,'fuels and tailpipe emissions'!$B$10:$B$126,'vehicles specifications'!CH$2)/1000*$AQ118</f>
        <v>1.4132012376562355E-12</v>
      </c>
      <c r="CI118" s="7">
        <f>SUMIFS('fuels and tailpipe emissions'!$H$10:$H$126,'fuels and tailpipe emissions'!$A$10:$A$126,'vehicles specifications'!$F118,'fuels and tailpipe emissions'!$B$10:$B$126,'vehicles specifications'!CI$2)/1000*$AQ118</f>
        <v>3.8421408648778908E-10</v>
      </c>
      <c r="CJ118" s="7">
        <f>SUMIFS('fuels and tailpipe emissions'!$H$10:$H$126,'fuels and tailpipe emissions'!$A$10:$A$126,'vehicles specifications'!$F118,'fuels and tailpipe emissions'!$B$10:$B$126,'vehicles specifications'!CJ$2)/1000*$AQ118</f>
        <v>4.7695541770897962E-10</v>
      </c>
      <c r="CK118" s="38">
        <f>VLOOKUP($B118,'abrasion emissions'!$O$7:$R$36,2,FALSE)</f>
        <v>0.33</v>
      </c>
      <c r="CL118" s="38">
        <f>VLOOKUP($B118,'abrasion emissions'!$O$7:$R$36,3,FALSE)</f>
        <v>0.33</v>
      </c>
      <c r="CM118" s="38">
        <f>VLOOKUP($B118,'abrasion emissions'!$O$7:$R$36,4,FALSE)</f>
        <v>0.33</v>
      </c>
      <c r="CN118" s="7">
        <f>((SUMIFS('abrasion emissions'!$M$7:$M$34,'abrasion emissions'!$I$7:$I$34,"PM 2.5",'abrasion emissions'!$J$7:$J$34,"urban",'abrasion emissions'!$K$7:$K$34,"Tyre",'abrasion emissions'!$L$7:$L$34,"b")*POWER(('vehicles specifications'!$Q118/1000),(1/SUMIFS('abrasion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specifications'!$P118/1000),(1/SUMIFS('abrasion emissions'!$M$7:$M$34,'abrasion emissions'!$I$7:$I$34,"PM 10",'abrasion emissions'!$J$7:$J$34,"urban",'abrasion emissions'!$K$7:$K$34,"Tyre",'abrasion emissions'!$L$7:$L$34,"c")))))/1000000</f>
        <v>8.2793784659779021E-6</v>
      </c>
      <c r="CO118" s="7">
        <f>((SUMIFS('abrasion emissions'!$M$7:$M$34,'abrasion emissions'!$I$7:$I$34,"PM 2.5",'abrasion emissions'!$J$7:$J$34,"rural",'abrasion emissions'!$K$7:$K$34,"Tyre",'abrasion emissions'!$L$7:$L$34,"b")*POWER(('vehicles specifications'!$Q118/1000),(1/SUMIFS('abrasion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specifications'!$P118/1000),(1/SUMIFS('abrasion emissions'!$M$7:$M$34,'abrasion emissions'!$I$7:$I$34,"PM 10",'abrasion emissions'!$J$7:$J$34,"rural",'abrasion emissions'!$K$7:$K$34,"Tyre",'abrasion emissions'!$L$7:$L$34,"c")))))/1000000</f>
        <v>6.4473017892561255E-6</v>
      </c>
      <c r="CP118" s="7">
        <f>((SUMIFS('abrasion emissions'!$M$7:$M$34,'abrasion emissions'!$I$7:$I$34,"PM 2.5",'abrasion emissions'!$J$7:$J$34,"motorway",'abrasion emissions'!$K$7:$K$34,"Tyre",'abrasion emissions'!$L$7:$L$34,"b")*POWER(('vehicles specifications'!$Q118/1000),(1/SUMIFS('abrasion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specifications'!$P118/1000),(1/SUMIFS('abrasion emissions'!$M$7:$M$34,'abrasion emissions'!$I$7:$I$34,"PM 10",'abrasion emissions'!$J$7:$J$34,"motorway",'abrasion emissions'!$K$7:$K$34,"Tyre",'abrasion emissions'!$L$7:$L$34,"c")))))/1000000</f>
        <v>5.5039571985410661E-6</v>
      </c>
      <c r="CQ118" s="7">
        <f>((SUMIFS('abrasion emissions'!$M$7:$M$34,'abrasion emissions'!$I$7:$I$34,"PM 2.5",'abrasion emissions'!$J$7:$J$34,"urban",'abrasion emissions'!$K$7:$K$34,"Brake",'abrasion emissions'!$L$7:$L$34,"b")*POWER(('vehicles specifications'!$Q118/1000),(1/SUMIFS('abrasion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specifications'!$P118/1000),(1/SUMIFS('abrasion emissions'!$M$7:$M$34,'abrasion emissions'!$I$7:$I$34,"PM 10",'abrasion emissions'!$J$7:$J$34,"urban",'abrasion emissions'!$K$7:$K$34,"Brake",'abrasion emissions'!$L$7:$L$34,"c")))))/1000000</f>
        <v>8.2274281044295216E-6</v>
      </c>
      <c r="CR118" s="7">
        <f>((SUMIFS('abrasion emissions'!$M$7:$M$34,'abrasion emissions'!$I$7:$I$34,"PM 2.5",'abrasion emissions'!$J$7:$J$34,"rural",'abrasion emissions'!$K$7:$K$34,"Brake",'abrasion emissions'!$L$7:$L$34,"b")*POWER(('vehicles specifications'!$Q118/1000),(1/SUMIFS('abrasion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specifications'!$P118/1000),(1/SUMIFS('abrasion emissions'!$M$7:$M$34,'abrasion emissions'!$I$7:$I$34,"PM 10",'abrasion emissions'!$J$7:$J$34,"rural",'abrasion emissions'!$K$7:$K$34,"Brake",'abrasion emissions'!$L$7:$L$34,"c")))))/1000000</f>
        <v>2.8922662463300942E-6</v>
      </c>
      <c r="CS118" s="7">
        <f>((SUMIFS('abrasion emissions'!$M$7:$M$34,'abrasion emissions'!$I$7:$I$34,"PM 2.5",'abrasion emissions'!$J$7:$J$34,"motorway",'abrasion emissions'!$K$7:$K$34,"Brake",'abrasion emissions'!$L$7:$L$34,"b")*POWER(('vehicles specifications'!$Q118/1000),(1/SUMIFS('abrasion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specifications'!$P118/1000),(1/SUMIFS('abrasion emissions'!$M$7:$M$34,'abrasion emissions'!$I$7:$I$34,"PM 10",'abrasion emissions'!$J$7:$J$34,"motorway",'abrasion emissions'!$K$7:$K$34,"Brake",'abrasion emissions'!$L$7:$L$34,"c")))))/1000000</f>
        <v>5.7057530406188664E-7</v>
      </c>
      <c r="CT118" s="7">
        <f>((SUMIFS('abrasion emissions'!$M$7:$M$38,'abrasion emissions'!$I$7:$I$38,"PM 2.5",'abrasion emissions'!$K$7:$K$38,"Re-susp.",'abrasion emissions'!$L$7:$L$38,"b")*POWER(('vehicles specifications'!$Q118/1000),(1/SUMIFS('abrasion emissions'!$M$7:$M$38,'abrasion emissions'!$I$7:$I$38,"PM 2.5",'abrasion emissions'!$K$7:$K$38,"Re-susp.",'abrasion emissions'!$L$7:$L$38,"c"))))+
(SUMIFS('abrasion emissions'!$M$7:$M$38,'abrasion emissions'!$I$7:$I$38,"PM 10",'abrasion emissions'!$K$7:$K$38,"Re-susp.",'abrasion emissions'!$L$7:$L$38,"b")*POWER(('vehicles specifications'!$Q118/1000),(1/SUMIFS('abrasion emissions'!$M$7:$M$38,'abrasion emissions'!$I$7:$I$38,"PM 10",'abrasion emissions'!$K$7:$K$38,"Re-susp.",'abrasion emissions'!$L$7:$L$38,"c")))))/1000000</f>
        <v>6.1054139984541615E-6</v>
      </c>
      <c r="CU118" s="7">
        <f>((SUMIFS('abrasion emissions'!$M$7:$M$38,'abrasion emissions'!$I$7:$I$38,"PM 2.5",'abrasion emissions'!$K$7:$K$38,"Road",'abrasion emissions'!$L$7:$L$38,"b")*POWER(('vehicles specifications'!$Q118/1000),(1/SUMIFS('abrasion emissions'!$M$7:$M$38,'abrasion emissions'!$I$7:$I$38,"PM 2.5",'abrasion emissions'!$K$7:$K$38,"Road",'abrasion emissions'!$L$7:$L$38,"c"))))+
(SUMIFS('abrasion emissions'!$M$7:$M$38,'abrasion emissions'!$I$7:$I$38,"PM 10",'abrasion emissions'!$K$7:$K$38,"Road",'abrasion emissions'!$L$7:$L$38,"b")*POWER(('vehicles specifications'!$Q118/1000),(1/SUMIFS('abrasion emissions'!$M$7:$M$38,'abrasion emissions'!$I$7:$I$38,"PM 10",'abrasion emissions'!$K$7:$K$38,"Road",'abrasion emissions'!$L$7:$L$38,"c")))))/1000000+CT118</f>
        <v>1.104744846368179E-5</v>
      </c>
      <c r="CV118" s="7">
        <f t="shared" si="79"/>
        <v>6.6761103597457815E-6</v>
      </c>
      <c r="CW118" s="7">
        <f t="shared" si="80"/>
        <v>3.8577889860910961E-6</v>
      </c>
    </row>
    <row r="119" spans="1:101" x14ac:dyDescent="0.2">
      <c r="A119" t="str">
        <f t="shared" ref="A119:A150" si="117">B119&amp;" - "&amp;D119&amp;" - "&amp;IF(I119&lt;&gt;"",I119&amp;" - "&amp;E119,E119)</f>
        <v>Motorbike, electric, &lt;4kW - 2020 - NMC - CH</v>
      </c>
      <c r="B119" t="s">
        <v>267</v>
      </c>
      <c r="D119" s="18">
        <v>2020</v>
      </c>
      <c r="E119" t="s">
        <v>37</v>
      </c>
      <c r="F119" t="s">
        <v>138</v>
      </c>
      <c r="G119" t="s">
        <v>39</v>
      </c>
      <c r="H119" t="s">
        <v>32</v>
      </c>
      <c r="I119" t="s">
        <v>43</v>
      </c>
      <c r="J119">
        <v>25000</v>
      </c>
      <c r="K119">
        <v>1776</v>
      </c>
      <c r="L119" s="2">
        <f t="shared" ref="L119:L150" si="118">J119/K119</f>
        <v>14.076576576576576</v>
      </c>
      <c r="M119">
        <v>1.1000000000000001</v>
      </c>
      <c r="N119">
        <v>75</v>
      </c>
      <c r="O119">
        <v>6</v>
      </c>
      <c r="P119" s="2">
        <f t="shared" ref="P119:P150" si="119">SUM(U119,V119,W119,AC119,AF119,AH119)</f>
        <v>76.7</v>
      </c>
      <c r="Q119" s="2">
        <f t="shared" ref="Q119:Q150" si="120">P119+(M119*N119)+O119</f>
        <v>165.2</v>
      </c>
      <c r="R119">
        <v>2.5</v>
      </c>
      <c r="S119" s="2">
        <v>53</v>
      </c>
      <c r="T119" s="1">
        <v>0</v>
      </c>
      <c r="U119" s="2">
        <f t="shared" si="105"/>
        <v>53</v>
      </c>
      <c r="V119" s="2">
        <v>4.5</v>
      </c>
      <c r="W119" s="2">
        <v>7.5</v>
      </c>
      <c r="X119" s="3">
        <v>1.8</v>
      </c>
      <c r="Y119" s="1">
        <v>0.8</v>
      </c>
      <c r="Z119" s="3">
        <f t="shared" ref="Z119:Z150" si="121">Y119*X119</f>
        <v>1.4400000000000002</v>
      </c>
      <c r="AA119" s="3">
        <f>IF(I119&lt;&gt;"",X119/INDEX('energy battery'!$B$3:$D$6,MATCH('vehicles specifications'!$D119,'energy battery'!$A$3:$A$6,0),MATCH('vehicles specifications'!$I119,'energy battery'!$B$2:$D$2,0)),"")</f>
        <v>9</v>
      </c>
      <c r="AB119" s="3">
        <f t="shared" si="115"/>
        <v>2.6999999999999997</v>
      </c>
      <c r="AC119" s="3">
        <f t="shared" ref="AC119:AC150" si="122">IF(AA119&lt;&gt;"",AB119+AA119,"")</f>
        <v>11.7</v>
      </c>
      <c r="AD119" s="3">
        <v>1</v>
      </c>
      <c r="AE119" s="3">
        <v>0</v>
      </c>
      <c r="AF119">
        <f>AE119*'fuels and tailpipe emissions'!$B$3</f>
        <v>0</v>
      </c>
      <c r="AG119">
        <v>0</v>
      </c>
      <c r="AH119" s="3">
        <v>0</v>
      </c>
      <c r="AI119" s="3">
        <v>3</v>
      </c>
      <c r="AJ119" s="3">
        <v>1</v>
      </c>
      <c r="AK119">
        <f t="shared" si="67"/>
        <v>1</v>
      </c>
      <c r="AL119">
        <f t="shared" ref="AL119:AL150" si="123">0.000537/1000*Q119</f>
        <v>8.8712400000000001E-5</v>
      </c>
      <c r="AM119">
        <v>1.2899999999999999E-3</v>
      </c>
      <c r="AN119" s="2">
        <f t="shared" ref="AN119:AN150" si="124">U119</f>
        <v>53</v>
      </c>
      <c r="AO119" s="2">
        <f t="shared" ref="AO119:AO150" si="125">SUM(V119:W119)</f>
        <v>12</v>
      </c>
      <c r="AP119" s="2">
        <f t="shared" ref="AP119:AP150" si="126">AC119</f>
        <v>11.7</v>
      </c>
      <c r="AQ119" s="6" t="s">
        <v>85</v>
      </c>
      <c r="AR119" s="20"/>
      <c r="AS119" s="6">
        <v>0.121</v>
      </c>
      <c r="AT119" s="2">
        <f t="shared" si="78"/>
        <v>42.842975206611577</v>
      </c>
      <c r="AU119" s="5">
        <v>0</v>
      </c>
      <c r="AV119" s="5">
        <v>0</v>
      </c>
      <c r="AW119" s="7">
        <v>0</v>
      </c>
      <c r="AX119" s="7">
        <v>0</v>
      </c>
      <c r="AY119" s="7">
        <v>0</v>
      </c>
      <c r="AZ119" s="7">
        <v>0</v>
      </c>
      <c r="BA119" s="7">
        <v>0</v>
      </c>
      <c r="BB119" s="7">
        <v>0</v>
      </c>
      <c r="BC119" s="7">
        <v>0</v>
      </c>
      <c r="BD119" s="7">
        <v>0</v>
      </c>
      <c r="BE119" s="7">
        <v>0</v>
      </c>
      <c r="BF119" s="7">
        <v>0</v>
      </c>
      <c r="BG119" s="7">
        <v>0</v>
      </c>
      <c r="BH119" s="7">
        <v>0</v>
      </c>
      <c r="BI119" s="7">
        <v>0</v>
      </c>
      <c r="BJ119" s="7">
        <v>0</v>
      </c>
      <c r="BK119" s="7">
        <v>0</v>
      </c>
      <c r="BL119" s="7">
        <v>0</v>
      </c>
      <c r="BM119" s="7">
        <v>0</v>
      </c>
      <c r="BN119" s="7">
        <v>0</v>
      </c>
      <c r="BO119" s="7">
        <v>0</v>
      </c>
      <c r="BP119" s="7">
        <v>0</v>
      </c>
      <c r="BQ119" s="7">
        <v>0</v>
      </c>
      <c r="BR119" s="7">
        <v>0</v>
      </c>
      <c r="BS119" s="7">
        <v>0</v>
      </c>
      <c r="BT119" s="7">
        <v>0</v>
      </c>
      <c r="BU119" s="7">
        <v>0</v>
      </c>
      <c r="BV119" s="7">
        <v>0</v>
      </c>
      <c r="BW119" s="7">
        <v>0</v>
      </c>
      <c r="BX119" s="7">
        <v>0</v>
      </c>
      <c r="BY119" s="7">
        <v>0</v>
      </c>
      <c r="BZ119" s="7">
        <v>0</v>
      </c>
      <c r="CA119" s="7">
        <v>0</v>
      </c>
      <c r="CB119" s="7">
        <v>0</v>
      </c>
      <c r="CC119" s="7">
        <v>0</v>
      </c>
      <c r="CD119" s="7">
        <v>0</v>
      </c>
      <c r="CE119" s="7">
        <v>0</v>
      </c>
      <c r="CF119" s="7">
        <v>0</v>
      </c>
      <c r="CG119" s="7">
        <v>0</v>
      </c>
      <c r="CH119" s="7">
        <v>0</v>
      </c>
      <c r="CI119" s="7">
        <v>0</v>
      </c>
      <c r="CJ119" s="7">
        <v>0</v>
      </c>
      <c r="CK119" s="38">
        <f>VLOOKUP($B119,'abrasion emissions'!$O$7:$R$36,2,FALSE)</f>
        <v>0.33</v>
      </c>
      <c r="CL119" s="38">
        <f>VLOOKUP($B119,'abrasion emissions'!$O$7:$R$36,3,FALSE)</f>
        <v>0.33</v>
      </c>
      <c r="CM119" s="38">
        <f>VLOOKUP($B119,'abrasion emissions'!$O$7:$R$36,4,FALSE)</f>
        <v>0.33</v>
      </c>
      <c r="CN119" s="7">
        <f>((SUMIFS('abrasion emissions'!$M$7:$M$34,'abrasion emissions'!$I$7:$I$34,"PM 2.5",'abrasion emissions'!$J$7:$J$34,"urban",'abrasion emissions'!$K$7:$K$34,"Tyre",'abrasion emissions'!$L$7:$L$34,"b")*POWER(('vehicles specifications'!$Q119/1000),(1/SUMIFS('abrasion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specifications'!$P119/1000),(1/SUMIFS('abrasion emissions'!$M$7:$M$34,'abrasion emissions'!$I$7:$I$34,"PM 10",'abrasion emissions'!$J$7:$J$34,"urban",'abrasion emissions'!$K$7:$K$34,"Tyre",'abrasion emissions'!$L$7:$L$34,"c")))))/1000000</f>
        <v>5.6472983541835316E-6</v>
      </c>
      <c r="CO119" s="7">
        <f>((SUMIFS('abrasion emissions'!$M$7:$M$34,'abrasion emissions'!$I$7:$I$34,"PM 2.5",'abrasion emissions'!$J$7:$J$34,"rural",'abrasion emissions'!$K$7:$K$34,"Tyre",'abrasion emissions'!$L$7:$L$34,"b")*POWER(('vehicles specifications'!$Q119/1000),(1/SUMIFS('abrasion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specifications'!$P119/1000),(1/SUMIFS('abrasion emissions'!$M$7:$M$34,'abrasion emissions'!$I$7:$I$34,"PM 10",'abrasion emissions'!$J$7:$J$34,"rural",'abrasion emissions'!$K$7:$K$34,"Tyre",'abrasion emissions'!$L$7:$L$34,"c")))))/1000000</f>
        <v>4.3988625873444564E-6</v>
      </c>
      <c r="CP119" s="7">
        <f>((SUMIFS('abrasion emissions'!$M$7:$M$34,'abrasion emissions'!$I$7:$I$34,"PM 2.5",'abrasion emissions'!$J$7:$J$34,"motorway",'abrasion emissions'!$K$7:$K$34,"Tyre",'abrasion emissions'!$L$7:$L$34,"b")*POWER(('vehicles specifications'!$Q119/1000),(1/SUMIFS('abrasion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specifications'!$P119/1000),(1/SUMIFS('abrasion emissions'!$M$7:$M$34,'abrasion emissions'!$I$7:$I$34,"PM 10",'abrasion emissions'!$J$7:$J$34,"motorway",'abrasion emissions'!$K$7:$K$34,"Tyre",'abrasion emissions'!$L$7:$L$34,"c")))))/1000000</f>
        <v>3.7582728287999042E-6</v>
      </c>
      <c r="CQ119" s="7">
        <f>((SUMIFS('abrasion emissions'!$M$7:$M$34,'abrasion emissions'!$I$7:$I$34,"PM 2.5",'abrasion emissions'!$J$7:$J$34,"urban",'abrasion emissions'!$K$7:$K$34,"Brake",'abrasion emissions'!$L$7:$L$34,"b")*POWER(('vehicles specifications'!$Q119/1000),(1/SUMIFS('abrasion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specifications'!$P119/1000),(1/SUMIFS('abrasion emissions'!$M$7:$M$34,'abrasion emissions'!$I$7:$I$34,"PM 10",'abrasion emissions'!$J$7:$J$34,"urban",'abrasion emissions'!$K$7:$K$34,"Brake",'abrasion emissions'!$L$7:$L$34,"c")))))/1000000</f>
        <v>5.3511930056293722E-6</v>
      </c>
      <c r="CR119" s="7">
        <f>((SUMIFS('abrasion emissions'!$M$7:$M$34,'abrasion emissions'!$I$7:$I$34,"PM 2.5",'abrasion emissions'!$J$7:$J$34,"rural",'abrasion emissions'!$K$7:$K$34,"Brake",'abrasion emissions'!$L$7:$L$34,"b")*POWER(('vehicles specifications'!$Q119/1000),(1/SUMIFS('abrasion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specifications'!$P119/1000),(1/SUMIFS('abrasion emissions'!$M$7:$M$34,'abrasion emissions'!$I$7:$I$34,"PM 10",'abrasion emissions'!$J$7:$J$34,"rural",'abrasion emissions'!$K$7:$K$34,"Brake",'abrasion emissions'!$L$7:$L$34,"c")))))/1000000</f>
        <v>1.679773020902114E-6</v>
      </c>
      <c r="CS119" s="7">
        <f>((SUMIFS('abrasion emissions'!$M$7:$M$34,'abrasion emissions'!$I$7:$I$34,"PM 2.5",'abrasion emissions'!$J$7:$J$34,"motorway",'abrasion emissions'!$K$7:$K$34,"Brake",'abrasion emissions'!$L$7:$L$34,"b")*POWER(('vehicles specifications'!$Q119/1000),(1/SUMIFS('abrasion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specifications'!$P119/1000),(1/SUMIFS('abrasion emissions'!$M$7:$M$34,'abrasion emissions'!$I$7:$I$34,"PM 10",'abrasion emissions'!$J$7:$J$34,"motorway",'abrasion emissions'!$K$7:$K$34,"Brake",'abrasion emissions'!$L$7:$L$34,"c")))))/1000000</f>
        <v>3.0579428045108337E-7</v>
      </c>
      <c r="CT119" s="7">
        <f>((SUMIFS('abrasion emissions'!$M$7:$M$38,'abrasion emissions'!$I$7:$I$38,"PM 2.5",'abrasion emissions'!$K$7:$K$38,"Re-susp.",'abrasion emissions'!$L$7:$L$38,"b")*POWER(('vehicles specifications'!$Q119/1000),(1/SUMIFS('abrasion emissions'!$M$7:$M$38,'abrasion emissions'!$I$7:$I$38,"PM 2.5",'abrasion emissions'!$K$7:$K$38,"Re-susp.",'abrasion emissions'!$L$7:$L$38,"c"))))+
(SUMIFS('abrasion emissions'!$M$7:$M$38,'abrasion emissions'!$I$7:$I$38,"PM 10",'abrasion emissions'!$K$7:$K$38,"Re-susp.",'abrasion emissions'!$L$7:$L$38,"b")*POWER(('vehicles specifications'!$Q119/1000),(1/SUMIFS('abrasion emissions'!$M$7:$M$38,'abrasion emissions'!$I$7:$I$38,"PM 10",'abrasion emissions'!$K$7:$K$38,"Re-susp.",'abrasion emissions'!$L$7:$L$38,"c")))))/1000000</f>
        <v>3.1911255201409019E-6</v>
      </c>
      <c r="CU119" s="7">
        <f>((SUMIFS('abrasion emissions'!$M$7:$M$38,'abrasion emissions'!$I$7:$I$38,"PM 2.5",'abrasion emissions'!$K$7:$K$38,"Road",'abrasion emissions'!$L$7:$L$38,"b")*POWER(('vehicles specifications'!$Q119/1000),(1/SUMIFS('abrasion emissions'!$M$7:$M$38,'abrasion emissions'!$I$7:$I$38,"PM 2.5",'abrasion emissions'!$K$7:$K$38,"Road",'abrasion emissions'!$L$7:$L$38,"c"))))+
(SUMIFS('abrasion emissions'!$M$7:$M$38,'abrasion emissions'!$I$7:$I$38,"PM 10",'abrasion emissions'!$K$7:$K$38,"Road",'abrasion emissions'!$L$7:$L$38,"b")*POWER(('vehicles specifications'!$Q119/1000),(1/SUMIFS('abrasion emissions'!$M$7:$M$38,'abrasion emissions'!$I$7:$I$38,"PM 10",'abrasion emissions'!$K$7:$K$38,"Road",'abrasion emissions'!$L$7:$L$38,"c")))))/1000000+CT119</f>
        <v>6.2620810940496784E-6</v>
      </c>
      <c r="CV119" s="7">
        <f t="shared" si="79"/>
        <v>4.5554631442082041E-6</v>
      </c>
      <c r="CW119" s="7">
        <f t="shared" si="80"/>
        <v>2.4211309013042481E-6</v>
      </c>
    </row>
    <row r="120" spans="1:101" x14ac:dyDescent="0.2">
      <c r="A120" t="str">
        <f t="shared" si="117"/>
        <v>Motorbike, electric, &lt;4kW - 2030 - NMC - CH</v>
      </c>
      <c r="B120" t="s">
        <v>267</v>
      </c>
      <c r="D120" s="18">
        <v>2030</v>
      </c>
      <c r="E120" t="s">
        <v>37</v>
      </c>
      <c r="F120" t="s">
        <v>138</v>
      </c>
      <c r="G120" t="s">
        <v>39</v>
      </c>
      <c r="H120" t="s">
        <v>32</v>
      </c>
      <c r="I120" t="s">
        <v>43</v>
      </c>
      <c r="J120">
        <v>25000</v>
      </c>
      <c r="K120">
        <v>1776</v>
      </c>
      <c r="L120" s="2">
        <f t="shared" si="118"/>
        <v>14.076576576576576</v>
      </c>
      <c r="M120">
        <v>1.1000000000000001</v>
      </c>
      <c r="N120">
        <v>75</v>
      </c>
      <c r="O120">
        <v>6</v>
      </c>
      <c r="P120" s="2">
        <f t="shared" si="119"/>
        <v>77.276666666666671</v>
      </c>
      <c r="Q120" s="2">
        <f t="shared" si="120"/>
        <v>165.77666666666667</v>
      </c>
      <c r="R120">
        <v>2.5</v>
      </c>
      <c r="S120" s="2">
        <v>53</v>
      </c>
      <c r="T120" s="1">
        <v>0.03</v>
      </c>
      <c r="U120" s="2">
        <f t="shared" si="105"/>
        <v>51.41</v>
      </c>
      <c r="V120" s="2">
        <v>4.5</v>
      </c>
      <c r="W120" s="2">
        <v>7.5</v>
      </c>
      <c r="X120" s="3">
        <v>3.2</v>
      </c>
      <c r="Y120" s="1">
        <v>0.8</v>
      </c>
      <c r="Z120" s="3">
        <f t="shared" si="121"/>
        <v>2.5600000000000005</v>
      </c>
      <c r="AA120" s="3">
        <f>IF(I120&lt;&gt;"",X120/INDEX('energy battery'!$B$3:$D$6,MATCH('vehicles specifications'!$D120,'energy battery'!$A$3:$A$6,0),MATCH('vehicles specifications'!$I120,'energy battery'!$B$2:$D$2,0)),"")</f>
        <v>10.666666666666668</v>
      </c>
      <c r="AB120" s="3">
        <f t="shared" si="115"/>
        <v>3.2</v>
      </c>
      <c r="AC120" s="3">
        <f t="shared" si="122"/>
        <v>13.866666666666667</v>
      </c>
      <c r="AD120" s="3">
        <v>0.5</v>
      </c>
      <c r="AE120" s="3">
        <v>0</v>
      </c>
      <c r="AF120">
        <f>AE120*'fuels and tailpipe emissions'!$B$3</f>
        <v>0</v>
      </c>
      <c r="AG120">
        <v>0</v>
      </c>
      <c r="AH120" s="3">
        <v>0</v>
      </c>
      <c r="AI120" s="3">
        <v>3</v>
      </c>
      <c r="AJ120" s="3">
        <v>1</v>
      </c>
      <c r="AK120">
        <f t="shared" si="67"/>
        <v>1</v>
      </c>
      <c r="AL120">
        <f t="shared" si="123"/>
        <v>8.9022070000000007E-5</v>
      </c>
      <c r="AM120">
        <v>1.2899999999999999E-3</v>
      </c>
      <c r="AN120" s="2">
        <f t="shared" si="124"/>
        <v>51.41</v>
      </c>
      <c r="AO120" s="2">
        <f t="shared" si="125"/>
        <v>12</v>
      </c>
      <c r="AP120" s="2">
        <f t="shared" si="126"/>
        <v>13.866666666666667</v>
      </c>
      <c r="AQ120" s="6" t="s">
        <v>85</v>
      </c>
      <c r="AR120" s="20"/>
      <c r="AS120" s="6">
        <v>0.121</v>
      </c>
      <c r="AT120" s="2">
        <f t="shared" si="78"/>
        <v>76.165289256198363</v>
      </c>
      <c r="AU120" s="5">
        <v>0</v>
      </c>
      <c r="AV120" s="5">
        <v>0</v>
      </c>
      <c r="AW120" s="7">
        <v>0</v>
      </c>
      <c r="AX120" s="7">
        <v>0</v>
      </c>
      <c r="AY120" s="7">
        <v>0</v>
      </c>
      <c r="AZ120" s="7">
        <v>0</v>
      </c>
      <c r="BA120" s="7">
        <v>0</v>
      </c>
      <c r="BB120" s="7">
        <v>0</v>
      </c>
      <c r="BC120" s="7">
        <v>0</v>
      </c>
      <c r="BD120" s="7">
        <v>0</v>
      </c>
      <c r="BE120" s="7">
        <v>0</v>
      </c>
      <c r="BF120" s="7">
        <v>0</v>
      </c>
      <c r="BG120" s="7">
        <v>0</v>
      </c>
      <c r="BH120" s="7">
        <v>0</v>
      </c>
      <c r="BI120" s="7">
        <v>0</v>
      </c>
      <c r="BJ120" s="7">
        <v>0</v>
      </c>
      <c r="BK120" s="7">
        <v>0</v>
      </c>
      <c r="BL120" s="7">
        <v>0</v>
      </c>
      <c r="BM120" s="7">
        <v>0</v>
      </c>
      <c r="BN120" s="7">
        <v>0</v>
      </c>
      <c r="BO120" s="7">
        <v>0</v>
      </c>
      <c r="BP120" s="7">
        <v>0</v>
      </c>
      <c r="BQ120" s="7">
        <v>0</v>
      </c>
      <c r="BR120" s="7">
        <v>0</v>
      </c>
      <c r="BS120" s="7">
        <v>0</v>
      </c>
      <c r="BT120" s="7">
        <v>0</v>
      </c>
      <c r="BU120" s="7">
        <v>0</v>
      </c>
      <c r="BV120" s="7">
        <v>0</v>
      </c>
      <c r="BW120" s="7">
        <v>0</v>
      </c>
      <c r="BX120" s="7">
        <v>0</v>
      </c>
      <c r="BY120" s="7">
        <v>0</v>
      </c>
      <c r="BZ120" s="7">
        <v>0</v>
      </c>
      <c r="CA120" s="7">
        <v>0</v>
      </c>
      <c r="CB120" s="7">
        <v>0</v>
      </c>
      <c r="CC120" s="7">
        <v>0</v>
      </c>
      <c r="CD120" s="7">
        <v>0</v>
      </c>
      <c r="CE120" s="7">
        <v>0</v>
      </c>
      <c r="CF120" s="7">
        <v>0</v>
      </c>
      <c r="CG120" s="7">
        <v>0</v>
      </c>
      <c r="CH120" s="7">
        <v>0</v>
      </c>
      <c r="CI120" s="7">
        <v>0</v>
      </c>
      <c r="CJ120" s="7">
        <v>0</v>
      </c>
      <c r="CK120" s="38">
        <f>VLOOKUP($B120,'abrasion emissions'!$O$7:$R$36,2,FALSE)</f>
        <v>0.33</v>
      </c>
      <c r="CL120" s="38">
        <f>VLOOKUP($B120,'abrasion emissions'!$O$7:$R$36,3,FALSE)</f>
        <v>0.33</v>
      </c>
      <c r="CM120" s="38">
        <f>VLOOKUP($B120,'abrasion emissions'!$O$7:$R$36,4,FALSE)</f>
        <v>0.33</v>
      </c>
      <c r="CN120" s="7">
        <f>((SUMIFS('abrasion emissions'!$M$7:$M$34,'abrasion emissions'!$I$7:$I$34,"PM 2.5",'abrasion emissions'!$J$7:$J$34,"urban",'abrasion emissions'!$K$7:$K$34,"Tyre",'abrasion emissions'!$L$7:$L$34,"b")*POWER(('vehicles specifications'!$Q120/1000),(1/SUMIFS('abrasion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specifications'!$P120/1000),(1/SUMIFS('abrasion emissions'!$M$7:$M$34,'abrasion emissions'!$I$7:$I$34,"PM 10",'abrasion emissions'!$J$7:$J$34,"urban",'abrasion emissions'!$K$7:$K$34,"Tyre",'abrasion emissions'!$L$7:$L$34,"c")))))/1000000</f>
        <v>5.659176301253236E-6</v>
      </c>
      <c r="CO120" s="7">
        <f>((SUMIFS('abrasion emissions'!$M$7:$M$34,'abrasion emissions'!$I$7:$I$34,"PM 2.5",'abrasion emissions'!$J$7:$J$34,"rural",'abrasion emissions'!$K$7:$K$34,"Tyre",'abrasion emissions'!$L$7:$L$34,"b")*POWER(('vehicles specifications'!$Q120/1000),(1/SUMIFS('abrasion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specifications'!$P120/1000),(1/SUMIFS('abrasion emissions'!$M$7:$M$34,'abrasion emissions'!$I$7:$I$34,"PM 10",'abrasion emissions'!$J$7:$J$34,"rural",'abrasion emissions'!$K$7:$K$34,"Tyre",'abrasion emissions'!$L$7:$L$34,"c")))))/1000000</f>
        <v>4.4081045239699584E-6</v>
      </c>
      <c r="CP120" s="7">
        <f>((SUMIFS('abrasion emissions'!$M$7:$M$34,'abrasion emissions'!$I$7:$I$34,"PM 2.5",'abrasion emissions'!$J$7:$J$34,"motorway",'abrasion emissions'!$K$7:$K$34,"Tyre",'abrasion emissions'!$L$7:$L$34,"b")*POWER(('vehicles specifications'!$Q120/1000),(1/SUMIFS('abrasion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specifications'!$P120/1000),(1/SUMIFS('abrasion emissions'!$M$7:$M$34,'abrasion emissions'!$I$7:$I$34,"PM 10",'abrasion emissions'!$J$7:$J$34,"motorway",'abrasion emissions'!$K$7:$K$34,"Tyre",'abrasion emissions'!$L$7:$L$34,"c")))))/1000000</f>
        <v>3.7661433554494425E-6</v>
      </c>
      <c r="CQ120" s="7">
        <f>((SUMIFS('abrasion emissions'!$M$7:$M$34,'abrasion emissions'!$I$7:$I$34,"PM 2.5",'abrasion emissions'!$J$7:$J$34,"urban",'abrasion emissions'!$K$7:$K$34,"Brake",'abrasion emissions'!$L$7:$L$34,"b")*POWER(('vehicles specifications'!$Q120/1000),(1/SUMIFS('abrasion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specifications'!$P120/1000),(1/SUMIFS('abrasion emissions'!$M$7:$M$34,'abrasion emissions'!$I$7:$I$34,"PM 10",'abrasion emissions'!$J$7:$J$34,"urban",'abrasion emissions'!$K$7:$K$34,"Brake",'abrasion emissions'!$L$7:$L$34,"c")))))/1000000</f>
        <v>5.363314896447151E-6</v>
      </c>
      <c r="CR120" s="7">
        <f>((SUMIFS('abrasion emissions'!$M$7:$M$34,'abrasion emissions'!$I$7:$I$34,"PM 2.5",'abrasion emissions'!$J$7:$J$34,"rural",'abrasion emissions'!$K$7:$K$34,"Brake",'abrasion emissions'!$L$7:$L$34,"b")*POWER(('vehicles specifications'!$Q120/1000),(1/SUMIFS('abrasion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specifications'!$P120/1000),(1/SUMIFS('abrasion emissions'!$M$7:$M$34,'abrasion emissions'!$I$7:$I$34,"PM 10",'abrasion emissions'!$J$7:$J$34,"rural",'abrasion emissions'!$K$7:$K$34,"Brake",'abrasion emissions'!$L$7:$L$34,"c")))))/1000000</f>
        <v>1.6845507492488338E-6</v>
      </c>
      <c r="CS120" s="7">
        <f>((SUMIFS('abrasion emissions'!$M$7:$M$34,'abrasion emissions'!$I$7:$I$34,"PM 2.5",'abrasion emissions'!$J$7:$J$34,"motorway",'abrasion emissions'!$K$7:$K$34,"Brake",'abrasion emissions'!$L$7:$L$34,"b")*POWER(('vehicles specifications'!$Q120/1000),(1/SUMIFS('abrasion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specifications'!$P120/1000),(1/SUMIFS('abrasion emissions'!$M$7:$M$34,'abrasion emissions'!$I$7:$I$34,"PM 10",'abrasion emissions'!$J$7:$J$34,"motorway",'abrasion emissions'!$K$7:$K$34,"Brake",'abrasion emissions'!$L$7:$L$34,"c")))))/1000000</f>
        <v>3.0678676285680688E-7</v>
      </c>
      <c r="CT120" s="7">
        <f>((SUMIFS('abrasion emissions'!$M$7:$M$38,'abrasion emissions'!$I$7:$I$38,"PM 2.5",'abrasion emissions'!$K$7:$K$38,"Re-susp.",'abrasion emissions'!$L$7:$L$38,"b")*POWER(('vehicles specifications'!$Q120/1000),(1/SUMIFS('abrasion emissions'!$M$7:$M$38,'abrasion emissions'!$I$7:$I$38,"PM 2.5",'abrasion emissions'!$K$7:$K$38,"Re-susp.",'abrasion emissions'!$L$7:$L$38,"c"))))+
(SUMIFS('abrasion emissions'!$M$7:$M$38,'abrasion emissions'!$I$7:$I$38,"PM 10",'abrasion emissions'!$K$7:$K$38,"Re-susp.",'abrasion emissions'!$L$7:$L$38,"b")*POWER(('vehicles specifications'!$Q120/1000),(1/SUMIFS('abrasion emissions'!$M$7:$M$38,'abrasion emissions'!$I$7:$I$38,"PM 10",'abrasion emissions'!$K$7:$K$38,"Re-susp.",'abrasion emissions'!$L$7:$L$38,"c")))))/1000000</f>
        <v>3.2012505702254139E-6</v>
      </c>
      <c r="CU120" s="7">
        <f>((SUMIFS('abrasion emissions'!$M$7:$M$38,'abrasion emissions'!$I$7:$I$38,"PM 2.5",'abrasion emissions'!$K$7:$K$38,"Road",'abrasion emissions'!$L$7:$L$38,"b")*POWER(('vehicles specifications'!$Q120/1000),(1/SUMIFS('abrasion emissions'!$M$7:$M$38,'abrasion emissions'!$I$7:$I$38,"PM 2.5",'abrasion emissions'!$K$7:$K$38,"Road",'abrasion emissions'!$L$7:$L$38,"c"))))+
(SUMIFS('abrasion emissions'!$M$7:$M$38,'abrasion emissions'!$I$7:$I$38,"PM 10",'abrasion emissions'!$K$7:$K$38,"Road",'abrasion emissions'!$L$7:$L$38,"b")*POWER(('vehicles specifications'!$Q120/1000),(1/SUMIFS('abrasion emissions'!$M$7:$M$38,'abrasion emissions'!$I$7:$I$38,"PM 10",'abrasion emissions'!$K$7:$K$38,"Road",'abrasion emissions'!$L$7:$L$38,"c")))))/1000000+CT120</f>
        <v>6.279348553390259E-6</v>
      </c>
      <c r="CV120" s="7">
        <f t="shared" si="79"/>
        <v>4.5650299796219703E-6</v>
      </c>
      <c r="CW120" s="7">
        <f t="shared" si="80"/>
        <v>2.4270352948224213E-6</v>
      </c>
    </row>
    <row r="121" spans="1:101" x14ac:dyDescent="0.2">
      <c r="A121" t="str">
        <f t="shared" si="117"/>
        <v>Motorbike, electric, &lt;4kW - 2040 - NMC - CH</v>
      </c>
      <c r="B121" t="s">
        <v>267</v>
      </c>
      <c r="D121" s="18">
        <v>2040</v>
      </c>
      <c r="E121" t="s">
        <v>37</v>
      </c>
      <c r="F121" t="s">
        <v>138</v>
      </c>
      <c r="G121" t="s">
        <v>39</v>
      </c>
      <c r="H121" t="s">
        <v>32</v>
      </c>
      <c r="I121" t="s">
        <v>43</v>
      </c>
      <c r="J121">
        <v>25000</v>
      </c>
      <c r="K121">
        <v>1776</v>
      </c>
      <c r="L121" s="2">
        <f t="shared" si="118"/>
        <v>14.076576576576576</v>
      </c>
      <c r="M121">
        <v>1.1000000000000001</v>
      </c>
      <c r="N121">
        <v>75</v>
      </c>
      <c r="O121">
        <v>6</v>
      </c>
      <c r="P121" s="2">
        <f t="shared" si="119"/>
        <v>76.974999999999994</v>
      </c>
      <c r="Q121" s="2">
        <f t="shared" si="120"/>
        <v>165.47499999999999</v>
      </c>
      <c r="R121">
        <v>2.5</v>
      </c>
      <c r="S121" s="2">
        <v>53</v>
      </c>
      <c r="T121" s="1">
        <v>0.05</v>
      </c>
      <c r="U121" s="2">
        <f t="shared" si="105"/>
        <v>50.349999999999994</v>
      </c>
      <c r="V121" s="2">
        <v>4.5</v>
      </c>
      <c r="W121" s="2">
        <v>7.5</v>
      </c>
      <c r="X121" s="3">
        <v>4.5</v>
      </c>
      <c r="Y121" s="1">
        <v>0.8</v>
      </c>
      <c r="Z121" s="3">
        <f t="shared" si="121"/>
        <v>3.6</v>
      </c>
      <c r="AA121" s="3">
        <f>IF(I121&lt;&gt;"",X121/INDEX('energy battery'!$B$3:$D$6,MATCH('vehicles specifications'!$D121,'energy battery'!$A$3:$A$6,0),MATCH('vehicles specifications'!$I121,'energy battery'!$B$2:$D$2,0)),"")</f>
        <v>11.25</v>
      </c>
      <c r="AB121" s="3">
        <f t="shared" si="115"/>
        <v>3.375</v>
      </c>
      <c r="AC121" s="3">
        <f t="shared" si="122"/>
        <v>14.625</v>
      </c>
      <c r="AD121" s="3">
        <v>0.25</v>
      </c>
      <c r="AE121" s="3">
        <v>0</v>
      </c>
      <c r="AF121">
        <f>AE121*'fuels and tailpipe emissions'!$B$3</f>
        <v>0</v>
      </c>
      <c r="AG121">
        <v>0</v>
      </c>
      <c r="AH121" s="3">
        <v>0</v>
      </c>
      <c r="AI121" s="3">
        <v>3</v>
      </c>
      <c r="AJ121" s="3">
        <v>1</v>
      </c>
      <c r="AK121">
        <f t="shared" si="67"/>
        <v>1</v>
      </c>
      <c r="AL121">
        <f t="shared" si="123"/>
        <v>8.8860074999999998E-5</v>
      </c>
      <c r="AM121">
        <v>1.2899999999999999E-3</v>
      </c>
      <c r="AN121" s="2">
        <f t="shared" si="124"/>
        <v>50.349999999999994</v>
      </c>
      <c r="AO121" s="2">
        <f t="shared" si="125"/>
        <v>12</v>
      </c>
      <c r="AP121" s="2">
        <f t="shared" si="126"/>
        <v>14.625</v>
      </c>
      <c r="AQ121" s="6" t="s">
        <v>85</v>
      </c>
      <c r="AR121" s="20"/>
      <c r="AS121" s="6">
        <v>0.121</v>
      </c>
      <c r="AT121" s="2">
        <f t="shared" si="78"/>
        <v>107.10743801652892</v>
      </c>
      <c r="AU121" s="5">
        <v>0</v>
      </c>
      <c r="AV121" s="5">
        <v>0</v>
      </c>
      <c r="AW121" s="7">
        <v>0</v>
      </c>
      <c r="AX121" s="7">
        <v>0</v>
      </c>
      <c r="AY121" s="7">
        <v>0</v>
      </c>
      <c r="AZ121" s="7">
        <v>0</v>
      </c>
      <c r="BA121" s="7">
        <v>0</v>
      </c>
      <c r="BB121" s="7">
        <v>0</v>
      </c>
      <c r="BC121" s="7">
        <v>0</v>
      </c>
      <c r="BD121" s="7">
        <v>0</v>
      </c>
      <c r="BE121" s="7">
        <v>0</v>
      </c>
      <c r="BF121" s="7">
        <v>0</v>
      </c>
      <c r="BG121" s="7">
        <v>0</v>
      </c>
      <c r="BH121" s="7">
        <v>0</v>
      </c>
      <c r="BI121" s="7">
        <v>0</v>
      </c>
      <c r="BJ121" s="7">
        <v>0</v>
      </c>
      <c r="BK121" s="7">
        <v>0</v>
      </c>
      <c r="BL121" s="7">
        <v>0</v>
      </c>
      <c r="BM121" s="7">
        <v>0</v>
      </c>
      <c r="BN121" s="7">
        <v>0</v>
      </c>
      <c r="BO121" s="7">
        <v>0</v>
      </c>
      <c r="BP121" s="7">
        <v>0</v>
      </c>
      <c r="BQ121" s="7">
        <v>0</v>
      </c>
      <c r="BR121" s="7">
        <v>0</v>
      </c>
      <c r="BS121" s="7">
        <v>0</v>
      </c>
      <c r="BT121" s="7">
        <v>0</v>
      </c>
      <c r="BU121" s="7">
        <v>0</v>
      </c>
      <c r="BV121" s="7">
        <v>0</v>
      </c>
      <c r="BW121" s="7">
        <v>0</v>
      </c>
      <c r="BX121" s="7">
        <v>0</v>
      </c>
      <c r="BY121" s="7">
        <v>0</v>
      </c>
      <c r="BZ121" s="7">
        <v>0</v>
      </c>
      <c r="CA121" s="7">
        <v>0</v>
      </c>
      <c r="CB121" s="7">
        <v>0</v>
      </c>
      <c r="CC121" s="7">
        <v>0</v>
      </c>
      <c r="CD121" s="7">
        <v>0</v>
      </c>
      <c r="CE121" s="7">
        <v>0</v>
      </c>
      <c r="CF121" s="7">
        <v>0</v>
      </c>
      <c r="CG121" s="7">
        <v>0</v>
      </c>
      <c r="CH121" s="7">
        <v>0</v>
      </c>
      <c r="CI121" s="7">
        <v>0</v>
      </c>
      <c r="CJ121" s="7">
        <v>0</v>
      </c>
      <c r="CK121" s="38">
        <f>VLOOKUP($B121,'abrasion emissions'!$O$7:$R$36,2,FALSE)</f>
        <v>0.33</v>
      </c>
      <c r="CL121" s="38">
        <f>VLOOKUP($B121,'abrasion emissions'!$O$7:$R$36,3,FALSE)</f>
        <v>0.33</v>
      </c>
      <c r="CM121" s="38">
        <f>VLOOKUP($B121,'abrasion emissions'!$O$7:$R$36,4,FALSE)</f>
        <v>0.33</v>
      </c>
      <c r="CN121" s="7">
        <f>((SUMIFS('abrasion emissions'!$M$7:$M$34,'abrasion emissions'!$I$7:$I$34,"PM 2.5",'abrasion emissions'!$J$7:$J$34,"urban",'abrasion emissions'!$K$7:$K$34,"Tyre",'abrasion emissions'!$L$7:$L$34,"b")*POWER(('vehicles specifications'!$Q121/1000),(1/SUMIFS('abrasion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specifications'!$P121/1000),(1/SUMIFS('abrasion emissions'!$M$7:$M$34,'abrasion emissions'!$I$7:$I$34,"PM 10",'abrasion emissions'!$J$7:$J$34,"urban",'abrasion emissions'!$K$7:$K$34,"Tyre",'abrasion emissions'!$L$7:$L$34,"c")))))/1000000</f>
        <v>5.6529673610133226E-6</v>
      </c>
      <c r="CO121" s="7">
        <f>((SUMIFS('abrasion emissions'!$M$7:$M$34,'abrasion emissions'!$I$7:$I$34,"PM 2.5",'abrasion emissions'!$J$7:$J$34,"rural",'abrasion emissions'!$K$7:$K$34,"Tyre",'abrasion emissions'!$L$7:$L$34,"b")*POWER(('vehicles specifications'!$Q121/1000),(1/SUMIFS('abrasion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specifications'!$P121/1000),(1/SUMIFS('abrasion emissions'!$M$7:$M$34,'abrasion emissions'!$I$7:$I$34,"PM 10",'abrasion emissions'!$J$7:$J$34,"rural",'abrasion emissions'!$K$7:$K$34,"Tyre",'abrasion emissions'!$L$7:$L$34,"c")))))/1000000</f>
        <v>4.4032734973734583E-6</v>
      </c>
      <c r="CP121" s="7">
        <f>((SUMIFS('abrasion emissions'!$M$7:$M$34,'abrasion emissions'!$I$7:$I$34,"PM 2.5",'abrasion emissions'!$J$7:$J$34,"motorway",'abrasion emissions'!$K$7:$K$34,"Tyre",'abrasion emissions'!$L$7:$L$34,"b")*POWER(('vehicles specifications'!$Q121/1000),(1/SUMIFS('abrasion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specifications'!$P121/1000),(1/SUMIFS('abrasion emissions'!$M$7:$M$34,'abrasion emissions'!$I$7:$I$34,"PM 10",'abrasion emissions'!$J$7:$J$34,"motorway",'abrasion emissions'!$K$7:$K$34,"Tyre",'abrasion emissions'!$L$7:$L$34,"c")))))/1000000</f>
        <v>3.7620291946392282E-6</v>
      </c>
      <c r="CQ121" s="7">
        <f>((SUMIFS('abrasion emissions'!$M$7:$M$34,'abrasion emissions'!$I$7:$I$34,"PM 2.5",'abrasion emissions'!$J$7:$J$34,"urban",'abrasion emissions'!$K$7:$K$34,"Brake",'abrasion emissions'!$L$7:$L$34,"b")*POWER(('vehicles specifications'!$Q121/1000),(1/SUMIFS('abrasion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specifications'!$P121/1000),(1/SUMIFS('abrasion emissions'!$M$7:$M$34,'abrasion emissions'!$I$7:$I$34,"PM 10",'abrasion emissions'!$J$7:$J$34,"urban",'abrasion emissions'!$K$7:$K$34,"Brake",'abrasion emissions'!$L$7:$L$34,"c")))))/1000000</f>
        <v>5.3569771884283161E-6</v>
      </c>
      <c r="CR121" s="7">
        <f>((SUMIFS('abrasion emissions'!$M$7:$M$34,'abrasion emissions'!$I$7:$I$34,"PM 2.5",'abrasion emissions'!$J$7:$J$34,"rural",'abrasion emissions'!$K$7:$K$34,"Brake",'abrasion emissions'!$L$7:$L$34,"b")*POWER(('vehicles specifications'!$Q121/1000),(1/SUMIFS('abrasion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specifications'!$P121/1000),(1/SUMIFS('abrasion emissions'!$M$7:$M$34,'abrasion emissions'!$I$7:$I$34,"PM 10",'abrasion emissions'!$J$7:$J$34,"rural",'abrasion emissions'!$K$7:$K$34,"Brake",'abrasion emissions'!$L$7:$L$34,"c")))))/1000000</f>
        <v>1.6820523805501958E-6</v>
      </c>
      <c r="CS121" s="7">
        <f>((SUMIFS('abrasion emissions'!$M$7:$M$34,'abrasion emissions'!$I$7:$I$34,"PM 2.5",'abrasion emissions'!$J$7:$J$34,"motorway",'abrasion emissions'!$K$7:$K$34,"Brake",'abrasion emissions'!$L$7:$L$34,"b")*POWER(('vehicles specifications'!$Q121/1000),(1/SUMIFS('abrasion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specifications'!$P121/1000),(1/SUMIFS('abrasion emissions'!$M$7:$M$34,'abrasion emissions'!$I$7:$I$34,"PM 10",'abrasion emissions'!$J$7:$J$34,"motorway",'abrasion emissions'!$K$7:$K$34,"Brake",'abrasion emissions'!$L$7:$L$34,"c")))))/1000000</f>
        <v>3.062677106110383E-7</v>
      </c>
      <c r="CT121" s="7">
        <f>((SUMIFS('abrasion emissions'!$M$7:$M$38,'abrasion emissions'!$I$7:$I$38,"PM 2.5",'abrasion emissions'!$K$7:$K$38,"Re-susp.",'abrasion emissions'!$L$7:$L$38,"b")*POWER(('vehicles specifications'!$Q121/1000),(1/SUMIFS('abrasion emissions'!$M$7:$M$38,'abrasion emissions'!$I$7:$I$38,"PM 2.5",'abrasion emissions'!$K$7:$K$38,"Re-susp.",'abrasion emissions'!$L$7:$L$38,"c"))))+
(SUMIFS('abrasion emissions'!$M$7:$M$38,'abrasion emissions'!$I$7:$I$38,"PM 10",'abrasion emissions'!$K$7:$K$38,"Re-susp.",'abrasion emissions'!$L$7:$L$38,"b")*POWER(('vehicles specifications'!$Q121/1000),(1/SUMIFS('abrasion emissions'!$M$7:$M$38,'abrasion emissions'!$I$7:$I$38,"PM 10",'abrasion emissions'!$K$7:$K$38,"Re-susp.",'abrasion emissions'!$L$7:$L$38,"c")))))/1000000</f>
        <v>3.1959543400666284E-6</v>
      </c>
      <c r="CU121" s="7">
        <f>((SUMIFS('abrasion emissions'!$M$7:$M$38,'abrasion emissions'!$I$7:$I$38,"PM 2.5",'abrasion emissions'!$K$7:$K$38,"Road",'abrasion emissions'!$L$7:$L$38,"b")*POWER(('vehicles specifications'!$Q121/1000),(1/SUMIFS('abrasion emissions'!$M$7:$M$38,'abrasion emissions'!$I$7:$I$38,"PM 2.5",'abrasion emissions'!$K$7:$K$38,"Road",'abrasion emissions'!$L$7:$L$38,"c"))))+
(SUMIFS('abrasion emissions'!$M$7:$M$38,'abrasion emissions'!$I$7:$I$38,"PM 10",'abrasion emissions'!$K$7:$K$38,"Road",'abrasion emissions'!$L$7:$L$38,"b")*POWER(('vehicles specifications'!$Q121/1000),(1/SUMIFS('abrasion emissions'!$M$7:$M$38,'abrasion emissions'!$I$7:$I$38,"PM 10",'abrasion emissions'!$K$7:$K$38,"Road",'abrasion emissions'!$L$7:$L$38,"c")))))/1000000+CT121</f>
        <v>6.2703170110420856E-6</v>
      </c>
      <c r="CV121" s="7">
        <f t="shared" si="79"/>
        <v>4.5600291174985831E-6</v>
      </c>
      <c r="CW121" s="7">
        <f t="shared" si="80"/>
        <v>2.4239481022645517E-6</v>
      </c>
    </row>
    <row r="122" spans="1:101" x14ac:dyDescent="0.2">
      <c r="A122" t="str">
        <f t="shared" si="117"/>
        <v>Motorbike, electric, &lt;4kW - 2050 - NMC - CH</v>
      </c>
      <c r="B122" t="s">
        <v>267</v>
      </c>
      <c r="D122" s="18">
        <v>2050</v>
      </c>
      <c r="E122" t="s">
        <v>37</v>
      </c>
      <c r="F122" t="s">
        <v>138</v>
      </c>
      <c r="G122" t="s">
        <v>39</v>
      </c>
      <c r="H122" t="s">
        <v>32</v>
      </c>
      <c r="I122" t="s">
        <v>43</v>
      </c>
      <c r="J122">
        <v>25000</v>
      </c>
      <c r="K122">
        <v>1776</v>
      </c>
      <c r="L122" s="2">
        <f t="shared" si="118"/>
        <v>14.076576576576576</v>
      </c>
      <c r="M122">
        <v>1.1000000000000001</v>
      </c>
      <c r="N122">
        <v>75</v>
      </c>
      <c r="O122">
        <v>6</v>
      </c>
      <c r="P122" s="2">
        <f t="shared" si="119"/>
        <v>76.89</v>
      </c>
      <c r="Q122" s="2">
        <f t="shared" si="120"/>
        <v>165.39</v>
      </c>
      <c r="R122">
        <v>2.5</v>
      </c>
      <c r="S122" s="2">
        <v>53</v>
      </c>
      <c r="T122" s="1">
        <v>7.0000000000000007E-2</v>
      </c>
      <c r="U122" s="2">
        <f t="shared" si="105"/>
        <v>49.29</v>
      </c>
      <c r="V122" s="2">
        <v>4.5</v>
      </c>
      <c r="W122" s="2">
        <v>7.5</v>
      </c>
      <c r="X122" s="3">
        <v>6</v>
      </c>
      <c r="Y122" s="1">
        <v>0.8</v>
      </c>
      <c r="Z122" s="3">
        <f t="shared" si="121"/>
        <v>4.8000000000000007</v>
      </c>
      <c r="AA122" s="3">
        <f>IF(I122&lt;&gt;"",X122/INDEX('energy battery'!$B$3:$D$6,MATCH('vehicles specifications'!$D122,'energy battery'!$A$3:$A$6,0),MATCH('vehicles specifications'!$I122,'energy battery'!$B$2:$D$2,0)),"")</f>
        <v>12</v>
      </c>
      <c r="AB122" s="3">
        <f t="shared" si="115"/>
        <v>3.5999999999999996</v>
      </c>
      <c r="AC122" s="3">
        <f t="shared" si="122"/>
        <v>15.6</v>
      </c>
      <c r="AD122" s="3">
        <v>0</v>
      </c>
      <c r="AE122" s="3">
        <v>0</v>
      </c>
      <c r="AF122">
        <f>AE122*'fuels and tailpipe emissions'!$B$3</f>
        <v>0</v>
      </c>
      <c r="AG122">
        <v>0</v>
      </c>
      <c r="AH122" s="3">
        <v>0</v>
      </c>
      <c r="AI122" s="3">
        <v>3</v>
      </c>
      <c r="AJ122" s="3">
        <v>1</v>
      </c>
      <c r="AK122">
        <f t="shared" si="67"/>
        <v>1</v>
      </c>
      <c r="AL122">
        <f t="shared" si="123"/>
        <v>8.8814429999999997E-5</v>
      </c>
      <c r="AM122">
        <v>1.2899999999999999E-3</v>
      </c>
      <c r="AN122" s="2">
        <f t="shared" si="124"/>
        <v>49.29</v>
      </c>
      <c r="AO122" s="2">
        <f t="shared" si="125"/>
        <v>12</v>
      </c>
      <c r="AP122" s="2">
        <f t="shared" si="126"/>
        <v>15.6</v>
      </c>
      <c r="AQ122" s="6" t="s">
        <v>85</v>
      </c>
      <c r="AR122" s="20"/>
      <c r="AS122" s="6">
        <v>0.121</v>
      </c>
      <c r="AT122" s="2">
        <f t="shared" si="78"/>
        <v>142.80991735537191</v>
      </c>
      <c r="AU122" s="5">
        <v>0</v>
      </c>
      <c r="AV122" s="5">
        <v>0</v>
      </c>
      <c r="AW122" s="7">
        <v>0</v>
      </c>
      <c r="AX122" s="7">
        <v>0</v>
      </c>
      <c r="AY122" s="7">
        <v>0</v>
      </c>
      <c r="AZ122" s="7">
        <v>0</v>
      </c>
      <c r="BA122" s="7">
        <v>0</v>
      </c>
      <c r="BB122" s="7">
        <v>0</v>
      </c>
      <c r="BC122" s="7">
        <v>0</v>
      </c>
      <c r="BD122" s="7">
        <v>0</v>
      </c>
      <c r="BE122" s="7">
        <v>0</v>
      </c>
      <c r="BF122" s="7">
        <v>0</v>
      </c>
      <c r="BG122" s="7">
        <v>0</v>
      </c>
      <c r="BH122" s="7">
        <v>0</v>
      </c>
      <c r="BI122" s="7">
        <v>0</v>
      </c>
      <c r="BJ122" s="7">
        <v>0</v>
      </c>
      <c r="BK122" s="7">
        <v>0</v>
      </c>
      <c r="BL122" s="7">
        <v>0</v>
      </c>
      <c r="BM122" s="7">
        <v>0</v>
      </c>
      <c r="BN122" s="7">
        <v>0</v>
      </c>
      <c r="BO122" s="7">
        <v>0</v>
      </c>
      <c r="BP122" s="7">
        <v>0</v>
      </c>
      <c r="BQ122" s="7">
        <v>0</v>
      </c>
      <c r="BR122" s="7">
        <v>0</v>
      </c>
      <c r="BS122" s="7">
        <v>0</v>
      </c>
      <c r="BT122" s="7">
        <v>0</v>
      </c>
      <c r="BU122" s="7">
        <v>0</v>
      </c>
      <c r="BV122" s="7">
        <v>0</v>
      </c>
      <c r="BW122" s="7">
        <v>0</v>
      </c>
      <c r="BX122" s="7">
        <v>0</v>
      </c>
      <c r="BY122" s="7">
        <v>0</v>
      </c>
      <c r="BZ122" s="7">
        <v>0</v>
      </c>
      <c r="CA122" s="7">
        <v>0</v>
      </c>
      <c r="CB122" s="7">
        <v>0</v>
      </c>
      <c r="CC122" s="7">
        <v>0</v>
      </c>
      <c r="CD122" s="7">
        <v>0</v>
      </c>
      <c r="CE122" s="7">
        <v>0</v>
      </c>
      <c r="CF122" s="7">
        <v>0</v>
      </c>
      <c r="CG122" s="7">
        <v>0</v>
      </c>
      <c r="CH122" s="7">
        <v>0</v>
      </c>
      <c r="CI122" s="7">
        <v>0</v>
      </c>
      <c r="CJ122" s="7">
        <v>0</v>
      </c>
      <c r="CK122" s="38">
        <f>VLOOKUP($B122,'abrasion emissions'!$O$7:$R$36,2,FALSE)</f>
        <v>0.33</v>
      </c>
      <c r="CL122" s="38">
        <f>VLOOKUP($B122,'abrasion emissions'!$O$7:$R$36,3,FALSE)</f>
        <v>0.33</v>
      </c>
      <c r="CM122" s="38">
        <f>VLOOKUP($B122,'abrasion emissions'!$O$7:$R$36,4,FALSE)</f>
        <v>0.33</v>
      </c>
      <c r="CN122" s="7">
        <f>((SUMIFS('abrasion emissions'!$M$7:$M$34,'abrasion emissions'!$I$7:$I$34,"PM 2.5",'abrasion emissions'!$J$7:$J$34,"urban",'abrasion emissions'!$K$7:$K$34,"Tyre",'abrasion emissions'!$L$7:$L$34,"b")*POWER(('vehicles specifications'!$Q122/1000),(1/SUMIFS('abrasion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specifications'!$P122/1000),(1/SUMIFS('abrasion emissions'!$M$7:$M$34,'abrasion emissions'!$I$7:$I$34,"PM 10",'abrasion emissions'!$J$7:$J$34,"urban",'abrasion emissions'!$K$7:$K$34,"Tyre",'abrasion emissions'!$L$7:$L$34,"c")))))/1000000</f>
        <v>5.6512160332706273E-6</v>
      </c>
      <c r="CO122" s="7">
        <f>((SUMIFS('abrasion emissions'!$M$7:$M$34,'abrasion emissions'!$I$7:$I$34,"PM 2.5",'abrasion emissions'!$J$7:$J$34,"rural",'abrasion emissions'!$K$7:$K$34,"Tyre",'abrasion emissions'!$L$7:$L$34,"b")*POWER(('vehicles specifications'!$Q122/1000),(1/SUMIFS('abrasion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specifications'!$P122/1000),(1/SUMIFS('abrasion emissions'!$M$7:$M$34,'abrasion emissions'!$I$7:$I$34,"PM 10",'abrasion emissions'!$J$7:$J$34,"rural",'abrasion emissions'!$K$7:$K$34,"Tyre",'abrasion emissions'!$L$7:$L$34,"c")))))/1000000</f>
        <v>4.4019108330439076E-6</v>
      </c>
      <c r="CP122" s="7">
        <f>((SUMIFS('abrasion emissions'!$M$7:$M$34,'abrasion emissions'!$I$7:$I$34,"PM 2.5",'abrasion emissions'!$J$7:$J$34,"motorway",'abrasion emissions'!$K$7:$K$34,"Tyre",'abrasion emissions'!$L$7:$L$34,"b")*POWER(('vehicles specifications'!$Q122/1000),(1/SUMIFS('abrasion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specifications'!$P122/1000),(1/SUMIFS('abrasion emissions'!$M$7:$M$34,'abrasion emissions'!$I$7:$I$34,"PM 10",'abrasion emissions'!$J$7:$J$34,"motorway",'abrasion emissions'!$K$7:$K$34,"Tyre",'abrasion emissions'!$L$7:$L$34,"c")))))/1000000</f>
        <v>3.760868737027827E-6</v>
      </c>
      <c r="CQ122" s="7">
        <f>((SUMIFS('abrasion emissions'!$M$7:$M$34,'abrasion emissions'!$I$7:$I$34,"PM 2.5",'abrasion emissions'!$J$7:$J$34,"urban",'abrasion emissions'!$K$7:$K$34,"Brake",'abrasion emissions'!$L$7:$L$34,"b")*POWER(('vehicles specifications'!$Q122/1000),(1/SUMIFS('abrasion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specifications'!$P122/1000),(1/SUMIFS('abrasion emissions'!$M$7:$M$34,'abrasion emissions'!$I$7:$I$34,"PM 10",'abrasion emissions'!$J$7:$J$34,"urban",'abrasion emissions'!$K$7:$K$34,"Brake",'abrasion emissions'!$L$7:$L$34,"c")))))/1000000</f>
        <v>5.3551900351475154E-6</v>
      </c>
      <c r="CR122" s="7">
        <f>((SUMIFS('abrasion emissions'!$M$7:$M$34,'abrasion emissions'!$I$7:$I$34,"PM 2.5",'abrasion emissions'!$J$7:$J$34,"rural",'abrasion emissions'!$K$7:$K$34,"Brake",'abrasion emissions'!$L$7:$L$34,"b")*POWER(('vehicles specifications'!$Q122/1000),(1/SUMIFS('abrasion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specifications'!$P122/1000),(1/SUMIFS('abrasion emissions'!$M$7:$M$34,'abrasion emissions'!$I$7:$I$34,"PM 10",'abrasion emissions'!$J$7:$J$34,"rural",'abrasion emissions'!$K$7:$K$34,"Brake",'abrasion emissions'!$L$7:$L$34,"c")))))/1000000</f>
        <v>1.6813480390255736E-6</v>
      </c>
      <c r="CS122" s="7">
        <f>((SUMIFS('abrasion emissions'!$M$7:$M$34,'abrasion emissions'!$I$7:$I$34,"PM 2.5",'abrasion emissions'!$J$7:$J$34,"motorway",'abrasion emissions'!$K$7:$K$34,"Brake",'abrasion emissions'!$L$7:$L$34,"b")*POWER(('vehicles specifications'!$Q122/1000),(1/SUMIFS('abrasion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specifications'!$P122/1000),(1/SUMIFS('abrasion emissions'!$M$7:$M$34,'abrasion emissions'!$I$7:$I$34,"PM 10",'abrasion emissions'!$J$7:$J$34,"motorway",'abrasion emissions'!$K$7:$K$34,"Brake",'abrasion emissions'!$L$7:$L$34,"c")))))/1000000</f>
        <v>3.0612140427140868E-7</v>
      </c>
      <c r="CT122" s="7">
        <f>((SUMIFS('abrasion emissions'!$M$7:$M$38,'abrasion emissions'!$I$7:$I$38,"PM 2.5",'abrasion emissions'!$K$7:$K$38,"Re-susp.",'abrasion emissions'!$L$7:$L$38,"b")*POWER(('vehicles specifications'!$Q122/1000),(1/SUMIFS('abrasion emissions'!$M$7:$M$38,'abrasion emissions'!$I$7:$I$38,"PM 2.5",'abrasion emissions'!$K$7:$K$38,"Re-susp.",'abrasion emissions'!$L$7:$L$38,"c"))))+
(SUMIFS('abrasion emissions'!$M$7:$M$38,'abrasion emissions'!$I$7:$I$38,"PM 10",'abrasion emissions'!$K$7:$K$38,"Re-susp.",'abrasion emissions'!$L$7:$L$38,"b")*POWER(('vehicles specifications'!$Q122/1000),(1/SUMIFS('abrasion emissions'!$M$7:$M$38,'abrasion emissions'!$I$7:$I$38,"PM 10",'abrasion emissions'!$K$7:$K$38,"Re-susp.",'abrasion emissions'!$L$7:$L$38,"c")))))/1000000</f>
        <v>3.194461873679645E-6</v>
      </c>
      <c r="CU122" s="7">
        <f>((SUMIFS('abrasion emissions'!$M$7:$M$38,'abrasion emissions'!$I$7:$I$38,"PM 2.5",'abrasion emissions'!$K$7:$K$38,"Road",'abrasion emissions'!$L$7:$L$38,"b")*POWER(('vehicles specifications'!$Q122/1000),(1/SUMIFS('abrasion emissions'!$M$7:$M$38,'abrasion emissions'!$I$7:$I$38,"PM 2.5",'abrasion emissions'!$K$7:$K$38,"Road",'abrasion emissions'!$L$7:$L$38,"c"))))+
(SUMIFS('abrasion emissions'!$M$7:$M$38,'abrasion emissions'!$I$7:$I$38,"PM 10",'abrasion emissions'!$K$7:$K$38,"Road",'abrasion emissions'!$L$7:$L$38,"b")*POWER(('vehicles specifications'!$Q122/1000),(1/SUMIFS('abrasion emissions'!$M$7:$M$38,'abrasion emissions'!$I$7:$I$38,"PM 10",'abrasion emissions'!$K$7:$K$38,"Road",'abrasion emissions'!$L$7:$L$38,"c")))))/1000000+CT122</f>
        <v>6.267771643595028E-6</v>
      </c>
      <c r="CV122" s="7">
        <f t="shared" si="79"/>
        <v>4.5586185491029798E-6</v>
      </c>
      <c r="CW122" s="7">
        <f t="shared" si="80"/>
        <v>2.4230776278866842E-6</v>
      </c>
    </row>
    <row r="123" spans="1:101" x14ac:dyDescent="0.2">
      <c r="A123" t="str">
        <f t="shared" si="117"/>
        <v>Motorbike, electric, 4-11kW - 2020 - NMC - CH</v>
      </c>
      <c r="B123" t="s">
        <v>268</v>
      </c>
      <c r="D123" s="18">
        <v>2020</v>
      </c>
      <c r="E123" t="s">
        <v>37</v>
      </c>
      <c r="F123" t="s">
        <v>138</v>
      </c>
      <c r="G123" t="s">
        <v>39</v>
      </c>
      <c r="H123" t="s">
        <v>32</v>
      </c>
      <c r="I123" t="s">
        <v>43</v>
      </c>
      <c r="J123">
        <v>25000</v>
      </c>
      <c r="K123">
        <v>1776</v>
      </c>
      <c r="L123" s="2">
        <f t="shared" si="118"/>
        <v>14.076576576576576</v>
      </c>
      <c r="M123">
        <v>1.1000000000000001</v>
      </c>
      <c r="N123">
        <v>75</v>
      </c>
      <c r="O123">
        <v>6</v>
      </c>
      <c r="P123" s="2">
        <f t="shared" si="119"/>
        <v>117.00074044049273</v>
      </c>
      <c r="Q123" s="2">
        <f t="shared" si="120"/>
        <v>205.50074044049273</v>
      </c>
      <c r="R123">
        <v>4.7</v>
      </c>
      <c r="S123" s="2">
        <v>65.433826960328489</v>
      </c>
      <c r="T123" s="1">
        <v>0</v>
      </c>
      <c r="U123" s="2">
        <f t="shared" si="105"/>
        <v>65.433826960328489</v>
      </c>
      <c r="V123" s="2">
        <f>S123*0.2</f>
        <v>13.086765392065699</v>
      </c>
      <c r="W123" s="2">
        <f>U123*0.3</f>
        <v>19.630148088098547</v>
      </c>
      <c r="X123" s="3">
        <v>2.9</v>
      </c>
      <c r="Y123" s="1">
        <v>0.8</v>
      </c>
      <c r="Z123" s="3">
        <f t="shared" si="121"/>
        <v>2.3199999999999998</v>
      </c>
      <c r="AA123" s="3">
        <f>IF(I123&lt;&gt;"",X123/INDEX('energy battery'!$B$3:$D$6,MATCH('vehicles specifications'!$D123,'energy battery'!$A$3:$A$6,0),MATCH('vehicles specifications'!$I123,'energy battery'!$B$2:$D$2,0)),"")</f>
        <v>14.499999999999998</v>
      </c>
      <c r="AB123" s="3">
        <f t="shared" si="115"/>
        <v>4.3499999999999996</v>
      </c>
      <c r="AC123" s="3">
        <f t="shared" si="122"/>
        <v>18.849999999999998</v>
      </c>
      <c r="AD123" s="3">
        <v>1</v>
      </c>
      <c r="AE123" s="3">
        <v>0</v>
      </c>
      <c r="AF123">
        <f>AE123*'fuels and tailpipe emissions'!$B$3</f>
        <v>0</v>
      </c>
      <c r="AG123">
        <v>0</v>
      </c>
      <c r="AH123" s="3">
        <v>0</v>
      </c>
      <c r="AI123" s="3">
        <v>3</v>
      </c>
      <c r="AJ123" s="3">
        <v>1</v>
      </c>
      <c r="AK123">
        <f t="shared" si="67"/>
        <v>1</v>
      </c>
      <c r="AL123">
        <f t="shared" si="123"/>
        <v>1.103538976165446E-4</v>
      </c>
      <c r="AM123">
        <v>1.2899999999999999E-3</v>
      </c>
      <c r="AN123" s="2">
        <f t="shared" si="124"/>
        <v>65.433826960328489</v>
      </c>
      <c r="AO123" s="2">
        <f t="shared" si="125"/>
        <v>32.716913480164244</v>
      </c>
      <c r="AP123" s="2">
        <f t="shared" si="126"/>
        <v>18.849999999999998</v>
      </c>
      <c r="AQ123" s="6" t="s">
        <v>85</v>
      </c>
      <c r="AR123" s="20"/>
      <c r="AS123" s="6">
        <v>0.182</v>
      </c>
      <c r="AT123" s="2">
        <f t="shared" si="78"/>
        <v>45.890109890109891</v>
      </c>
      <c r="AU123" s="5">
        <v>0</v>
      </c>
      <c r="AV123" s="5">
        <v>0</v>
      </c>
      <c r="AW123" s="7">
        <v>0</v>
      </c>
      <c r="AX123" s="7">
        <v>0</v>
      </c>
      <c r="AY123" s="7">
        <v>0</v>
      </c>
      <c r="AZ123" s="7">
        <v>0</v>
      </c>
      <c r="BA123" s="7">
        <v>0</v>
      </c>
      <c r="BB123" s="7">
        <v>0</v>
      </c>
      <c r="BC123" s="7">
        <v>0</v>
      </c>
      <c r="BD123" s="7">
        <v>0</v>
      </c>
      <c r="BE123" s="7">
        <v>0</v>
      </c>
      <c r="BF123" s="7">
        <v>0</v>
      </c>
      <c r="BG123" s="7">
        <v>0</v>
      </c>
      <c r="BH123" s="7">
        <v>0</v>
      </c>
      <c r="BI123" s="7">
        <v>0</v>
      </c>
      <c r="BJ123" s="7">
        <v>0</v>
      </c>
      <c r="BK123" s="7">
        <v>0</v>
      </c>
      <c r="BL123" s="7">
        <v>0</v>
      </c>
      <c r="BM123" s="7">
        <v>0</v>
      </c>
      <c r="BN123" s="7">
        <v>0</v>
      </c>
      <c r="BO123" s="7">
        <v>0</v>
      </c>
      <c r="BP123" s="7">
        <v>0</v>
      </c>
      <c r="BQ123" s="7">
        <v>0</v>
      </c>
      <c r="BR123" s="7">
        <v>0</v>
      </c>
      <c r="BS123" s="7">
        <v>0</v>
      </c>
      <c r="BT123" s="7">
        <v>0</v>
      </c>
      <c r="BU123" s="7">
        <v>0</v>
      </c>
      <c r="BV123" s="7">
        <v>0</v>
      </c>
      <c r="BW123" s="7">
        <v>0</v>
      </c>
      <c r="BX123" s="7">
        <v>0</v>
      </c>
      <c r="BY123" s="7">
        <v>0</v>
      </c>
      <c r="BZ123" s="7">
        <v>0</v>
      </c>
      <c r="CA123" s="7">
        <v>0</v>
      </c>
      <c r="CB123" s="7">
        <v>0</v>
      </c>
      <c r="CC123" s="7">
        <v>0</v>
      </c>
      <c r="CD123" s="7">
        <v>0</v>
      </c>
      <c r="CE123" s="7">
        <v>0</v>
      </c>
      <c r="CF123" s="7">
        <v>0</v>
      </c>
      <c r="CG123" s="7">
        <v>0</v>
      </c>
      <c r="CH123" s="7">
        <v>0</v>
      </c>
      <c r="CI123" s="7">
        <v>0</v>
      </c>
      <c r="CJ123" s="7">
        <v>0</v>
      </c>
      <c r="CK123" s="38">
        <f>VLOOKUP($B123,'abrasion emissions'!$O$7:$R$36,2,FALSE)</f>
        <v>0.33</v>
      </c>
      <c r="CL123" s="38">
        <f>VLOOKUP($B123,'abrasion emissions'!$O$7:$R$36,3,FALSE)</f>
        <v>0.33</v>
      </c>
      <c r="CM123" s="38">
        <f>VLOOKUP($B123,'abrasion emissions'!$O$7:$R$36,4,FALSE)</f>
        <v>0.33</v>
      </c>
      <c r="CN123" s="7">
        <f>((SUMIFS('abrasion emissions'!$M$7:$M$34,'abrasion emissions'!$I$7:$I$34,"PM 2.5",'abrasion emissions'!$J$7:$J$34,"urban",'abrasion emissions'!$K$7:$K$34,"Tyre",'abrasion emissions'!$L$7:$L$34,"b")*POWER(('vehicles specifications'!$Q123/1000),(1/SUMIFS('abrasion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specifications'!$P123/1000),(1/SUMIFS('abrasion emissions'!$M$7:$M$34,'abrasion emissions'!$I$7:$I$34,"PM 10",'abrasion emissions'!$J$7:$J$34,"urban",'abrasion emissions'!$K$7:$K$34,"Tyre",'abrasion emissions'!$L$7:$L$34,"c")))))/1000000</f>
        <v>6.4032058944577471E-6</v>
      </c>
      <c r="CO123" s="7">
        <f>((SUMIFS('abrasion emissions'!$M$7:$M$34,'abrasion emissions'!$I$7:$I$34,"PM 2.5",'abrasion emissions'!$J$7:$J$34,"rural",'abrasion emissions'!$K$7:$K$34,"Tyre",'abrasion emissions'!$L$7:$L$34,"b")*POWER(('vehicles specifications'!$Q123/1000),(1/SUMIFS('abrasion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specifications'!$P123/1000),(1/SUMIFS('abrasion emissions'!$M$7:$M$34,'abrasion emissions'!$I$7:$I$34,"PM 10",'abrasion emissions'!$J$7:$J$34,"rural",'abrasion emissions'!$K$7:$K$34,"Tyre",'abrasion emissions'!$L$7:$L$34,"c")))))/1000000</f>
        <v>4.9870687432281838E-6</v>
      </c>
      <c r="CP123" s="7">
        <f>((SUMIFS('abrasion emissions'!$M$7:$M$34,'abrasion emissions'!$I$7:$I$34,"PM 2.5",'abrasion emissions'!$J$7:$J$34,"motorway",'abrasion emissions'!$K$7:$K$34,"Tyre",'abrasion emissions'!$L$7:$L$34,"b")*POWER(('vehicles specifications'!$Q123/1000),(1/SUMIFS('abrasion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specifications'!$P123/1000),(1/SUMIFS('abrasion emissions'!$M$7:$M$34,'abrasion emissions'!$I$7:$I$34,"PM 10",'abrasion emissions'!$J$7:$J$34,"motorway",'abrasion emissions'!$K$7:$K$34,"Tyre",'abrasion emissions'!$L$7:$L$34,"c")))))/1000000</f>
        <v>4.2593287971455628E-6</v>
      </c>
      <c r="CQ123" s="7">
        <f>((SUMIFS('abrasion emissions'!$M$7:$M$34,'abrasion emissions'!$I$7:$I$34,"PM 2.5",'abrasion emissions'!$J$7:$J$34,"urban",'abrasion emissions'!$K$7:$K$34,"Brake",'abrasion emissions'!$L$7:$L$34,"b")*POWER(('vehicles specifications'!$Q123/1000),(1/SUMIFS('abrasion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specifications'!$P123/1000),(1/SUMIFS('abrasion emissions'!$M$7:$M$34,'abrasion emissions'!$I$7:$I$34,"PM 10",'abrasion emissions'!$J$7:$J$34,"urban",'abrasion emissions'!$K$7:$K$34,"Brake",'abrasion emissions'!$L$7:$L$34,"c")))))/1000000</f>
        <v>6.1409243643120408E-6</v>
      </c>
      <c r="CR123" s="7">
        <f>((SUMIFS('abrasion emissions'!$M$7:$M$34,'abrasion emissions'!$I$7:$I$34,"PM 2.5",'abrasion emissions'!$J$7:$J$34,"rural",'abrasion emissions'!$K$7:$K$34,"Brake",'abrasion emissions'!$L$7:$L$34,"b")*POWER(('vehicles specifications'!$Q123/1000),(1/SUMIFS('abrasion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specifications'!$P123/1000),(1/SUMIFS('abrasion emissions'!$M$7:$M$34,'abrasion emissions'!$I$7:$I$34,"PM 10",'abrasion emissions'!$J$7:$J$34,"rural",'abrasion emissions'!$K$7:$K$34,"Brake",'abrasion emissions'!$L$7:$L$34,"c")))))/1000000</f>
        <v>1.9976599220836484E-6</v>
      </c>
      <c r="CS123" s="7">
        <f>((SUMIFS('abrasion emissions'!$M$7:$M$34,'abrasion emissions'!$I$7:$I$34,"PM 2.5",'abrasion emissions'!$J$7:$J$34,"motorway",'abrasion emissions'!$K$7:$K$34,"Brake",'abrasion emissions'!$L$7:$L$34,"b")*POWER(('vehicles specifications'!$Q123/1000),(1/SUMIFS('abrasion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specifications'!$P123/1000),(1/SUMIFS('abrasion emissions'!$M$7:$M$34,'abrasion emissions'!$I$7:$I$34,"PM 10",'abrasion emissions'!$J$7:$J$34,"motorway",'abrasion emissions'!$K$7:$K$34,"Brake",'abrasion emissions'!$L$7:$L$34,"c")))))/1000000</f>
        <v>3.7285634134669242E-7</v>
      </c>
      <c r="CT123" s="7">
        <f>((SUMIFS('abrasion emissions'!$M$7:$M$38,'abrasion emissions'!$I$7:$I$38,"PM 2.5",'abrasion emissions'!$K$7:$K$38,"Re-susp.",'abrasion emissions'!$L$7:$L$38,"b")*POWER(('vehicles specifications'!$Q123/1000),(1/SUMIFS('abrasion emissions'!$M$7:$M$38,'abrasion emissions'!$I$7:$I$38,"PM 2.5",'abrasion emissions'!$K$7:$K$38,"Re-susp.",'abrasion emissions'!$L$7:$L$38,"c"))))+
(SUMIFS('abrasion emissions'!$M$7:$M$38,'abrasion emissions'!$I$7:$I$38,"PM 10",'abrasion emissions'!$K$7:$K$38,"Re-susp.",'abrasion emissions'!$L$7:$L$38,"b")*POWER(('vehicles specifications'!$Q123/1000),(1/SUMIFS('abrasion emissions'!$M$7:$M$38,'abrasion emissions'!$I$7:$I$38,"PM 10",'abrasion emissions'!$K$7:$K$38,"Re-susp.",'abrasion emissions'!$L$7:$L$38,"c")))))/1000000</f>
        <v>3.8916049665569578E-6</v>
      </c>
      <c r="CU123" s="7">
        <f>((SUMIFS('abrasion emissions'!$M$7:$M$38,'abrasion emissions'!$I$7:$I$38,"PM 2.5",'abrasion emissions'!$K$7:$K$38,"Road",'abrasion emissions'!$L$7:$L$38,"b")*POWER(('vehicles specifications'!$Q123/1000),(1/SUMIFS('abrasion emissions'!$M$7:$M$38,'abrasion emissions'!$I$7:$I$38,"PM 2.5",'abrasion emissions'!$K$7:$K$38,"Road",'abrasion emissions'!$L$7:$L$38,"c"))))+
(SUMIFS('abrasion emissions'!$M$7:$M$38,'abrasion emissions'!$I$7:$I$38,"PM 10",'abrasion emissions'!$K$7:$K$38,"Road",'abrasion emissions'!$L$7:$L$38,"b")*POWER(('vehicles specifications'!$Q123/1000),(1/SUMIFS('abrasion emissions'!$M$7:$M$38,'abrasion emissions'!$I$7:$I$38,"PM 10",'abrasion emissions'!$K$7:$K$38,"Road",'abrasion emissions'!$L$7:$L$38,"c")))))/1000000+CT123</f>
        <v>7.4436279381371631E-6</v>
      </c>
      <c r="CV123" s="7">
        <f t="shared" si="79"/>
        <v>5.1643691334943926E-6</v>
      </c>
      <c r="CW123" s="7">
        <f t="shared" si="80"/>
        <v>2.8087754071549858E-6</v>
      </c>
    </row>
    <row r="124" spans="1:101" x14ac:dyDescent="0.2">
      <c r="A124" t="str">
        <f t="shared" si="117"/>
        <v>Motorbike, electric, 4-11kW - 2030 - NMC - CH</v>
      </c>
      <c r="B124" t="s">
        <v>268</v>
      </c>
      <c r="D124" s="18">
        <v>2030</v>
      </c>
      <c r="E124" t="s">
        <v>37</v>
      </c>
      <c r="F124" t="s">
        <v>138</v>
      </c>
      <c r="G124" t="s">
        <v>39</v>
      </c>
      <c r="H124" t="s">
        <v>32</v>
      </c>
      <c r="I124" t="s">
        <v>43</v>
      </c>
      <c r="J124">
        <v>25000</v>
      </c>
      <c r="K124">
        <v>1776</v>
      </c>
      <c r="L124" s="2">
        <f t="shared" si="118"/>
        <v>14.076576576576576</v>
      </c>
      <c r="M124">
        <v>1.1000000000000001</v>
      </c>
      <c r="N124">
        <v>75</v>
      </c>
      <c r="O124">
        <v>6</v>
      </c>
      <c r="P124" s="2">
        <f t="shared" si="119"/>
        <v>117.26548785570658</v>
      </c>
      <c r="Q124" s="2">
        <f t="shared" si="120"/>
        <v>205.76548785570657</v>
      </c>
      <c r="R124">
        <v>4.7</v>
      </c>
      <c r="S124" s="2">
        <v>65.433826960328489</v>
      </c>
      <c r="T124" s="1">
        <v>0.03</v>
      </c>
      <c r="U124" s="2">
        <f t="shared" si="105"/>
        <v>63.470812151518629</v>
      </c>
      <c r="V124" s="2">
        <f t="shared" ref="V124:V126" si="127">S124*0.2</f>
        <v>13.086765392065699</v>
      </c>
      <c r="W124" s="2">
        <f t="shared" ref="W124:W126" si="128">U124*0.3</f>
        <v>19.041243645455587</v>
      </c>
      <c r="X124" s="3">
        <v>5</v>
      </c>
      <c r="Y124" s="1">
        <v>0.8</v>
      </c>
      <c r="Z124" s="3">
        <f t="shared" si="121"/>
        <v>4</v>
      </c>
      <c r="AA124" s="3">
        <f>IF(I124&lt;&gt;"",X124/INDEX('energy battery'!$B$3:$D$6,MATCH('vehicles specifications'!$D124,'energy battery'!$A$3:$A$6,0),MATCH('vehicles specifications'!$I124,'energy battery'!$B$2:$D$2,0)),"")</f>
        <v>16.666666666666668</v>
      </c>
      <c r="AB124" s="3">
        <f t="shared" si="115"/>
        <v>5</v>
      </c>
      <c r="AC124" s="3">
        <f t="shared" si="122"/>
        <v>21.666666666666668</v>
      </c>
      <c r="AD124" s="3">
        <v>0.5</v>
      </c>
      <c r="AE124" s="3">
        <v>0</v>
      </c>
      <c r="AF124">
        <f>AE124*'fuels and tailpipe emissions'!$B$3</f>
        <v>0</v>
      </c>
      <c r="AG124">
        <v>0</v>
      </c>
      <c r="AH124" s="3">
        <v>0</v>
      </c>
      <c r="AI124" s="3">
        <v>3</v>
      </c>
      <c r="AJ124" s="3">
        <v>1</v>
      </c>
      <c r="AK124">
        <f t="shared" ref="AK124:AK166" si="129">J124/25000</f>
        <v>1</v>
      </c>
      <c r="AL124">
        <f t="shared" si="123"/>
        <v>1.1049606697851443E-4</v>
      </c>
      <c r="AM124">
        <v>1.2899999999999999E-3</v>
      </c>
      <c r="AN124" s="2">
        <f t="shared" si="124"/>
        <v>63.470812151518629</v>
      </c>
      <c r="AO124" s="2">
        <f t="shared" si="125"/>
        <v>32.128009037521288</v>
      </c>
      <c r="AP124" s="2">
        <f t="shared" si="126"/>
        <v>21.666666666666668</v>
      </c>
      <c r="AQ124" s="6" t="s">
        <v>85</v>
      </c>
      <c r="AR124" s="20"/>
      <c r="AS124" s="6">
        <v>0.182</v>
      </c>
      <c r="AT124" s="2">
        <f t="shared" si="78"/>
        <v>79.120879120879124</v>
      </c>
      <c r="AU124" s="5">
        <v>0</v>
      </c>
      <c r="AV124" s="5">
        <v>0</v>
      </c>
      <c r="AW124" s="7">
        <v>0</v>
      </c>
      <c r="AX124" s="7">
        <v>0</v>
      </c>
      <c r="AY124" s="7">
        <v>0</v>
      </c>
      <c r="AZ124" s="7">
        <v>0</v>
      </c>
      <c r="BA124" s="7">
        <v>0</v>
      </c>
      <c r="BB124" s="7">
        <v>0</v>
      </c>
      <c r="BC124" s="7">
        <v>0</v>
      </c>
      <c r="BD124" s="7">
        <v>0</v>
      </c>
      <c r="BE124" s="7">
        <v>0</v>
      </c>
      <c r="BF124" s="7">
        <v>0</v>
      </c>
      <c r="BG124" s="7">
        <v>0</v>
      </c>
      <c r="BH124" s="7">
        <v>0</v>
      </c>
      <c r="BI124" s="7">
        <v>0</v>
      </c>
      <c r="BJ124" s="7">
        <v>0</v>
      </c>
      <c r="BK124" s="7">
        <v>0</v>
      </c>
      <c r="BL124" s="7">
        <v>0</v>
      </c>
      <c r="BM124" s="7">
        <v>0</v>
      </c>
      <c r="BN124" s="7">
        <v>0</v>
      </c>
      <c r="BO124" s="7">
        <v>0</v>
      </c>
      <c r="BP124" s="7">
        <v>0</v>
      </c>
      <c r="BQ124" s="7">
        <v>0</v>
      </c>
      <c r="BR124" s="7">
        <v>0</v>
      </c>
      <c r="BS124" s="7">
        <v>0</v>
      </c>
      <c r="BT124" s="7">
        <v>0</v>
      </c>
      <c r="BU124" s="7">
        <v>0</v>
      </c>
      <c r="BV124" s="7">
        <v>0</v>
      </c>
      <c r="BW124" s="7">
        <v>0</v>
      </c>
      <c r="BX124" s="7">
        <v>0</v>
      </c>
      <c r="BY124" s="7">
        <v>0</v>
      </c>
      <c r="BZ124" s="7">
        <v>0</v>
      </c>
      <c r="CA124" s="7">
        <v>0</v>
      </c>
      <c r="CB124" s="7">
        <v>0</v>
      </c>
      <c r="CC124" s="7">
        <v>0</v>
      </c>
      <c r="CD124" s="7">
        <v>0</v>
      </c>
      <c r="CE124" s="7">
        <v>0</v>
      </c>
      <c r="CF124" s="7">
        <v>0</v>
      </c>
      <c r="CG124" s="7">
        <v>0</v>
      </c>
      <c r="CH124" s="7">
        <v>0</v>
      </c>
      <c r="CI124" s="7">
        <v>0</v>
      </c>
      <c r="CJ124" s="7">
        <v>0</v>
      </c>
      <c r="CK124" s="38">
        <f>VLOOKUP($B124,'abrasion emissions'!$O$7:$R$36,2,FALSE)</f>
        <v>0.33</v>
      </c>
      <c r="CL124" s="38">
        <f>VLOOKUP($B124,'abrasion emissions'!$O$7:$R$36,3,FALSE)</f>
        <v>0.33</v>
      </c>
      <c r="CM124" s="38">
        <f>VLOOKUP($B124,'abrasion emissions'!$O$7:$R$36,4,FALSE)</f>
        <v>0.33</v>
      </c>
      <c r="CN124" s="7">
        <f>((SUMIFS('abrasion emissions'!$M$7:$M$34,'abrasion emissions'!$I$7:$I$34,"PM 2.5",'abrasion emissions'!$J$7:$J$34,"urban",'abrasion emissions'!$K$7:$K$34,"Tyre",'abrasion emissions'!$L$7:$L$34,"b")*POWER(('vehicles specifications'!$Q124/1000),(1/SUMIFS('abrasion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specifications'!$P124/1000),(1/SUMIFS('abrasion emissions'!$M$7:$M$34,'abrasion emissions'!$I$7:$I$34,"PM 10",'abrasion emissions'!$J$7:$J$34,"urban",'abrasion emissions'!$K$7:$K$34,"Tyre",'abrasion emissions'!$L$7:$L$34,"c")))))/1000000</f>
        <v>6.4077570646184653E-6</v>
      </c>
      <c r="CO124" s="7">
        <f>((SUMIFS('abrasion emissions'!$M$7:$M$34,'abrasion emissions'!$I$7:$I$34,"PM 2.5",'abrasion emissions'!$J$7:$J$34,"rural",'abrasion emissions'!$K$7:$K$34,"Tyre",'abrasion emissions'!$L$7:$L$34,"b")*POWER(('vehicles specifications'!$Q124/1000),(1/SUMIFS('abrasion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specifications'!$P124/1000),(1/SUMIFS('abrasion emissions'!$M$7:$M$34,'abrasion emissions'!$I$7:$I$34,"PM 10",'abrasion emissions'!$J$7:$J$34,"rural",'abrasion emissions'!$K$7:$K$34,"Tyre",'abrasion emissions'!$L$7:$L$34,"c")))))/1000000</f>
        <v>4.9906104980945508E-6</v>
      </c>
      <c r="CP124" s="7">
        <f>((SUMIFS('abrasion emissions'!$M$7:$M$34,'abrasion emissions'!$I$7:$I$34,"PM 2.5",'abrasion emissions'!$J$7:$J$34,"motorway",'abrasion emissions'!$K$7:$K$34,"Tyre",'abrasion emissions'!$L$7:$L$34,"b")*POWER(('vehicles specifications'!$Q124/1000),(1/SUMIFS('abrasion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specifications'!$P124/1000),(1/SUMIFS('abrasion emissions'!$M$7:$M$34,'abrasion emissions'!$I$7:$I$34,"PM 10",'abrasion emissions'!$J$7:$J$34,"motorway",'abrasion emissions'!$K$7:$K$34,"Tyre",'abrasion emissions'!$L$7:$L$34,"c")))))/1000000</f>
        <v>4.2623465036546672E-6</v>
      </c>
      <c r="CQ124" s="7">
        <f>((SUMIFS('abrasion emissions'!$M$7:$M$34,'abrasion emissions'!$I$7:$I$34,"PM 2.5",'abrasion emissions'!$J$7:$J$34,"urban",'abrasion emissions'!$K$7:$K$34,"Brake",'abrasion emissions'!$L$7:$L$34,"b")*POWER(('vehicles specifications'!$Q124/1000),(1/SUMIFS('abrasion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specifications'!$P124/1000),(1/SUMIFS('abrasion emissions'!$M$7:$M$34,'abrasion emissions'!$I$7:$I$34,"PM 10",'abrasion emissions'!$J$7:$J$34,"urban",'abrasion emissions'!$K$7:$K$34,"Brake",'abrasion emissions'!$L$7:$L$34,"c")))))/1000000</f>
        <v>6.1457827649448985E-6</v>
      </c>
      <c r="CR124" s="7">
        <f>((SUMIFS('abrasion emissions'!$M$7:$M$34,'abrasion emissions'!$I$7:$I$34,"PM 2.5",'abrasion emissions'!$J$7:$J$34,"rural",'abrasion emissions'!$K$7:$K$34,"Brake",'abrasion emissions'!$L$7:$L$34,"b")*POWER(('vehicles specifications'!$Q124/1000),(1/SUMIFS('abrasion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specifications'!$P124/1000),(1/SUMIFS('abrasion emissions'!$M$7:$M$34,'abrasion emissions'!$I$7:$I$34,"PM 10",'abrasion emissions'!$J$7:$J$34,"rural",'abrasion emissions'!$K$7:$K$34,"Brake",'abrasion emissions'!$L$7:$L$34,"c")))))/1000000</f>
        <v>1.9996548522128435E-6</v>
      </c>
      <c r="CS124" s="7">
        <f>((SUMIFS('abrasion emissions'!$M$7:$M$34,'abrasion emissions'!$I$7:$I$34,"PM 2.5",'abrasion emissions'!$J$7:$J$34,"motorway",'abrasion emissions'!$K$7:$K$34,"Brake",'abrasion emissions'!$L$7:$L$34,"b")*POWER(('vehicles specifications'!$Q124/1000),(1/SUMIFS('abrasion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specifications'!$P124/1000),(1/SUMIFS('abrasion emissions'!$M$7:$M$34,'abrasion emissions'!$I$7:$I$34,"PM 10",'abrasion emissions'!$J$7:$J$34,"motorway",'abrasion emissions'!$K$7:$K$34,"Brake",'abrasion emissions'!$L$7:$L$34,"c")))))/1000000</f>
        <v>3.7328332344647303E-7</v>
      </c>
      <c r="CT124" s="7">
        <f>((SUMIFS('abrasion emissions'!$M$7:$M$38,'abrasion emissions'!$I$7:$I$38,"PM 2.5",'abrasion emissions'!$K$7:$K$38,"Re-susp.",'abrasion emissions'!$L$7:$L$38,"b")*POWER(('vehicles specifications'!$Q124/1000),(1/SUMIFS('abrasion emissions'!$M$7:$M$38,'abrasion emissions'!$I$7:$I$38,"PM 2.5",'abrasion emissions'!$K$7:$K$38,"Re-susp.",'abrasion emissions'!$L$7:$L$38,"c"))))+
(SUMIFS('abrasion emissions'!$M$7:$M$38,'abrasion emissions'!$I$7:$I$38,"PM 10",'abrasion emissions'!$K$7:$K$38,"Re-susp.",'abrasion emissions'!$L$7:$L$38,"b")*POWER(('vehicles specifications'!$Q124/1000),(1/SUMIFS('abrasion emissions'!$M$7:$M$38,'abrasion emissions'!$I$7:$I$38,"PM 10",'abrasion emissions'!$K$7:$K$38,"Re-susp.",'abrasion emissions'!$L$7:$L$38,"c")))))/1000000</f>
        <v>3.8961624907284815E-6</v>
      </c>
      <c r="CU124" s="7">
        <f>((SUMIFS('abrasion emissions'!$M$7:$M$38,'abrasion emissions'!$I$7:$I$38,"PM 2.5",'abrasion emissions'!$K$7:$K$38,"Road",'abrasion emissions'!$L$7:$L$38,"b")*POWER(('vehicles specifications'!$Q124/1000),(1/SUMIFS('abrasion emissions'!$M$7:$M$38,'abrasion emissions'!$I$7:$I$38,"PM 2.5",'abrasion emissions'!$K$7:$K$38,"Road",'abrasion emissions'!$L$7:$L$38,"c"))))+
(SUMIFS('abrasion emissions'!$M$7:$M$38,'abrasion emissions'!$I$7:$I$38,"PM 10",'abrasion emissions'!$K$7:$K$38,"Road",'abrasion emissions'!$L$7:$L$38,"b")*POWER(('vehicles specifications'!$Q124/1000),(1/SUMIFS('abrasion emissions'!$M$7:$M$38,'abrasion emissions'!$I$7:$I$38,"PM 10",'abrasion emissions'!$K$7:$K$38,"Road",'abrasion emissions'!$L$7:$L$38,"c")))))/1000000+CT124</f>
        <v>7.451235531118589E-6</v>
      </c>
      <c r="CV124" s="7">
        <f t="shared" si="79"/>
        <v>5.1680356419013357E-6</v>
      </c>
      <c r="CW124" s="7">
        <f t="shared" si="80"/>
        <v>2.8111779103993913E-6</v>
      </c>
    </row>
    <row r="125" spans="1:101" x14ac:dyDescent="0.2">
      <c r="A125" t="str">
        <f t="shared" si="117"/>
        <v>Motorbike, electric, 4-11kW - 2040 - NMC - CH</v>
      </c>
      <c r="B125" t="s">
        <v>268</v>
      </c>
      <c r="D125" s="18">
        <v>2040</v>
      </c>
      <c r="E125" t="s">
        <v>37</v>
      </c>
      <c r="F125" t="s">
        <v>138</v>
      </c>
      <c r="G125" t="s">
        <v>39</v>
      </c>
      <c r="H125" t="s">
        <v>32</v>
      </c>
      <c r="I125" t="s">
        <v>43</v>
      </c>
      <c r="J125">
        <v>25000</v>
      </c>
      <c r="K125">
        <v>1776</v>
      </c>
      <c r="L125" s="2">
        <f t="shared" si="118"/>
        <v>14.076576576576576</v>
      </c>
      <c r="M125">
        <v>1.1000000000000001</v>
      </c>
      <c r="N125">
        <v>75</v>
      </c>
      <c r="O125">
        <v>6</v>
      </c>
      <c r="P125" s="2">
        <f t="shared" si="119"/>
        <v>116.64754168807137</v>
      </c>
      <c r="Q125" s="2">
        <f t="shared" si="120"/>
        <v>205.14754168807139</v>
      </c>
      <c r="R125">
        <v>4.7</v>
      </c>
      <c r="S125" s="2">
        <v>65.433826960328489</v>
      </c>
      <c r="T125" s="1">
        <v>0.05</v>
      </c>
      <c r="U125" s="2">
        <f t="shared" si="105"/>
        <v>62.162135612312063</v>
      </c>
      <c r="V125" s="2">
        <f t="shared" si="127"/>
        <v>13.086765392065699</v>
      </c>
      <c r="W125" s="2">
        <f t="shared" si="128"/>
        <v>18.648640683693618</v>
      </c>
      <c r="X125" s="3">
        <v>7</v>
      </c>
      <c r="Y125" s="1">
        <v>0.8</v>
      </c>
      <c r="Z125" s="3">
        <f t="shared" si="121"/>
        <v>5.6000000000000005</v>
      </c>
      <c r="AA125" s="3">
        <f>IF(I125&lt;&gt;"",X125/INDEX('energy battery'!$B$3:$D$6,MATCH('vehicles specifications'!$D125,'energy battery'!$A$3:$A$6,0),MATCH('vehicles specifications'!$I125,'energy battery'!$B$2:$D$2,0)),"")</f>
        <v>17.5</v>
      </c>
      <c r="AB125" s="3">
        <f t="shared" si="115"/>
        <v>5.25</v>
      </c>
      <c r="AC125" s="3">
        <f t="shared" si="122"/>
        <v>22.75</v>
      </c>
      <c r="AD125" s="3">
        <v>0.25</v>
      </c>
      <c r="AE125" s="3">
        <v>0</v>
      </c>
      <c r="AF125">
        <f>AE125*'fuels and tailpipe emissions'!$B$3</f>
        <v>0</v>
      </c>
      <c r="AG125">
        <v>0</v>
      </c>
      <c r="AH125" s="3">
        <v>0</v>
      </c>
      <c r="AI125" s="3">
        <v>3</v>
      </c>
      <c r="AJ125" s="3">
        <v>1</v>
      </c>
      <c r="AK125">
        <f t="shared" si="129"/>
        <v>1</v>
      </c>
      <c r="AL125">
        <f t="shared" si="123"/>
        <v>1.1016422988649433E-4</v>
      </c>
      <c r="AM125">
        <v>1.2899999999999999E-3</v>
      </c>
      <c r="AN125" s="2">
        <f t="shared" si="124"/>
        <v>62.162135612312063</v>
      </c>
      <c r="AO125" s="2">
        <f t="shared" si="125"/>
        <v>31.735406075759315</v>
      </c>
      <c r="AP125" s="2">
        <f t="shared" si="126"/>
        <v>22.75</v>
      </c>
      <c r="AQ125" s="6" t="s">
        <v>85</v>
      </c>
      <c r="AR125" s="20"/>
      <c r="AS125" s="6">
        <v>0.182</v>
      </c>
      <c r="AT125" s="2">
        <f t="shared" si="78"/>
        <v>110.76923076923079</v>
      </c>
      <c r="AU125" s="5">
        <v>0</v>
      </c>
      <c r="AV125" s="5">
        <v>0</v>
      </c>
      <c r="AW125" s="7">
        <v>0</v>
      </c>
      <c r="AX125" s="7">
        <v>0</v>
      </c>
      <c r="AY125" s="7">
        <v>0</v>
      </c>
      <c r="AZ125" s="7">
        <v>0</v>
      </c>
      <c r="BA125" s="7">
        <v>0</v>
      </c>
      <c r="BB125" s="7">
        <v>0</v>
      </c>
      <c r="BC125" s="7">
        <v>0</v>
      </c>
      <c r="BD125" s="7">
        <v>0</v>
      </c>
      <c r="BE125" s="7">
        <v>0</v>
      </c>
      <c r="BF125" s="7">
        <v>0</v>
      </c>
      <c r="BG125" s="7">
        <v>0</v>
      </c>
      <c r="BH125" s="7">
        <v>0</v>
      </c>
      <c r="BI125" s="7">
        <v>0</v>
      </c>
      <c r="BJ125" s="7">
        <v>0</v>
      </c>
      <c r="BK125" s="7">
        <v>0</v>
      </c>
      <c r="BL125" s="7">
        <v>0</v>
      </c>
      <c r="BM125" s="7">
        <v>0</v>
      </c>
      <c r="BN125" s="7">
        <v>0</v>
      </c>
      <c r="BO125" s="7">
        <v>0</v>
      </c>
      <c r="BP125" s="7">
        <v>0</v>
      </c>
      <c r="BQ125" s="7">
        <v>0</v>
      </c>
      <c r="BR125" s="7">
        <v>0</v>
      </c>
      <c r="BS125" s="7">
        <v>0</v>
      </c>
      <c r="BT125" s="7">
        <v>0</v>
      </c>
      <c r="BU125" s="7">
        <v>0</v>
      </c>
      <c r="BV125" s="7">
        <v>0</v>
      </c>
      <c r="BW125" s="7">
        <v>0</v>
      </c>
      <c r="BX125" s="7">
        <v>0</v>
      </c>
      <c r="BY125" s="7">
        <v>0</v>
      </c>
      <c r="BZ125" s="7">
        <v>0</v>
      </c>
      <c r="CA125" s="7">
        <v>0</v>
      </c>
      <c r="CB125" s="7">
        <v>0</v>
      </c>
      <c r="CC125" s="7">
        <v>0</v>
      </c>
      <c r="CD125" s="7">
        <v>0</v>
      </c>
      <c r="CE125" s="7">
        <v>0</v>
      </c>
      <c r="CF125" s="7">
        <v>0</v>
      </c>
      <c r="CG125" s="7">
        <v>0</v>
      </c>
      <c r="CH125" s="7">
        <v>0</v>
      </c>
      <c r="CI125" s="7">
        <v>0</v>
      </c>
      <c r="CJ125" s="7">
        <v>0</v>
      </c>
      <c r="CK125" s="38">
        <f>VLOOKUP($B125,'abrasion emissions'!$O$7:$R$36,2,FALSE)</f>
        <v>0.33</v>
      </c>
      <c r="CL125" s="38">
        <f>VLOOKUP($B125,'abrasion emissions'!$O$7:$R$36,3,FALSE)</f>
        <v>0.33</v>
      </c>
      <c r="CM125" s="38">
        <f>VLOOKUP($B125,'abrasion emissions'!$O$7:$R$36,4,FALSE)</f>
        <v>0.33</v>
      </c>
      <c r="CN125" s="7">
        <f>((SUMIFS('abrasion emissions'!$M$7:$M$34,'abrasion emissions'!$I$7:$I$34,"PM 2.5",'abrasion emissions'!$J$7:$J$34,"urban",'abrasion emissions'!$K$7:$K$34,"Tyre",'abrasion emissions'!$L$7:$L$34,"b")*POWER(('vehicles specifications'!$Q125/1000),(1/SUMIFS('abrasion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specifications'!$P125/1000),(1/SUMIFS('abrasion emissions'!$M$7:$M$34,'abrasion emissions'!$I$7:$I$34,"PM 10",'abrasion emissions'!$J$7:$J$34,"urban",'abrasion emissions'!$K$7:$K$34,"Tyre",'abrasion emissions'!$L$7:$L$34,"c")))))/1000000</f>
        <v>6.3971271017223438E-6</v>
      </c>
      <c r="CO125" s="7">
        <f>((SUMIFS('abrasion emissions'!$M$7:$M$34,'abrasion emissions'!$I$7:$I$34,"PM 2.5",'abrasion emissions'!$J$7:$J$34,"rural",'abrasion emissions'!$K$7:$K$34,"Tyre",'abrasion emissions'!$L$7:$L$34,"b")*POWER(('vehicles specifications'!$Q125/1000),(1/SUMIFS('abrasion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specifications'!$P125/1000),(1/SUMIFS('abrasion emissions'!$M$7:$M$34,'abrasion emissions'!$I$7:$I$34,"PM 10",'abrasion emissions'!$J$7:$J$34,"rural",'abrasion emissions'!$K$7:$K$34,"Tyre",'abrasion emissions'!$L$7:$L$34,"c")))))/1000000</f>
        <v>4.9823381854988199E-6</v>
      </c>
      <c r="CP125" s="7">
        <f>((SUMIFS('abrasion emissions'!$M$7:$M$34,'abrasion emissions'!$I$7:$I$34,"PM 2.5",'abrasion emissions'!$J$7:$J$34,"motorway",'abrasion emissions'!$K$7:$K$34,"Tyre",'abrasion emissions'!$L$7:$L$34,"b")*POWER(('vehicles specifications'!$Q125/1000),(1/SUMIFS('abrasion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specifications'!$P125/1000),(1/SUMIFS('abrasion emissions'!$M$7:$M$34,'abrasion emissions'!$I$7:$I$34,"PM 10",'abrasion emissions'!$J$7:$J$34,"motorway",'abrasion emissions'!$K$7:$K$34,"Tyre",'abrasion emissions'!$L$7:$L$34,"c")))))/1000000</f>
        <v>4.2552981978569041E-6</v>
      </c>
      <c r="CQ125" s="7">
        <f>((SUMIFS('abrasion emissions'!$M$7:$M$34,'abrasion emissions'!$I$7:$I$34,"PM 2.5",'abrasion emissions'!$J$7:$J$34,"urban",'abrasion emissions'!$K$7:$K$34,"Brake",'abrasion emissions'!$L$7:$L$34,"b")*POWER(('vehicles specifications'!$Q125/1000),(1/SUMIFS('abrasion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specifications'!$P125/1000),(1/SUMIFS('abrasion emissions'!$M$7:$M$34,'abrasion emissions'!$I$7:$I$34,"PM 10",'abrasion emissions'!$J$7:$J$34,"urban",'abrasion emissions'!$K$7:$K$34,"Brake",'abrasion emissions'!$L$7:$L$34,"c")))))/1000000</f>
        <v>6.1344370045756962E-6</v>
      </c>
      <c r="CR125" s="7">
        <f>((SUMIFS('abrasion emissions'!$M$7:$M$34,'abrasion emissions'!$I$7:$I$34,"PM 2.5",'abrasion emissions'!$J$7:$J$34,"rural",'abrasion emissions'!$K$7:$K$34,"Brake",'abrasion emissions'!$L$7:$L$34,"b")*POWER(('vehicles specifications'!$Q125/1000),(1/SUMIFS('abrasion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specifications'!$P125/1000),(1/SUMIFS('abrasion emissions'!$M$7:$M$34,'abrasion emissions'!$I$7:$I$34,"PM 10",'abrasion emissions'!$J$7:$J$34,"rural",'abrasion emissions'!$K$7:$K$34,"Brake",'abrasion emissions'!$L$7:$L$34,"c")))))/1000000</f>
        <v>1.9949968285058141E-6</v>
      </c>
      <c r="CS125" s="7">
        <f>((SUMIFS('abrasion emissions'!$M$7:$M$34,'abrasion emissions'!$I$7:$I$34,"PM 2.5",'abrasion emissions'!$J$7:$J$34,"motorway",'abrasion emissions'!$K$7:$K$34,"Brake",'abrasion emissions'!$L$7:$L$34,"b")*POWER(('vehicles specifications'!$Q125/1000),(1/SUMIFS('abrasion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specifications'!$P125/1000),(1/SUMIFS('abrasion emissions'!$M$7:$M$34,'abrasion emissions'!$I$7:$I$34,"PM 10",'abrasion emissions'!$J$7:$J$34,"motorway",'abrasion emissions'!$K$7:$K$34,"Brake",'abrasion emissions'!$L$7:$L$34,"c")))))/1000000</f>
        <v>3.7228646124235908E-7</v>
      </c>
      <c r="CT125" s="7">
        <f>((SUMIFS('abrasion emissions'!$M$7:$M$38,'abrasion emissions'!$I$7:$I$38,"PM 2.5",'abrasion emissions'!$K$7:$K$38,"Re-susp.",'abrasion emissions'!$L$7:$L$38,"b")*POWER(('vehicles specifications'!$Q125/1000),(1/SUMIFS('abrasion emissions'!$M$7:$M$38,'abrasion emissions'!$I$7:$I$38,"PM 2.5",'abrasion emissions'!$K$7:$K$38,"Re-susp.",'abrasion emissions'!$L$7:$L$38,"c"))))+
(SUMIFS('abrasion emissions'!$M$7:$M$38,'abrasion emissions'!$I$7:$I$38,"PM 10",'abrasion emissions'!$K$7:$K$38,"Re-susp.",'abrasion emissions'!$L$7:$L$38,"b")*POWER(('vehicles specifications'!$Q125/1000),(1/SUMIFS('abrasion emissions'!$M$7:$M$38,'abrasion emissions'!$I$7:$I$38,"PM 10",'abrasion emissions'!$K$7:$K$38,"Re-susp.",'abrasion emissions'!$L$7:$L$38,"c")))))/1000000</f>
        <v>3.8855239556511092E-6</v>
      </c>
      <c r="CU125" s="7">
        <f>((SUMIFS('abrasion emissions'!$M$7:$M$38,'abrasion emissions'!$I$7:$I$38,"PM 2.5",'abrasion emissions'!$K$7:$K$38,"Road",'abrasion emissions'!$L$7:$L$38,"b")*POWER(('vehicles specifications'!$Q125/1000),(1/SUMIFS('abrasion emissions'!$M$7:$M$38,'abrasion emissions'!$I$7:$I$38,"PM 2.5",'abrasion emissions'!$K$7:$K$38,"Road",'abrasion emissions'!$L$7:$L$38,"c"))))+
(SUMIFS('abrasion emissions'!$M$7:$M$38,'abrasion emissions'!$I$7:$I$38,"PM 10",'abrasion emissions'!$K$7:$K$38,"Road",'abrasion emissions'!$L$7:$L$38,"b")*POWER(('vehicles specifications'!$Q125/1000),(1/SUMIFS('abrasion emissions'!$M$7:$M$38,'abrasion emissions'!$I$7:$I$38,"PM 10",'abrasion emissions'!$K$7:$K$38,"Road",'abrasion emissions'!$L$7:$L$38,"c")))))/1000000+CT125</f>
        <v>7.4334757992131559E-6</v>
      </c>
      <c r="CV125" s="7">
        <f t="shared" si="79"/>
        <v>5.1594719500757633E-6</v>
      </c>
      <c r="CW125" s="7">
        <f t="shared" si="80"/>
        <v>2.805567697126877E-6</v>
      </c>
    </row>
    <row r="126" spans="1:101" x14ac:dyDescent="0.2">
      <c r="A126" t="str">
        <f t="shared" si="117"/>
        <v>Motorbike, electric, 4-11kW - 2050 - NMC - CH</v>
      </c>
      <c r="B126" t="s">
        <v>268</v>
      </c>
      <c r="D126" s="18">
        <v>2050</v>
      </c>
      <c r="E126" t="s">
        <v>37</v>
      </c>
      <c r="F126" t="s">
        <v>138</v>
      </c>
      <c r="G126" t="s">
        <v>39</v>
      </c>
      <c r="H126" t="s">
        <v>32</v>
      </c>
      <c r="I126" t="s">
        <v>43</v>
      </c>
      <c r="J126">
        <v>25000</v>
      </c>
      <c r="K126">
        <v>1776</v>
      </c>
      <c r="L126" s="2">
        <f t="shared" si="118"/>
        <v>14.076576576576576</v>
      </c>
      <c r="M126">
        <v>1.1000000000000001</v>
      </c>
      <c r="N126">
        <v>75</v>
      </c>
      <c r="O126">
        <v>6</v>
      </c>
      <c r="P126" s="2">
        <f t="shared" si="119"/>
        <v>116.89626218710283</v>
      </c>
      <c r="Q126" s="2">
        <f t="shared" si="120"/>
        <v>205.39626218710282</v>
      </c>
      <c r="R126">
        <v>4.7</v>
      </c>
      <c r="S126" s="2">
        <v>65.433826960328489</v>
      </c>
      <c r="T126" s="1">
        <v>7.0000000000000007E-2</v>
      </c>
      <c r="U126" s="2">
        <f t="shared" si="105"/>
        <v>60.853459073105491</v>
      </c>
      <c r="V126" s="2">
        <f t="shared" si="127"/>
        <v>13.086765392065699</v>
      </c>
      <c r="W126" s="2">
        <f t="shared" si="128"/>
        <v>18.256037721931648</v>
      </c>
      <c r="X126" s="3">
        <v>9.5</v>
      </c>
      <c r="Y126" s="1">
        <v>0.8</v>
      </c>
      <c r="Z126" s="3">
        <f t="shared" si="121"/>
        <v>7.6000000000000005</v>
      </c>
      <c r="AA126" s="3">
        <f>IF(I126&lt;&gt;"",X126/INDEX('energy battery'!$B$3:$D$6,MATCH('vehicles specifications'!$D126,'energy battery'!$A$3:$A$6,0),MATCH('vehicles specifications'!$I126,'energy battery'!$B$2:$D$2,0)),"")</f>
        <v>19</v>
      </c>
      <c r="AB126" s="3">
        <f t="shared" si="115"/>
        <v>5.7</v>
      </c>
      <c r="AC126" s="3">
        <f t="shared" si="122"/>
        <v>24.7</v>
      </c>
      <c r="AD126" s="3">
        <v>0</v>
      </c>
      <c r="AE126" s="3">
        <v>0</v>
      </c>
      <c r="AF126">
        <f>AE126*'fuels and tailpipe emissions'!$B$3</f>
        <v>0</v>
      </c>
      <c r="AG126">
        <v>0</v>
      </c>
      <c r="AH126" s="3">
        <v>0</v>
      </c>
      <c r="AI126" s="3">
        <v>3</v>
      </c>
      <c r="AJ126" s="3">
        <v>1</v>
      </c>
      <c r="AK126">
        <f t="shared" si="129"/>
        <v>1</v>
      </c>
      <c r="AL126">
        <f t="shared" si="123"/>
        <v>1.1029779279447421E-4</v>
      </c>
      <c r="AM126">
        <v>1.2899999999999999E-3</v>
      </c>
      <c r="AN126" s="2">
        <f t="shared" si="124"/>
        <v>60.853459073105491</v>
      </c>
      <c r="AO126" s="2">
        <f t="shared" si="125"/>
        <v>31.342803113997348</v>
      </c>
      <c r="AP126" s="2">
        <f t="shared" si="126"/>
        <v>24.7</v>
      </c>
      <c r="AQ126" s="6" t="s">
        <v>85</v>
      </c>
      <c r="AR126" s="20"/>
      <c r="AS126" s="6">
        <v>0.182</v>
      </c>
      <c r="AT126" s="2">
        <f t="shared" si="78"/>
        <v>150.32967032967034</v>
      </c>
      <c r="AU126" s="5">
        <v>0</v>
      </c>
      <c r="AV126" s="5">
        <v>0</v>
      </c>
      <c r="AW126" s="7">
        <v>0</v>
      </c>
      <c r="AX126" s="7">
        <v>0</v>
      </c>
      <c r="AY126" s="7">
        <v>0</v>
      </c>
      <c r="AZ126" s="7">
        <v>0</v>
      </c>
      <c r="BA126" s="7">
        <v>0</v>
      </c>
      <c r="BB126" s="7">
        <v>0</v>
      </c>
      <c r="BC126" s="7">
        <v>0</v>
      </c>
      <c r="BD126" s="7">
        <v>0</v>
      </c>
      <c r="BE126" s="7">
        <v>0</v>
      </c>
      <c r="BF126" s="7">
        <v>0</v>
      </c>
      <c r="BG126" s="7">
        <v>0</v>
      </c>
      <c r="BH126" s="7">
        <v>0</v>
      </c>
      <c r="BI126" s="7">
        <v>0</v>
      </c>
      <c r="BJ126" s="7">
        <v>0</v>
      </c>
      <c r="BK126" s="7">
        <v>0</v>
      </c>
      <c r="BL126" s="7">
        <v>0</v>
      </c>
      <c r="BM126" s="7">
        <v>0</v>
      </c>
      <c r="BN126" s="7">
        <v>0</v>
      </c>
      <c r="BO126" s="7">
        <v>0</v>
      </c>
      <c r="BP126" s="7">
        <v>0</v>
      </c>
      <c r="BQ126" s="7">
        <v>0</v>
      </c>
      <c r="BR126" s="7">
        <v>0</v>
      </c>
      <c r="BS126" s="7">
        <v>0</v>
      </c>
      <c r="BT126" s="7">
        <v>0</v>
      </c>
      <c r="BU126" s="7">
        <v>0</v>
      </c>
      <c r="BV126" s="7">
        <v>0</v>
      </c>
      <c r="BW126" s="7">
        <v>0</v>
      </c>
      <c r="BX126" s="7">
        <v>0</v>
      </c>
      <c r="BY126" s="7">
        <v>0</v>
      </c>
      <c r="BZ126" s="7">
        <v>0</v>
      </c>
      <c r="CA126" s="7">
        <v>0</v>
      </c>
      <c r="CB126" s="7">
        <v>0</v>
      </c>
      <c r="CC126" s="7">
        <v>0</v>
      </c>
      <c r="CD126" s="7">
        <v>0</v>
      </c>
      <c r="CE126" s="7">
        <v>0</v>
      </c>
      <c r="CF126" s="7">
        <v>0</v>
      </c>
      <c r="CG126" s="7">
        <v>0</v>
      </c>
      <c r="CH126" s="7">
        <v>0</v>
      </c>
      <c r="CI126" s="7">
        <v>0</v>
      </c>
      <c r="CJ126" s="7">
        <v>0</v>
      </c>
      <c r="CK126" s="38">
        <f>VLOOKUP($B126,'abrasion emissions'!$O$7:$R$36,2,FALSE)</f>
        <v>0.33</v>
      </c>
      <c r="CL126" s="38">
        <f>VLOOKUP($B126,'abrasion emissions'!$O$7:$R$36,3,FALSE)</f>
        <v>0.33</v>
      </c>
      <c r="CM126" s="38">
        <f>VLOOKUP($B126,'abrasion emissions'!$O$7:$R$36,4,FALSE)</f>
        <v>0.33</v>
      </c>
      <c r="CN126" s="7">
        <f>((SUMIFS('abrasion emissions'!$M$7:$M$34,'abrasion emissions'!$I$7:$I$34,"PM 2.5",'abrasion emissions'!$J$7:$J$34,"urban",'abrasion emissions'!$K$7:$K$34,"Tyre",'abrasion emissions'!$L$7:$L$34,"b")*POWER(('vehicles specifications'!$Q126/1000),(1/SUMIFS('abrasion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specifications'!$P126/1000),(1/SUMIFS('abrasion emissions'!$M$7:$M$34,'abrasion emissions'!$I$7:$I$34,"PM 10",'abrasion emissions'!$J$7:$J$34,"urban",'abrasion emissions'!$K$7:$K$34,"Tyre",'abrasion emissions'!$L$7:$L$34,"c")))))/1000000</f>
        <v>6.4014085973713807E-6</v>
      </c>
      <c r="CO126" s="7">
        <f>((SUMIFS('abrasion emissions'!$M$7:$M$34,'abrasion emissions'!$I$7:$I$34,"PM 2.5",'abrasion emissions'!$J$7:$J$34,"rural",'abrasion emissions'!$K$7:$K$34,"Tyre",'abrasion emissions'!$L$7:$L$34,"b")*POWER(('vehicles specifications'!$Q126/1000),(1/SUMIFS('abrasion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specifications'!$P126/1000),(1/SUMIFS('abrasion emissions'!$M$7:$M$34,'abrasion emissions'!$I$7:$I$34,"PM 10",'abrasion emissions'!$J$7:$J$34,"rural",'abrasion emissions'!$K$7:$K$34,"Tyre",'abrasion emissions'!$L$7:$L$34,"c")))))/1000000</f>
        <v>4.9856700739084942E-6</v>
      </c>
      <c r="CP126" s="7">
        <f>((SUMIFS('abrasion emissions'!$M$7:$M$34,'abrasion emissions'!$I$7:$I$34,"PM 2.5",'abrasion emissions'!$J$7:$J$34,"motorway",'abrasion emissions'!$K$7:$K$34,"Tyre",'abrasion emissions'!$L$7:$L$34,"b")*POWER(('vehicles specifications'!$Q126/1000),(1/SUMIFS('abrasion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specifications'!$P126/1000),(1/SUMIFS('abrasion emissions'!$M$7:$M$34,'abrasion emissions'!$I$7:$I$34,"PM 10",'abrasion emissions'!$J$7:$J$34,"motorway",'abrasion emissions'!$K$7:$K$34,"Tyre",'abrasion emissions'!$L$7:$L$34,"c")))))/1000000</f>
        <v>4.2581370810117798E-6</v>
      </c>
      <c r="CQ126" s="7">
        <f>((SUMIFS('abrasion emissions'!$M$7:$M$34,'abrasion emissions'!$I$7:$I$34,"PM 2.5",'abrasion emissions'!$J$7:$J$34,"urban",'abrasion emissions'!$K$7:$K$34,"Brake",'abrasion emissions'!$L$7:$L$34,"b")*POWER(('vehicles specifications'!$Q126/1000),(1/SUMIFS('abrasion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specifications'!$P126/1000),(1/SUMIFS('abrasion emissions'!$M$7:$M$34,'abrasion emissions'!$I$7:$I$34,"PM 10",'abrasion emissions'!$J$7:$J$34,"urban",'abrasion emissions'!$K$7:$K$34,"Brake",'abrasion emissions'!$L$7:$L$34,"c")))))/1000000</f>
        <v>6.1390060546103967E-6</v>
      </c>
      <c r="CR126" s="7">
        <f>((SUMIFS('abrasion emissions'!$M$7:$M$34,'abrasion emissions'!$I$7:$I$34,"PM 2.5",'abrasion emissions'!$J$7:$J$34,"rural",'abrasion emissions'!$K$7:$K$34,"Brake",'abrasion emissions'!$L$7:$L$34,"b")*POWER(('vehicles specifications'!$Q126/1000),(1/SUMIFS('abrasion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specifications'!$P126/1000),(1/SUMIFS('abrasion emissions'!$M$7:$M$34,'abrasion emissions'!$I$7:$I$34,"PM 10",'abrasion emissions'!$J$7:$J$34,"rural",'abrasion emissions'!$K$7:$K$34,"Brake",'abrasion emissions'!$L$7:$L$34,"c")))))/1000000</f>
        <v>1.9968723616785491E-6</v>
      </c>
      <c r="CS126" s="7">
        <f>((SUMIFS('abrasion emissions'!$M$7:$M$34,'abrasion emissions'!$I$7:$I$34,"PM 2.5",'abrasion emissions'!$J$7:$J$34,"motorway",'abrasion emissions'!$K$7:$K$34,"Brake",'abrasion emissions'!$L$7:$L$34,"b")*POWER(('vehicles specifications'!$Q126/1000),(1/SUMIFS('abrasion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specifications'!$P126/1000),(1/SUMIFS('abrasion emissions'!$M$7:$M$34,'abrasion emissions'!$I$7:$I$34,"PM 10",'abrasion emissions'!$J$7:$J$34,"motorway",'abrasion emissions'!$K$7:$K$34,"Brake",'abrasion emissions'!$L$7:$L$34,"c")))))/1000000</f>
        <v>3.7268779662713471E-7</v>
      </c>
      <c r="CT126" s="7">
        <f>((SUMIFS('abrasion emissions'!$M$7:$M$38,'abrasion emissions'!$I$7:$I$38,"PM 2.5",'abrasion emissions'!$K$7:$K$38,"Re-susp.",'abrasion emissions'!$L$7:$L$38,"b")*POWER(('vehicles specifications'!$Q126/1000),(1/SUMIFS('abrasion emissions'!$M$7:$M$38,'abrasion emissions'!$I$7:$I$38,"PM 2.5",'abrasion emissions'!$K$7:$K$38,"Re-susp.",'abrasion emissions'!$L$7:$L$38,"c"))))+
(SUMIFS('abrasion emissions'!$M$7:$M$38,'abrasion emissions'!$I$7:$I$38,"PM 10",'abrasion emissions'!$K$7:$K$38,"Re-susp.",'abrasion emissions'!$L$7:$L$38,"b")*POWER(('vehicles specifications'!$Q126/1000),(1/SUMIFS('abrasion emissions'!$M$7:$M$38,'abrasion emissions'!$I$7:$I$38,"PM 10",'abrasion emissions'!$K$7:$K$38,"Re-susp.",'abrasion emissions'!$L$7:$L$38,"c")))))/1000000</f>
        <v>3.8898062670544316E-6</v>
      </c>
      <c r="CU126" s="7">
        <f>((SUMIFS('abrasion emissions'!$M$7:$M$38,'abrasion emissions'!$I$7:$I$38,"PM 2.5",'abrasion emissions'!$K$7:$K$38,"Road",'abrasion emissions'!$L$7:$L$38,"b")*POWER(('vehicles specifications'!$Q126/1000),(1/SUMIFS('abrasion emissions'!$M$7:$M$38,'abrasion emissions'!$I$7:$I$38,"PM 2.5",'abrasion emissions'!$K$7:$K$38,"Road",'abrasion emissions'!$L$7:$L$38,"c"))))+
(SUMIFS('abrasion emissions'!$M$7:$M$38,'abrasion emissions'!$I$7:$I$38,"PM 10",'abrasion emissions'!$K$7:$K$38,"Road",'abrasion emissions'!$L$7:$L$38,"b")*POWER(('vehicles specifications'!$Q126/1000),(1/SUMIFS('abrasion emissions'!$M$7:$M$38,'abrasion emissions'!$I$7:$I$38,"PM 10",'abrasion emissions'!$K$7:$K$38,"Road",'abrasion emissions'!$L$7:$L$38,"c")))))/1000000+CT126</f>
        <v>7.4406252182883539E-6</v>
      </c>
      <c r="CV126" s="7">
        <f t="shared" si="79"/>
        <v>5.1629211982562471E-6</v>
      </c>
      <c r="CW126" s="7">
        <f t="shared" si="80"/>
        <v>2.8078268502623069E-6</v>
      </c>
    </row>
    <row r="127" spans="1:101" x14ac:dyDescent="0.2">
      <c r="A127" t="str">
        <f t="shared" si="117"/>
        <v>Motorbike, electric, 11-35kW - 2020 - NMC - CH</v>
      </c>
      <c r="B127" t="s">
        <v>269</v>
      </c>
      <c r="D127" s="18">
        <v>2020</v>
      </c>
      <c r="E127" t="s">
        <v>37</v>
      </c>
      <c r="F127" t="s">
        <v>138</v>
      </c>
      <c r="G127" t="s">
        <v>39</v>
      </c>
      <c r="H127" t="s">
        <v>32</v>
      </c>
      <c r="I127" t="s">
        <v>43</v>
      </c>
      <c r="J127">
        <v>38500</v>
      </c>
      <c r="K127">
        <v>2405</v>
      </c>
      <c r="L127" s="2">
        <f t="shared" si="118"/>
        <v>16.008316008316008</v>
      </c>
      <c r="M127">
        <v>1.1000000000000001</v>
      </c>
      <c r="N127">
        <v>75</v>
      </c>
      <c r="O127">
        <v>6</v>
      </c>
      <c r="P127" s="2">
        <f t="shared" si="119"/>
        <v>165.64999999999998</v>
      </c>
      <c r="Q127" s="2">
        <f t="shared" si="120"/>
        <v>254.14999999999998</v>
      </c>
      <c r="R127">
        <v>14</v>
      </c>
      <c r="S127" s="2">
        <v>81</v>
      </c>
      <c r="T127" s="1">
        <v>0</v>
      </c>
      <c r="U127" s="2">
        <f t="shared" si="105"/>
        <v>81</v>
      </c>
      <c r="V127" s="2">
        <v>13</v>
      </c>
      <c r="W127" s="2">
        <v>19</v>
      </c>
      <c r="X127" s="3">
        <v>8.1</v>
      </c>
      <c r="Y127" s="1">
        <v>0.8</v>
      </c>
      <c r="Z127" s="3">
        <f t="shared" si="121"/>
        <v>6.48</v>
      </c>
      <c r="AA127" s="3">
        <f>IF(I127&lt;&gt;"",X127/INDEX('energy battery'!$B$3:$D$6,MATCH('vehicles specifications'!$D127,'energy battery'!$A$3:$A$6,0),MATCH('vehicles specifications'!$I127,'energy battery'!$B$2:$D$2,0)),"")</f>
        <v>40.499999999999993</v>
      </c>
      <c r="AB127" s="3">
        <f t="shared" si="115"/>
        <v>12.149999999999997</v>
      </c>
      <c r="AC127" s="3">
        <f t="shared" si="122"/>
        <v>52.649999999999991</v>
      </c>
      <c r="AD127" s="3">
        <v>1</v>
      </c>
      <c r="AE127" s="3">
        <v>0</v>
      </c>
      <c r="AF127">
        <f>AE127*'fuels and tailpipe emissions'!$B$3</f>
        <v>0</v>
      </c>
      <c r="AG127">
        <v>0</v>
      </c>
      <c r="AH127" s="3">
        <v>0</v>
      </c>
      <c r="AI127" s="3">
        <v>5</v>
      </c>
      <c r="AJ127" s="3">
        <v>1</v>
      </c>
      <c r="AK127">
        <f t="shared" si="129"/>
        <v>1.54</v>
      </c>
      <c r="AL127">
        <f t="shared" si="123"/>
        <v>1.3647854999999999E-4</v>
      </c>
      <c r="AM127">
        <v>1.2899999999999999E-3</v>
      </c>
      <c r="AN127" s="2">
        <f t="shared" si="124"/>
        <v>81</v>
      </c>
      <c r="AO127" s="2">
        <f t="shared" si="125"/>
        <v>32</v>
      </c>
      <c r="AP127" s="2">
        <f t="shared" si="126"/>
        <v>52.649999999999991</v>
      </c>
      <c r="AQ127" s="6" t="s">
        <v>85</v>
      </c>
      <c r="AR127" s="20"/>
      <c r="AS127" s="6">
        <v>0.24635579913730349</v>
      </c>
      <c r="AT127" s="2">
        <f t="shared" si="78"/>
        <v>94.692311208791224</v>
      </c>
      <c r="AU127" s="5">
        <v>0</v>
      </c>
      <c r="AV127" s="5">
        <v>0</v>
      </c>
      <c r="AW127" s="7">
        <v>0</v>
      </c>
      <c r="AX127" s="7">
        <v>0</v>
      </c>
      <c r="AY127" s="7">
        <v>0</v>
      </c>
      <c r="AZ127" s="7">
        <v>0</v>
      </c>
      <c r="BA127" s="7">
        <v>0</v>
      </c>
      <c r="BB127" s="7">
        <v>0</v>
      </c>
      <c r="BC127" s="7">
        <v>0</v>
      </c>
      <c r="BD127" s="7">
        <v>0</v>
      </c>
      <c r="BE127" s="7">
        <v>0</v>
      </c>
      <c r="BF127" s="7">
        <v>0</v>
      </c>
      <c r="BG127" s="7">
        <v>0</v>
      </c>
      <c r="BH127" s="7">
        <v>0</v>
      </c>
      <c r="BI127" s="7">
        <v>0</v>
      </c>
      <c r="BJ127" s="7">
        <v>0</v>
      </c>
      <c r="BK127" s="7">
        <v>0</v>
      </c>
      <c r="BL127" s="7">
        <v>0</v>
      </c>
      <c r="BM127" s="7">
        <v>0</v>
      </c>
      <c r="BN127" s="7">
        <v>0</v>
      </c>
      <c r="BO127" s="7">
        <v>0</v>
      </c>
      <c r="BP127" s="7">
        <v>0</v>
      </c>
      <c r="BQ127" s="7">
        <v>0</v>
      </c>
      <c r="BR127" s="7">
        <v>0</v>
      </c>
      <c r="BS127" s="7">
        <v>0</v>
      </c>
      <c r="BT127" s="7">
        <v>0</v>
      </c>
      <c r="BU127" s="7">
        <v>0</v>
      </c>
      <c r="BV127" s="7">
        <v>0</v>
      </c>
      <c r="BW127" s="7">
        <v>0</v>
      </c>
      <c r="BX127" s="7">
        <v>0</v>
      </c>
      <c r="BY127" s="7">
        <v>0</v>
      </c>
      <c r="BZ127" s="7">
        <v>0</v>
      </c>
      <c r="CA127" s="7">
        <v>0</v>
      </c>
      <c r="CB127" s="7">
        <v>0</v>
      </c>
      <c r="CC127" s="7">
        <v>0</v>
      </c>
      <c r="CD127" s="7">
        <v>0</v>
      </c>
      <c r="CE127" s="7">
        <v>0</v>
      </c>
      <c r="CF127" s="7">
        <v>0</v>
      </c>
      <c r="CG127" s="7">
        <v>0</v>
      </c>
      <c r="CH127" s="7">
        <v>0</v>
      </c>
      <c r="CI127" s="7">
        <v>0</v>
      </c>
      <c r="CJ127" s="7">
        <v>0</v>
      </c>
      <c r="CK127" s="38">
        <f>VLOOKUP($B127,'abrasion emissions'!$O$7:$R$36,2,FALSE)</f>
        <v>0.33</v>
      </c>
      <c r="CL127" s="38">
        <f>VLOOKUP($B127,'abrasion emissions'!$O$7:$R$36,3,FALSE)</f>
        <v>0.33</v>
      </c>
      <c r="CM127" s="38">
        <f>VLOOKUP($B127,'abrasion emissions'!$O$7:$R$36,4,FALSE)</f>
        <v>0.33</v>
      </c>
      <c r="CN127" s="7">
        <f>((SUMIFS('abrasion emissions'!$M$7:$M$34,'abrasion emissions'!$I$7:$I$34,"PM 2.5",'abrasion emissions'!$J$7:$J$34,"urban",'abrasion emissions'!$K$7:$K$34,"Tyre",'abrasion emissions'!$L$7:$L$34,"b")*POWER(('vehicles specifications'!$Q127/1000),(1/SUMIFS('abrasion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specifications'!$P127/1000),(1/SUMIFS('abrasion emissions'!$M$7:$M$34,'abrasion emissions'!$I$7:$I$34,"PM 10",'abrasion emissions'!$J$7:$J$34,"urban",'abrasion emissions'!$K$7:$K$34,"Tyre",'abrasion emissions'!$L$7:$L$34,"c")))))/1000000</f>
        <v>7.1744727596507793E-6</v>
      </c>
      <c r="CO127" s="7">
        <f>((SUMIFS('abrasion emissions'!$M$7:$M$34,'abrasion emissions'!$I$7:$I$34,"PM 2.5",'abrasion emissions'!$J$7:$J$34,"rural",'abrasion emissions'!$K$7:$K$34,"Tyre",'abrasion emissions'!$L$7:$L$34,"b")*POWER(('vehicles specifications'!$Q127/1000),(1/SUMIFS('abrasion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specifications'!$P127/1000),(1/SUMIFS('abrasion emissions'!$M$7:$M$34,'abrasion emissions'!$I$7:$I$34,"PM 10",'abrasion emissions'!$J$7:$J$34,"rural",'abrasion emissions'!$K$7:$K$34,"Tyre",'abrasion emissions'!$L$7:$L$34,"c")))))/1000000</f>
        <v>5.5873105174768598E-6</v>
      </c>
      <c r="CP127" s="7">
        <f>((SUMIFS('abrasion emissions'!$M$7:$M$34,'abrasion emissions'!$I$7:$I$34,"PM 2.5",'abrasion emissions'!$J$7:$J$34,"motorway",'abrasion emissions'!$K$7:$K$34,"Tyre",'abrasion emissions'!$L$7:$L$34,"b")*POWER(('vehicles specifications'!$Q127/1000),(1/SUMIFS('abrasion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specifications'!$P127/1000),(1/SUMIFS('abrasion emissions'!$M$7:$M$34,'abrasion emissions'!$I$7:$I$34,"PM 10",'abrasion emissions'!$J$7:$J$34,"motorway",'abrasion emissions'!$K$7:$K$34,"Tyre",'abrasion emissions'!$L$7:$L$34,"c")))))/1000000</f>
        <v>4.7708477103774614E-6</v>
      </c>
      <c r="CQ127" s="7">
        <f>((SUMIFS('abrasion emissions'!$M$7:$M$34,'abrasion emissions'!$I$7:$I$34,"PM 2.5",'abrasion emissions'!$J$7:$J$34,"urban",'abrasion emissions'!$K$7:$K$34,"Brake",'abrasion emissions'!$L$7:$L$34,"b")*POWER(('vehicles specifications'!$Q127/1000),(1/SUMIFS('abrasion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specifications'!$P127/1000),(1/SUMIFS('abrasion emissions'!$M$7:$M$34,'abrasion emissions'!$I$7:$I$34,"PM 10",'abrasion emissions'!$J$7:$J$34,"urban",'abrasion emissions'!$K$7:$K$34,"Brake",'abrasion emissions'!$L$7:$L$34,"c")))))/1000000</f>
        <v>6.9795306998355551E-6</v>
      </c>
      <c r="CR127" s="7">
        <f>((SUMIFS('abrasion emissions'!$M$7:$M$34,'abrasion emissions'!$I$7:$I$34,"PM 2.5",'abrasion emissions'!$J$7:$J$34,"rural",'abrasion emissions'!$K$7:$K$34,"Brake",'abrasion emissions'!$L$7:$L$34,"b")*POWER(('vehicles specifications'!$Q127/1000),(1/SUMIFS('abrasion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specifications'!$P127/1000),(1/SUMIFS('abrasion emissions'!$M$7:$M$34,'abrasion emissions'!$I$7:$I$34,"PM 10",'abrasion emissions'!$J$7:$J$34,"rural",'abrasion emissions'!$K$7:$K$34,"Brake",'abrasion emissions'!$L$7:$L$34,"c")))))/1000000</f>
        <v>2.3484520788296964E-6</v>
      </c>
      <c r="CS127" s="7">
        <f>((SUMIFS('abrasion emissions'!$M$7:$M$34,'abrasion emissions'!$I$7:$I$34,"PM 2.5",'abrasion emissions'!$J$7:$J$34,"motorway",'abrasion emissions'!$K$7:$K$34,"Brake",'abrasion emissions'!$L$7:$L$34,"b")*POWER(('vehicles specifications'!$Q127/1000),(1/SUMIFS('abrasion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specifications'!$P127/1000),(1/SUMIFS('abrasion emissions'!$M$7:$M$34,'abrasion emissions'!$I$7:$I$34,"PM 10",'abrasion emissions'!$J$7:$J$34,"motorway",'abrasion emissions'!$K$7:$K$34,"Brake",'abrasion emissions'!$L$7:$L$34,"c")))))/1000000</f>
        <v>4.4897150341750749E-7</v>
      </c>
      <c r="CT127" s="7">
        <f>((SUMIFS('abrasion emissions'!$M$7:$M$38,'abrasion emissions'!$I$7:$I$38,"PM 2.5",'abrasion emissions'!$K$7:$K$38,"Re-susp.",'abrasion emissions'!$L$7:$L$38,"b")*POWER(('vehicles specifications'!$Q127/1000),(1/SUMIFS('abrasion emissions'!$M$7:$M$38,'abrasion emissions'!$I$7:$I$38,"PM 2.5",'abrasion emissions'!$K$7:$K$38,"Re-susp.",'abrasion emissions'!$L$7:$L$38,"c"))))+
(SUMIFS('abrasion emissions'!$M$7:$M$38,'abrasion emissions'!$I$7:$I$38,"PM 10",'abrasion emissions'!$K$7:$K$38,"Re-susp.",'abrasion emissions'!$L$7:$L$38,"b")*POWER(('vehicles specifications'!$Q127/1000),(1/SUMIFS('abrasion emissions'!$M$7:$M$38,'abrasion emissions'!$I$7:$I$38,"PM 10",'abrasion emissions'!$K$7:$K$38,"Re-susp.",'abrasion emissions'!$L$7:$L$38,"c")))))/1000000</f>
        <v>4.7208117109762081E-6</v>
      </c>
      <c r="CU127" s="7">
        <f>((SUMIFS('abrasion emissions'!$M$7:$M$38,'abrasion emissions'!$I$7:$I$38,"PM 2.5",'abrasion emissions'!$K$7:$K$38,"Road",'abrasion emissions'!$L$7:$L$38,"b")*POWER(('vehicles specifications'!$Q127/1000),(1/SUMIFS('abrasion emissions'!$M$7:$M$38,'abrasion emissions'!$I$7:$I$38,"PM 2.5",'abrasion emissions'!$K$7:$K$38,"Road",'abrasion emissions'!$L$7:$L$38,"c"))))+
(SUMIFS('abrasion emissions'!$M$7:$M$38,'abrasion emissions'!$I$7:$I$38,"PM 10",'abrasion emissions'!$K$7:$K$38,"Road",'abrasion emissions'!$L$7:$L$38,"b")*POWER(('vehicles specifications'!$Q127/1000),(1/SUMIFS('abrasion emissions'!$M$7:$M$38,'abrasion emissions'!$I$7:$I$38,"PM 10",'abrasion emissions'!$K$7:$K$38,"Road",'abrasion emissions'!$L$7:$L$38,"c")))))/1000000+CT127</f>
        <v>8.8133578199366445E-6</v>
      </c>
      <c r="CV127" s="7">
        <f t="shared" si="79"/>
        <v>5.7857682258766833E-6</v>
      </c>
      <c r="CW127" s="7">
        <f t="shared" si="80"/>
        <v>3.2263949130873107E-6</v>
      </c>
    </row>
    <row r="128" spans="1:101" x14ac:dyDescent="0.2">
      <c r="A128" t="str">
        <f t="shared" si="117"/>
        <v>Motorbike, electric, 11-35kW - 2030 - NMC - CH</v>
      </c>
      <c r="B128" t="s">
        <v>269</v>
      </c>
      <c r="D128" s="18">
        <v>2030</v>
      </c>
      <c r="E128" t="s">
        <v>37</v>
      </c>
      <c r="F128" t="s">
        <v>138</v>
      </c>
      <c r="G128" t="s">
        <v>39</v>
      </c>
      <c r="H128" t="s">
        <v>32</v>
      </c>
      <c r="I128" t="s">
        <v>43</v>
      </c>
      <c r="J128">
        <v>38500</v>
      </c>
      <c r="K128">
        <v>2405</v>
      </c>
      <c r="L128" s="2">
        <f t="shared" si="118"/>
        <v>16.008316008316008</v>
      </c>
      <c r="M128">
        <v>1.1000000000000001</v>
      </c>
      <c r="N128">
        <v>75</v>
      </c>
      <c r="O128">
        <v>6</v>
      </c>
      <c r="P128" s="2">
        <f t="shared" si="119"/>
        <v>166.03666666666666</v>
      </c>
      <c r="Q128" s="2">
        <f t="shared" si="120"/>
        <v>254.53666666666666</v>
      </c>
      <c r="R128">
        <v>14</v>
      </c>
      <c r="S128" s="2">
        <v>81</v>
      </c>
      <c r="T128" s="1">
        <v>0.03</v>
      </c>
      <c r="U128" s="2">
        <f t="shared" si="105"/>
        <v>78.569999999999993</v>
      </c>
      <c r="V128" s="2">
        <v>13</v>
      </c>
      <c r="W128" s="2">
        <v>19</v>
      </c>
      <c r="X128" s="3">
        <v>12.8</v>
      </c>
      <c r="Y128" s="1">
        <v>0.8</v>
      </c>
      <c r="Z128" s="3">
        <f t="shared" si="121"/>
        <v>10.240000000000002</v>
      </c>
      <c r="AA128" s="3">
        <f>IF(I128&lt;&gt;"",X128/INDEX('energy battery'!$B$3:$D$6,MATCH('vehicles specifications'!$D128,'energy battery'!$A$3:$A$6,0),MATCH('vehicles specifications'!$I128,'energy battery'!$B$2:$D$2,0)),"")</f>
        <v>42.666666666666671</v>
      </c>
      <c r="AB128" s="3">
        <f t="shared" si="115"/>
        <v>12.8</v>
      </c>
      <c r="AC128" s="3">
        <f t="shared" si="122"/>
        <v>55.466666666666669</v>
      </c>
      <c r="AD128" s="3">
        <v>0.5</v>
      </c>
      <c r="AE128" s="3">
        <v>0</v>
      </c>
      <c r="AF128">
        <f>AE128*'fuels and tailpipe emissions'!$B$3</f>
        <v>0</v>
      </c>
      <c r="AG128">
        <v>0</v>
      </c>
      <c r="AH128" s="3">
        <v>0</v>
      </c>
      <c r="AI128" s="3">
        <v>5</v>
      </c>
      <c r="AJ128" s="3">
        <v>1</v>
      </c>
      <c r="AK128">
        <f t="shared" si="129"/>
        <v>1.54</v>
      </c>
      <c r="AL128">
        <f t="shared" si="123"/>
        <v>1.3668618999999998E-4</v>
      </c>
      <c r="AM128">
        <v>1.2899999999999999E-3</v>
      </c>
      <c r="AN128" s="2">
        <f t="shared" si="124"/>
        <v>78.569999999999993</v>
      </c>
      <c r="AO128" s="2">
        <f t="shared" si="125"/>
        <v>32</v>
      </c>
      <c r="AP128" s="2">
        <f t="shared" si="126"/>
        <v>55.466666666666669</v>
      </c>
      <c r="AQ128" s="6" t="s">
        <v>85</v>
      </c>
      <c r="AR128" s="20"/>
      <c r="AS128" s="6">
        <v>0.24635579913730349</v>
      </c>
      <c r="AT128" s="2">
        <f t="shared" si="78"/>
        <v>149.63723252747255</v>
      </c>
      <c r="AU128" s="5">
        <v>0</v>
      </c>
      <c r="AV128" s="5">
        <v>0</v>
      </c>
      <c r="AW128" s="7">
        <v>0</v>
      </c>
      <c r="AX128" s="7">
        <v>0</v>
      </c>
      <c r="AY128" s="7">
        <v>0</v>
      </c>
      <c r="AZ128" s="7">
        <v>0</v>
      </c>
      <c r="BA128" s="7">
        <v>0</v>
      </c>
      <c r="BB128" s="7">
        <v>0</v>
      </c>
      <c r="BC128" s="7">
        <v>0</v>
      </c>
      <c r="BD128" s="7">
        <v>0</v>
      </c>
      <c r="BE128" s="7">
        <v>0</v>
      </c>
      <c r="BF128" s="7">
        <v>0</v>
      </c>
      <c r="BG128" s="7">
        <v>0</v>
      </c>
      <c r="BH128" s="7">
        <v>0</v>
      </c>
      <c r="BI128" s="7">
        <v>0</v>
      </c>
      <c r="BJ128" s="7">
        <v>0</v>
      </c>
      <c r="BK128" s="7">
        <v>0</v>
      </c>
      <c r="BL128" s="7">
        <v>0</v>
      </c>
      <c r="BM128" s="7">
        <v>0</v>
      </c>
      <c r="BN128" s="7">
        <v>0</v>
      </c>
      <c r="BO128" s="7">
        <v>0</v>
      </c>
      <c r="BP128" s="7">
        <v>0</v>
      </c>
      <c r="BQ128" s="7">
        <v>0</v>
      </c>
      <c r="BR128" s="7">
        <v>0</v>
      </c>
      <c r="BS128" s="7">
        <v>0</v>
      </c>
      <c r="BT128" s="7">
        <v>0</v>
      </c>
      <c r="BU128" s="7">
        <v>0</v>
      </c>
      <c r="BV128" s="7">
        <v>0</v>
      </c>
      <c r="BW128" s="7">
        <v>0</v>
      </c>
      <c r="BX128" s="7">
        <v>0</v>
      </c>
      <c r="BY128" s="7">
        <v>0</v>
      </c>
      <c r="BZ128" s="7">
        <v>0</v>
      </c>
      <c r="CA128" s="7">
        <v>0</v>
      </c>
      <c r="CB128" s="7">
        <v>0</v>
      </c>
      <c r="CC128" s="7">
        <v>0</v>
      </c>
      <c r="CD128" s="7">
        <v>0</v>
      </c>
      <c r="CE128" s="7">
        <v>0</v>
      </c>
      <c r="CF128" s="7">
        <v>0</v>
      </c>
      <c r="CG128" s="7">
        <v>0</v>
      </c>
      <c r="CH128" s="7">
        <v>0</v>
      </c>
      <c r="CI128" s="7">
        <v>0</v>
      </c>
      <c r="CJ128" s="7">
        <v>0</v>
      </c>
      <c r="CK128" s="38">
        <f>VLOOKUP($B128,'abrasion emissions'!$O$7:$R$36,2,FALSE)</f>
        <v>0.33</v>
      </c>
      <c r="CL128" s="38">
        <f>VLOOKUP($B128,'abrasion emissions'!$O$7:$R$36,3,FALSE)</f>
        <v>0.33</v>
      </c>
      <c r="CM128" s="38">
        <f>VLOOKUP($B128,'abrasion emissions'!$O$7:$R$36,4,FALSE)</f>
        <v>0.33</v>
      </c>
      <c r="CN128" s="7">
        <f>((SUMIFS('abrasion emissions'!$M$7:$M$34,'abrasion emissions'!$I$7:$I$34,"PM 2.5",'abrasion emissions'!$J$7:$J$34,"urban",'abrasion emissions'!$K$7:$K$34,"Tyre",'abrasion emissions'!$L$7:$L$34,"b")*POWER(('vehicles specifications'!$Q128/1000),(1/SUMIFS('abrasion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specifications'!$P128/1000),(1/SUMIFS('abrasion emissions'!$M$7:$M$34,'abrasion emissions'!$I$7:$I$34,"PM 10",'abrasion emissions'!$J$7:$J$34,"urban",'abrasion emissions'!$K$7:$K$34,"Tyre",'abrasion emissions'!$L$7:$L$34,"c")))))/1000000</f>
        <v>7.1801535228005072E-6</v>
      </c>
      <c r="CO128" s="7">
        <f>((SUMIFS('abrasion emissions'!$M$7:$M$34,'abrasion emissions'!$I$7:$I$34,"PM 2.5",'abrasion emissions'!$J$7:$J$34,"rural",'abrasion emissions'!$K$7:$K$34,"Tyre",'abrasion emissions'!$L$7:$L$34,"b")*POWER(('vehicles specifications'!$Q128/1000),(1/SUMIFS('abrasion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specifications'!$P128/1000),(1/SUMIFS('abrasion emissions'!$M$7:$M$34,'abrasion emissions'!$I$7:$I$34,"PM 10",'abrasion emissions'!$J$7:$J$34,"rural",'abrasion emissions'!$K$7:$K$34,"Tyre",'abrasion emissions'!$L$7:$L$34,"c")))))/1000000</f>
        <v>5.5917318312942094E-6</v>
      </c>
      <c r="CP128" s="7">
        <f>((SUMIFS('abrasion emissions'!$M$7:$M$34,'abrasion emissions'!$I$7:$I$34,"PM 2.5",'abrasion emissions'!$J$7:$J$34,"motorway",'abrasion emissions'!$K$7:$K$34,"Tyre",'abrasion emissions'!$L$7:$L$34,"b")*POWER(('vehicles specifications'!$Q128/1000),(1/SUMIFS('abrasion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specifications'!$P128/1000),(1/SUMIFS('abrasion emissions'!$M$7:$M$34,'abrasion emissions'!$I$7:$I$34,"PM 10",'abrasion emissions'!$J$7:$J$34,"motorway",'abrasion emissions'!$K$7:$K$34,"Tyre",'abrasion emissions'!$L$7:$L$34,"c")))))/1000000</f>
        <v>4.7746160925158934E-6</v>
      </c>
      <c r="CQ128" s="7">
        <f>((SUMIFS('abrasion emissions'!$M$7:$M$34,'abrasion emissions'!$I$7:$I$34,"PM 2.5",'abrasion emissions'!$J$7:$J$34,"urban",'abrasion emissions'!$K$7:$K$34,"Brake",'abrasion emissions'!$L$7:$L$34,"b")*POWER(('vehicles specifications'!$Q128/1000),(1/SUMIFS('abrasion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specifications'!$P128/1000),(1/SUMIFS('abrasion emissions'!$M$7:$M$34,'abrasion emissions'!$I$7:$I$34,"PM 10",'abrasion emissions'!$J$7:$J$34,"urban",'abrasion emissions'!$K$7:$K$34,"Brake",'abrasion emissions'!$L$7:$L$34,"c")))))/1000000</f>
        <v>6.9858143570140925E-6</v>
      </c>
      <c r="CR128" s="7">
        <f>((SUMIFS('abrasion emissions'!$M$7:$M$34,'abrasion emissions'!$I$7:$I$34,"PM 2.5",'abrasion emissions'!$J$7:$J$34,"rural",'abrasion emissions'!$K$7:$K$34,"Brake",'abrasion emissions'!$L$7:$L$34,"b")*POWER(('vehicles specifications'!$Q128/1000),(1/SUMIFS('abrasion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specifications'!$P128/1000),(1/SUMIFS('abrasion emissions'!$M$7:$M$34,'abrasion emissions'!$I$7:$I$34,"PM 10",'abrasion emissions'!$J$7:$J$34,"rural",'abrasion emissions'!$K$7:$K$34,"Brake",'abrasion emissions'!$L$7:$L$34,"c")))))/1000000</f>
        <v>2.3511274593329272E-6</v>
      </c>
      <c r="CS128" s="7">
        <f>((SUMIFS('abrasion emissions'!$M$7:$M$34,'abrasion emissions'!$I$7:$I$34,"PM 2.5",'abrasion emissions'!$J$7:$J$34,"motorway",'abrasion emissions'!$K$7:$K$34,"Brake",'abrasion emissions'!$L$7:$L$34,"b")*POWER(('vehicles specifications'!$Q128/1000),(1/SUMIFS('abrasion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specifications'!$P128/1000),(1/SUMIFS('abrasion emissions'!$M$7:$M$34,'abrasion emissions'!$I$7:$I$34,"PM 10",'abrasion emissions'!$J$7:$J$34,"motorway",'abrasion emissions'!$K$7:$K$34,"Brake",'abrasion emissions'!$L$7:$L$34,"c")))))/1000000</f>
        <v>4.4955955462242896E-7</v>
      </c>
      <c r="CT128" s="7">
        <f>((SUMIFS('abrasion emissions'!$M$7:$M$38,'abrasion emissions'!$I$7:$I$38,"PM 2.5",'abrasion emissions'!$K$7:$K$38,"Re-susp.",'abrasion emissions'!$L$7:$L$38,"b")*POWER(('vehicles specifications'!$Q128/1000),(1/SUMIFS('abrasion emissions'!$M$7:$M$38,'abrasion emissions'!$I$7:$I$38,"PM 2.5",'abrasion emissions'!$K$7:$K$38,"Re-susp.",'abrasion emissions'!$L$7:$L$38,"c"))))+
(SUMIFS('abrasion emissions'!$M$7:$M$38,'abrasion emissions'!$I$7:$I$38,"PM 10",'abrasion emissions'!$K$7:$K$38,"Re-susp.",'abrasion emissions'!$L$7:$L$38,"b")*POWER(('vehicles specifications'!$Q128/1000),(1/SUMIFS('abrasion emissions'!$M$7:$M$38,'abrasion emissions'!$I$7:$I$38,"PM 10",'abrasion emissions'!$K$7:$K$38,"Re-susp.",'abrasion emissions'!$L$7:$L$38,"c")))))/1000000</f>
        <v>4.7273406196870027E-6</v>
      </c>
      <c r="CU128" s="7">
        <f>((SUMIFS('abrasion emissions'!$M$7:$M$38,'abrasion emissions'!$I$7:$I$38,"PM 2.5",'abrasion emissions'!$K$7:$K$38,"Road",'abrasion emissions'!$L$7:$L$38,"b")*POWER(('vehicles specifications'!$Q128/1000),(1/SUMIFS('abrasion emissions'!$M$7:$M$38,'abrasion emissions'!$I$7:$I$38,"PM 2.5",'abrasion emissions'!$K$7:$K$38,"Road",'abrasion emissions'!$L$7:$L$38,"c"))))+
(SUMIFS('abrasion emissions'!$M$7:$M$38,'abrasion emissions'!$I$7:$I$38,"PM 10",'abrasion emissions'!$K$7:$K$38,"Road",'abrasion emissions'!$L$7:$L$38,"b")*POWER(('vehicles specifications'!$Q128/1000),(1/SUMIFS('abrasion emissions'!$M$7:$M$38,'abrasion emissions'!$I$7:$I$38,"PM 10",'abrasion emissions'!$K$7:$K$38,"Road",'abrasion emissions'!$L$7:$L$38,"c")))))/1000000+CT128</f>
        <v>8.8240366405718536E-6</v>
      </c>
      <c r="CV128" s="7">
        <f t="shared" si="79"/>
        <v>5.7903454773815019E-6</v>
      </c>
      <c r="CW128" s="7">
        <f t="shared" si="80"/>
        <v>3.2295454524199181E-6</v>
      </c>
    </row>
    <row r="129" spans="1:101" x14ac:dyDescent="0.2">
      <c r="A129" t="str">
        <f t="shared" si="117"/>
        <v>Motorbike, electric, 11-35kW - 2040 - NMC - CH</v>
      </c>
      <c r="B129" t="s">
        <v>269</v>
      </c>
      <c r="D129" s="18">
        <v>2040</v>
      </c>
      <c r="E129" t="s">
        <v>37</v>
      </c>
      <c r="F129" t="s">
        <v>138</v>
      </c>
      <c r="G129" t="s">
        <v>39</v>
      </c>
      <c r="H129" t="s">
        <v>32</v>
      </c>
      <c r="I129" t="s">
        <v>43</v>
      </c>
      <c r="J129">
        <v>38500</v>
      </c>
      <c r="K129">
        <v>2405</v>
      </c>
      <c r="L129" s="2">
        <f t="shared" si="118"/>
        <v>16.008316008316008</v>
      </c>
      <c r="M129">
        <v>1.1000000000000001</v>
      </c>
      <c r="N129">
        <v>75</v>
      </c>
      <c r="O129">
        <v>6</v>
      </c>
      <c r="P129" s="2">
        <f t="shared" si="119"/>
        <v>166.8</v>
      </c>
      <c r="Q129" s="2">
        <f t="shared" si="120"/>
        <v>255.3</v>
      </c>
      <c r="R129">
        <v>14</v>
      </c>
      <c r="S129" s="2">
        <v>81</v>
      </c>
      <c r="T129" s="1">
        <v>0.05</v>
      </c>
      <c r="U129" s="2">
        <f t="shared" si="105"/>
        <v>76.95</v>
      </c>
      <c r="V129" s="2">
        <v>13</v>
      </c>
      <c r="W129" s="2">
        <v>19</v>
      </c>
      <c r="X129" s="3">
        <v>17.8</v>
      </c>
      <c r="Y129" s="1">
        <v>0.8</v>
      </c>
      <c r="Z129" s="3">
        <f t="shared" si="121"/>
        <v>14.240000000000002</v>
      </c>
      <c r="AA129" s="3">
        <f>IF(I129&lt;&gt;"",X129/INDEX('energy battery'!$B$3:$D$6,MATCH('vehicles specifications'!$D129,'energy battery'!$A$3:$A$6,0),MATCH('vehicles specifications'!$I129,'energy battery'!$B$2:$D$2,0)),"")</f>
        <v>44.5</v>
      </c>
      <c r="AB129" s="3">
        <f t="shared" si="115"/>
        <v>13.35</v>
      </c>
      <c r="AC129" s="3">
        <f t="shared" si="122"/>
        <v>57.85</v>
      </c>
      <c r="AD129" s="3">
        <v>0.25</v>
      </c>
      <c r="AE129" s="3">
        <v>0</v>
      </c>
      <c r="AF129">
        <f>AE129*'fuels and tailpipe emissions'!$B$3</f>
        <v>0</v>
      </c>
      <c r="AG129">
        <v>0</v>
      </c>
      <c r="AH129" s="3">
        <v>0</v>
      </c>
      <c r="AI129" s="3">
        <v>5</v>
      </c>
      <c r="AJ129" s="3">
        <v>1</v>
      </c>
      <c r="AK129">
        <f t="shared" si="129"/>
        <v>1.54</v>
      </c>
      <c r="AL129">
        <f t="shared" si="123"/>
        <v>1.370961E-4</v>
      </c>
      <c r="AM129">
        <v>1.2899999999999999E-3</v>
      </c>
      <c r="AN129" s="2">
        <f t="shared" si="124"/>
        <v>76.95</v>
      </c>
      <c r="AO129" s="2">
        <f t="shared" si="125"/>
        <v>32</v>
      </c>
      <c r="AP129" s="2">
        <f t="shared" si="126"/>
        <v>57.85</v>
      </c>
      <c r="AQ129" s="6" t="s">
        <v>85</v>
      </c>
      <c r="AR129" s="20"/>
      <c r="AS129" s="6">
        <v>0.24635579913730349</v>
      </c>
      <c r="AT129" s="2">
        <f t="shared" si="78"/>
        <v>208.08927648351653</v>
      </c>
      <c r="AU129" s="5">
        <v>0</v>
      </c>
      <c r="AV129" s="5">
        <v>0</v>
      </c>
      <c r="AW129" s="7">
        <v>0</v>
      </c>
      <c r="AX129" s="7">
        <v>0</v>
      </c>
      <c r="AY129" s="7">
        <v>0</v>
      </c>
      <c r="AZ129" s="7">
        <v>0</v>
      </c>
      <c r="BA129" s="7">
        <v>0</v>
      </c>
      <c r="BB129" s="7">
        <v>0</v>
      </c>
      <c r="BC129" s="7">
        <v>0</v>
      </c>
      <c r="BD129" s="7">
        <v>0</v>
      </c>
      <c r="BE129" s="7">
        <v>0</v>
      </c>
      <c r="BF129" s="7">
        <v>0</v>
      </c>
      <c r="BG129" s="7">
        <v>0</v>
      </c>
      <c r="BH129" s="7">
        <v>0</v>
      </c>
      <c r="BI129" s="7">
        <v>0</v>
      </c>
      <c r="BJ129" s="7">
        <v>0</v>
      </c>
      <c r="BK129" s="7">
        <v>0</v>
      </c>
      <c r="BL129" s="7">
        <v>0</v>
      </c>
      <c r="BM129" s="7">
        <v>0</v>
      </c>
      <c r="BN129" s="7">
        <v>0</v>
      </c>
      <c r="BO129" s="7">
        <v>0</v>
      </c>
      <c r="BP129" s="7">
        <v>0</v>
      </c>
      <c r="BQ129" s="7">
        <v>0</v>
      </c>
      <c r="BR129" s="7">
        <v>0</v>
      </c>
      <c r="BS129" s="7">
        <v>0</v>
      </c>
      <c r="BT129" s="7">
        <v>0</v>
      </c>
      <c r="BU129" s="7">
        <v>0</v>
      </c>
      <c r="BV129" s="7">
        <v>0</v>
      </c>
      <c r="BW129" s="7">
        <v>0</v>
      </c>
      <c r="BX129" s="7">
        <v>0</v>
      </c>
      <c r="BY129" s="7">
        <v>0</v>
      </c>
      <c r="BZ129" s="7">
        <v>0</v>
      </c>
      <c r="CA129" s="7">
        <v>0</v>
      </c>
      <c r="CB129" s="7">
        <v>0</v>
      </c>
      <c r="CC129" s="7">
        <v>0</v>
      </c>
      <c r="CD129" s="7">
        <v>0</v>
      </c>
      <c r="CE129" s="7">
        <v>0</v>
      </c>
      <c r="CF129" s="7">
        <v>0</v>
      </c>
      <c r="CG129" s="7">
        <v>0</v>
      </c>
      <c r="CH129" s="7">
        <v>0</v>
      </c>
      <c r="CI129" s="7">
        <v>0</v>
      </c>
      <c r="CJ129" s="7">
        <v>0</v>
      </c>
      <c r="CK129" s="38">
        <f>VLOOKUP($B129,'abrasion emissions'!$O$7:$R$36,2,FALSE)</f>
        <v>0.33</v>
      </c>
      <c r="CL129" s="38">
        <f>VLOOKUP($B129,'abrasion emissions'!$O$7:$R$36,3,FALSE)</f>
        <v>0.33</v>
      </c>
      <c r="CM129" s="38">
        <f>VLOOKUP($B129,'abrasion emissions'!$O$7:$R$36,4,FALSE)</f>
        <v>0.33</v>
      </c>
      <c r="CN129" s="7">
        <f>((SUMIFS('abrasion emissions'!$M$7:$M$34,'abrasion emissions'!$I$7:$I$34,"PM 2.5",'abrasion emissions'!$J$7:$J$34,"urban",'abrasion emissions'!$K$7:$K$34,"Tyre",'abrasion emissions'!$L$7:$L$34,"b")*POWER(('vehicles specifications'!$Q129/1000),(1/SUMIFS('abrasion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specifications'!$P129/1000),(1/SUMIFS('abrasion emissions'!$M$7:$M$34,'abrasion emissions'!$I$7:$I$34,"PM 10",'abrasion emissions'!$J$7:$J$34,"urban",'abrasion emissions'!$K$7:$K$34,"Tyre",'abrasion emissions'!$L$7:$L$34,"c")))))/1000000</f>
        <v>7.191350224974304E-6</v>
      </c>
      <c r="CO129" s="7">
        <f>((SUMIFS('abrasion emissions'!$M$7:$M$34,'abrasion emissions'!$I$7:$I$34,"PM 2.5",'abrasion emissions'!$J$7:$J$34,"rural",'abrasion emissions'!$K$7:$K$34,"Tyre",'abrasion emissions'!$L$7:$L$34,"b")*POWER(('vehicles specifications'!$Q129/1000),(1/SUMIFS('abrasion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specifications'!$P129/1000),(1/SUMIFS('abrasion emissions'!$M$7:$M$34,'abrasion emissions'!$I$7:$I$34,"PM 10",'abrasion emissions'!$J$7:$J$34,"rural",'abrasion emissions'!$K$7:$K$34,"Tyre",'abrasion emissions'!$L$7:$L$34,"c")))))/1000000</f>
        <v>5.6004461857878812E-6</v>
      </c>
      <c r="CP129" s="7">
        <f>((SUMIFS('abrasion emissions'!$M$7:$M$34,'abrasion emissions'!$I$7:$I$34,"PM 2.5",'abrasion emissions'!$J$7:$J$34,"motorway",'abrasion emissions'!$K$7:$K$34,"Tyre",'abrasion emissions'!$L$7:$L$34,"b")*POWER(('vehicles specifications'!$Q129/1000),(1/SUMIFS('abrasion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specifications'!$P129/1000),(1/SUMIFS('abrasion emissions'!$M$7:$M$34,'abrasion emissions'!$I$7:$I$34,"PM 10",'abrasion emissions'!$J$7:$J$34,"motorway",'abrasion emissions'!$K$7:$K$34,"Tyre",'abrasion emissions'!$L$7:$L$34,"c")))))/1000000</f>
        <v>4.7820435488367323E-6</v>
      </c>
      <c r="CQ129" s="7">
        <f>((SUMIFS('abrasion emissions'!$M$7:$M$34,'abrasion emissions'!$I$7:$I$34,"PM 2.5",'abrasion emissions'!$J$7:$J$34,"urban",'abrasion emissions'!$K$7:$K$34,"Brake",'abrasion emissions'!$L$7:$L$34,"b")*POWER(('vehicles specifications'!$Q129/1000),(1/SUMIFS('abrasion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specifications'!$P129/1000),(1/SUMIFS('abrasion emissions'!$M$7:$M$34,'abrasion emissions'!$I$7:$I$34,"PM 10",'abrasion emissions'!$J$7:$J$34,"urban",'abrasion emissions'!$K$7:$K$34,"Brake",'abrasion emissions'!$L$7:$L$34,"c")))))/1000000</f>
        <v>6.9982036556431788E-6</v>
      </c>
      <c r="CR129" s="7">
        <f>((SUMIFS('abrasion emissions'!$M$7:$M$34,'abrasion emissions'!$I$7:$I$34,"PM 2.5",'abrasion emissions'!$J$7:$J$34,"rural",'abrasion emissions'!$K$7:$K$34,"Brake",'abrasion emissions'!$L$7:$L$34,"b")*POWER(('vehicles specifications'!$Q129/1000),(1/SUMIFS('abrasion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specifications'!$P129/1000),(1/SUMIFS('abrasion emissions'!$M$7:$M$34,'abrasion emissions'!$I$7:$I$34,"PM 10",'abrasion emissions'!$J$7:$J$34,"rural",'abrasion emissions'!$K$7:$K$34,"Brake",'abrasion emissions'!$L$7:$L$34,"c")))))/1000000</f>
        <v>2.3564043884212742E-6</v>
      </c>
      <c r="CS129" s="7">
        <f>((SUMIFS('abrasion emissions'!$M$7:$M$34,'abrasion emissions'!$I$7:$I$34,"PM 2.5",'abrasion emissions'!$J$7:$J$34,"motorway",'abrasion emissions'!$K$7:$K$34,"Brake",'abrasion emissions'!$L$7:$L$34,"b")*POWER(('vehicles specifications'!$Q129/1000),(1/SUMIFS('abrasion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specifications'!$P129/1000),(1/SUMIFS('abrasion emissions'!$M$7:$M$34,'abrasion emissions'!$I$7:$I$34,"PM 10",'abrasion emissions'!$J$7:$J$34,"motorway",'abrasion emissions'!$K$7:$K$34,"Brake",'abrasion emissions'!$L$7:$L$34,"c")))))/1000000</f>
        <v>4.5071974549913653E-7</v>
      </c>
      <c r="CT129" s="7">
        <f>((SUMIFS('abrasion emissions'!$M$7:$M$38,'abrasion emissions'!$I$7:$I$38,"PM 2.5",'abrasion emissions'!$K$7:$K$38,"Re-susp.",'abrasion emissions'!$L$7:$L$38,"b")*POWER(('vehicles specifications'!$Q129/1000),(1/SUMIFS('abrasion emissions'!$M$7:$M$38,'abrasion emissions'!$I$7:$I$38,"PM 2.5",'abrasion emissions'!$K$7:$K$38,"Re-susp.",'abrasion emissions'!$L$7:$L$38,"c"))))+
(SUMIFS('abrasion emissions'!$M$7:$M$38,'abrasion emissions'!$I$7:$I$38,"PM 10",'abrasion emissions'!$K$7:$K$38,"Re-susp.",'abrasion emissions'!$L$7:$L$38,"b")*POWER(('vehicles specifications'!$Q129/1000),(1/SUMIFS('abrasion emissions'!$M$7:$M$38,'abrasion emissions'!$I$7:$I$38,"PM 10",'abrasion emissions'!$K$7:$K$38,"Re-susp.",'abrasion emissions'!$L$7:$L$38,"c")))))/1000000</f>
        <v>4.7402269406922841E-6</v>
      </c>
      <c r="CU129" s="7">
        <f>((SUMIFS('abrasion emissions'!$M$7:$M$38,'abrasion emissions'!$I$7:$I$38,"PM 2.5",'abrasion emissions'!$K$7:$K$38,"Road",'abrasion emissions'!$L$7:$L$38,"b")*POWER(('vehicles specifications'!$Q129/1000),(1/SUMIFS('abrasion emissions'!$M$7:$M$38,'abrasion emissions'!$I$7:$I$38,"PM 2.5",'abrasion emissions'!$K$7:$K$38,"Road",'abrasion emissions'!$L$7:$L$38,"c"))))+
(SUMIFS('abrasion emissions'!$M$7:$M$38,'abrasion emissions'!$I$7:$I$38,"PM 10",'abrasion emissions'!$K$7:$K$38,"Road",'abrasion emissions'!$L$7:$L$38,"b")*POWER(('vehicles specifications'!$Q129/1000),(1/SUMIFS('abrasion emissions'!$M$7:$M$38,'abrasion emissions'!$I$7:$I$38,"PM 10",'abrasion emissions'!$K$7:$K$38,"Road",'abrasion emissions'!$L$7:$L$38,"c")))))/1000000+CT129</f>
        <v>8.845109296756298E-6</v>
      </c>
      <c r="CV129" s="7">
        <f t="shared" si="79"/>
        <v>5.7993671866676433E-6</v>
      </c>
      <c r="CW129" s="7">
        <f t="shared" si="80"/>
        <v>3.2357581705559849E-6</v>
      </c>
    </row>
    <row r="130" spans="1:101" x14ac:dyDescent="0.2">
      <c r="A130" t="str">
        <f t="shared" si="117"/>
        <v>Motorbike, electric, 11-35kW - 2050 - NMC - CH</v>
      </c>
      <c r="B130" t="s">
        <v>269</v>
      </c>
      <c r="D130" s="18">
        <v>2050</v>
      </c>
      <c r="E130" t="s">
        <v>37</v>
      </c>
      <c r="F130" t="s">
        <v>138</v>
      </c>
      <c r="G130" t="s">
        <v>39</v>
      </c>
      <c r="H130" t="s">
        <v>32</v>
      </c>
      <c r="I130" t="s">
        <v>43</v>
      </c>
      <c r="J130">
        <v>38500</v>
      </c>
      <c r="K130">
        <v>2405</v>
      </c>
      <c r="L130" s="2">
        <f t="shared" si="118"/>
        <v>16.008316008316008</v>
      </c>
      <c r="M130">
        <v>1.1000000000000001</v>
      </c>
      <c r="N130">
        <v>75</v>
      </c>
      <c r="O130">
        <v>6</v>
      </c>
      <c r="P130" s="2">
        <f t="shared" si="119"/>
        <v>166.61</v>
      </c>
      <c r="Q130" s="2">
        <f t="shared" si="120"/>
        <v>255.11</v>
      </c>
      <c r="R130">
        <v>14</v>
      </c>
      <c r="S130" s="2">
        <v>81</v>
      </c>
      <c r="T130" s="1">
        <v>7.0000000000000007E-2</v>
      </c>
      <c r="U130" s="2">
        <f t="shared" si="105"/>
        <v>75.33</v>
      </c>
      <c r="V130" s="2">
        <v>13</v>
      </c>
      <c r="W130" s="2">
        <v>19</v>
      </c>
      <c r="X130" s="3">
        <v>22.8</v>
      </c>
      <c r="Y130" s="1">
        <v>0.8</v>
      </c>
      <c r="Z130" s="3">
        <f t="shared" si="121"/>
        <v>18.240000000000002</v>
      </c>
      <c r="AA130" s="3">
        <f>IF(I130&lt;&gt;"",X130/INDEX('energy battery'!$B$3:$D$6,MATCH('vehicles specifications'!$D130,'energy battery'!$A$3:$A$6,0),MATCH('vehicles specifications'!$I130,'energy battery'!$B$2:$D$2,0)),"")</f>
        <v>45.6</v>
      </c>
      <c r="AB130" s="3">
        <f t="shared" si="115"/>
        <v>13.68</v>
      </c>
      <c r="AC130" s="3">
        <f t="shared" si="122"/>
        <v>59.28</v>
      </c>
      <c r="AD130" s="3">
        <v>0</v>
      </c>
      <c r="AE130" s="3">
        <v>0</v>
      </c>
      <c r="AF130">
        <f>AE130*'fuels and tailpipe emissions'!$B$3</f>
        <v>0</v>
      </c>
      <c r="AG130">
        <v>0</v>
      </c>
      <c r="AH130" s="3">
        <v>0</v>
      </c>
      <c r="AI130" s="3">
        <v>5</v>
      </c>
      <c r="AJ130" s="3">
        <v>1</v>
      </c>
      <c r="AK130">
        <f t="shared" si="129"/>
        <v>1.54</v>
      </c>
      <c r="AL130">
        <f t="shared" si="123"/>
        <v>1.3699407E-4</v>
      </c>
      <c r="AM130">
        <v>1.2899999999999999E-3</v>
      </c>
      <c r="AN130" s="2">
        <f t="shared" si="124"/>
        <v>75.33</v>
      </c>
      <c r="AO130" s="2">
        <f t="shared" si="125"/>
        <v>32</v>
      </c>
      <c r="AP130" s="2">
        <f t="shared" si="126"/>
        <v>59.28</v>
      </c>
      <c r="AQ130" s="6" t="s">
        <v>85</v>
      </c>
      <c r="AR130" s="20"/>
      <c r="AS130" s="6">
        <v>0.24635579913730349</v>
      </c>
      <c r="AT130" s="2">
        <f t="shared" si="78"/>
        <v>266.54132043956048</v>
      </c>
      <c r="AU130" s="5">
        <v>0</v>
      </c>
      <c r="AV130" s="5">
        <v>0</v>
      </c>
      <c r="AW130" s="7">
        <v>0</v>
      </c>
      <c r="AX130" s="7">
        <v>0</v>
      </c>
      <c r="AY130" s="7">
        <v>0</v>
      </c>
      <c r="AZ130" s="7">
        <v>0</v>
      </c>
      <c r="BA130" s="7">
        <v>0</v>
      </c>
      <c r="BB130" s="7">
        <v>0</v>
      </c>
      <c r="BC130" s="7">
        <v>0</v>
      </c>
      <c r="BD130" s="7">
        <v>0</v>
      </c>
      <c r="BE130" s="7">
        <v>0</v>
      </c>
      <c r="BF130" s="7">
        <v>0</v>
      </c>
      <c r="BG130" s="7">
        <v>0</v>
      </c>
      <c r="BH130" s="7">
        <v>0</v>
      </c>
      <c r="BI130" s="7">
        <v>0</v>
      </c>
      <c r="BJ130" s="7">
        <v>0</v>
      </c>
      <c r="BK130" s="7">
        <v>0</v>
      </c>
      <c r="BL130" s="7">
        <v>0</v>
      </c>
      <c r="BM130" s="7">
        <v>0</v>
      </c>
      <c r="BN130" s="7">
        <v>0</v>
      </c>
      <c r="BO130" s="7">
        <v>0</v>
      </c>
      <c r="BP130" s="7">
        <v>0</v>
      </c>
      <c r="BQ130" s="7">
        <v>0</v>
      </c>
      <c r="BR130" s="7">
        <v>0</v>
      </c>
      <c r="BS130" s="7">
        <v>0</v>
      </c>
      <c r="BT130" s="7">
        <v>0</v>
      </c>
      <c r="BU130" s="7">
        <v>0</v>
      </c>
      <c r="BV130" s="7">
        <v>0</v>
      </c>
      <c r="BW130" s="7">
        <v>0</v>
      </c>
      <c r="BX130" s="7">
        <v>0</v>
      </c>
      <c r="BY130" s="7">
        <v>0</v>
      </c>
      <c r="BZ130" s="7">
        <v>0</v>
      </c>
      <c r="CA130" s="7">
        <v>0</v>
      </c>
      <c r="CB130" s="7">
        <v>0</v>
      </c>
      <c r="CC130" s="7">
        <v>0</v>
      </c>
      <c r="CD130" s="7">
        <v>0</v>
      </c>
      <c r="CE130" s="7">
        <v>0</v>
      </c>
      <c r="CF130" s="7">
        <v>0</v>
      </c>
      <c r="CG130" s="7">
        <v>0</v>
      </c>
      <c r="CH130" s="7">
        <v>0</v>
      </c>
      <c r="CI130" s="7">
        <v>0</v>
      </c>
      <c r="CJ130" s="7">
        <v>0</v>
      </c>
      <c r="CK130" s="38">
        <f>VLOOKUP($B130,'abrasion emissions'!$O$7:$R$36,2,FALSE)</f>
        <v>0.33</v>
      </c>
      <c r="CL130" s="38">
        <f>VLOOKUP($B130,'abrasion emissions'!$O$7:$R$36,3,FALSE)</f>
        <v>0.33</v>
      </c>
      <c r="CM130" s="38">
        <f>VLOOKUP($B130,'abrasion emissions'!$O$7:$R$36,4,FALSE)</f>
        <v>0.33</v>
      </c>
      <c r="CN130" s="7">
        <f>((SUMIFS('abrasion emissions'!$M$7:$M$34,'abrasion emissions'!$I$7:$I$34,"PM 2.5",'abrasion emissions'!$J$7:$J$34,"urban",'abrasion emissions'!$K$7:$K$34,"Tyre",'abrasion emissions'!$L$7:$L$34,"b")*POWER(('vehicles specifications'!$Q130/1000),(1/SUMIFS('abrasion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specifications'!$P130/1000),(1/SUMIFS('abrasion emissions'!$M$7:$M$34,'abrasion emissions'!$I$7:$I$34,"PM 10",'abrasion emissions'!$J$7:$J$34,"urban",'abrasion emissions'!$K$7:$K$34,"Tyre",'abrasion emissions'!$L$7:$L$34,"c")))))/1000000</f>
        <v>7.1885654894377667E-6</v>
      </c>
      <c r="CO130" s="7">
        <f>((SUMIFS('abrasion emissions'!$M$7:$M$34,'abrasion emissions'!$I$7:$I$34,"PM 2.5",'abrasion emissions'!$J$7:$J$34,"rural",'abrasion emissions'!$K$7:$K$34,"Tyre",'abrasion emissions'!$L$7:$L$34,"b")*POWER(('vehicles specifications'!$Q130/1000),(1/SUMIFS('abrasion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specifications'!$P130/1000),(1/SUMIFS('abrasion emissions'!$M$7:$M$34,'abrasion emissions'!$I$7:$I$34,"PM 10",'abrasion emissions'!$J$7:$J$34,"rural",'abrasion emissions'!$K$7:$K$34,"Tyre",'abrasion emissions'!$L$7:$L$34,"c")))))/1000000</f>
        <v>5.5982788346864884E-6</v>
      </c>
      <c r="CP130" s="7">
        <f>((SUMIFS('abrasion emissions'!$M$7:$M$34,'abrasion emissions'!$I$7:$I$34,"PM 2.5",'abrasion emissions'!$J$7:$J$34,"motorway",'abrasion emissions'!$K$7:$K$34,"Tyre",'abrasion emissions'!$L$7:$L$34,"b")*POWER(('vehicles specifications'!$Q130/1000),(1/SUMIFS('abrasion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specifications'!$P130/1000),(1/SUMIFS('abrasion emissions'!$M$7:$M$34,'abrasion emissions'!$I$7:$I$34,"PM 10",'abrasion emissions'!$J$7:$J$34,"motorway",'abrasion emissions'!$K$7:$K$34,"Tyre",'abrasion emissions'!$L$7:$L$34,"c")))))/1000000</f>
        <v>4.7801962600443701E-6</v>
      </c>
      <c r="CQ130" s="7">
        <f>((SUMIFS('abrasion emissions'!$M$7:$M$34,'abrasion emissions'!$I$7:$I$34,"PM 2.5",'abrasion emissions'!$J$7:$J$34,"urban",'abrasion emissions'!$K$7:$K$34,"Brake",'abrasion emissions'!$L$7:$L$34,"b")*POWER(('vehicles specifications'!$Q130/1000),(1/SUMIFS('abrasion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specifications'!$P130/1000),(1/SUMIFS('abrasion emissions'!$M$7:$M$34,'abrasion emissions'!$I$7:$I$34,"PM 10",'abrasion emissions'!$J$7:$J$34,"urban",'abrasion emissions'!$K$7:$K$34,"Brake",'abrasion emissions'!$L$7:$L$34,"c")))))/1000000</f>
        <v>6.9951217764317907E-6</v>
      </c>
      <c r="CR130" s="7">
        <f>((SUMIFS('abrasion emissions'!$M$7:$M$34,'abrasion emissions'!$I$7:$I$34,"PM 2.5",'abrasion emissions'!$J$7:$J$34,"rural",'abrasion emissions'!$K$7:$K$34,"Brake",'abrasion emissions'!$L$7:$L$34,"b")*POWER(('vehicles specifications'!$Q130/1000),(1/SUMIFS('abrasion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specifications'!$P130/1000),(1/SUMIFS('abrasion emissions'!$M$7:$M$34,'abrasion emissions'!$I$7:$I$34,"PM 10",'abrasion emissions'!$J$7:$J$34,"rural",'abrasion emissions'!$K$7:$K$34,"Brake",'abrasion emissions'!$L$7:$L$34,"c")))))/1000000</f>
        <v>2.3550914917354701E-6</v>
      </c>
      <c r="CS130" s="7">
        <f>((SUMIFS('abrasion emissions'!$M$7:$M$34,'abrasion emissions'!$I$7:$I$34,"PM 2.5",'abrasion emissions'!$J$7:$J$34,"motorway",'abrasion emissions'!$K$7:$K$34,"Brake",'abrasion emissions'!$L$7:$L$34,"b")*POWER(('vehicles specifications'!$Q130/1000),(1/SUMIFS('abrasion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specifications'!$P130/1000),(1/SUMIFS('abrasion emissions'!$M$7:$M$34,'abrasion emissions'!$I$7:$I$34,"PM 10",'abrasion emissions'!$J$7:$J$34,"motorway",'abrasion emissions'!$K$7:$K$34,"Brake",'abrasion emissions'!$L$7:$L$34,"c")))))/1000000</f>
        <v>4.5043105147652871E-7</v>
      </c>
      <c r="CT130" s="7">
        <f>((SUMIFS('abrasion emissions'!$M$7:$M$38,'abrasion emissions'!$I$7:$I$38,"PM 2.5",'abrasion emissions'!$K$7:$K$38,"Re-susp.",'abrasion emissions'!$L$7:$L$38,"b")*POWER(('vehicles specifications'!$Q130/1000),(1/SUMIFS('abrasion emissions'!$M$7:$M$38,'abrasion emissions'!$I$7:$I$38,"PM 2.5",'abrasion emissions'!$K$7:$K$38,"Re-susp.",'abrasion emissions'!$L$7:$L$38,"c"))))+
(SUMIFS('abrasion emissions'!$M$7:$M$38,'abrasion emissions'!$I$7:$I$38,"PM 10",'abrasion emissions'!$K$7:$K$38,"Re-susp.",'abrasion emissions'!$L$7:$L$38,"b")*POWER(('vehicles specifications'!$Q130/1000),(1/SUMIFS('abrasion emissions'!$M$7:$M$38,'abrasion emissions'!$I$7:$I$38,"PM 10",'abrasion emissions'!$K$7:$K$38,"Re-susp.",'abrasion emissions'!$L$7:$L$38,"c")))))/1000000</f>
        <v>4.7370197562953144E-6</v>
      </c>
      <c r="CU130" s="7">
        <f>((SUMIFS('abrasion emissions'!$M$7:$M$38,'abrasion emissions'!$I$7:$I$38,"PM 2.5",'abrasion emissions'!$K$7:$K$38,"Road",'abrasion emissions'!$L$7:$L$38,"b")*POWER(('vehicles specifications'!$Q130/1000),(1/SUMIFS('abrasion emissions'!$M$7:$M$38,'abrasion emissions'!$I$7:$I$38,"PM 2.5",'abrasion emissions'!$K$7:$K$38,"Road",'abrasion emissions'!$L$7:$L$38,"c"))))+
(SUMIFS('abrasion emissions'!$M$7:$M$38,'abrasion emissions'!$I$7:$I$38,"PM 10",'abrasion emissions'!$K$7:$K$38,"Road",'abrasion emissions'!$L$7:$L$38,"b")*POWER(('vehicles specifications'!$Q130/1000),(1/SUMIFS('abrasion emissions'!$M$7:$M$38,'abrasion emissions'!$I$7:$I$38,"PM 10",'abrasion emissions'!$K$7:$K$38,"Road",'abrasion emissions'!$L$7:$L$38,"c")))))/1000000+CT130</f>
        <v>8.8398652291641006E-6</v>
      </c>
      <c r="CV130" s="7">
        <f t="shared" si="79"/>
        <v>5.7971233927756468E-6</v>
      </c>
      <c r="CW130" s="7">
        <f t="shared" si="80"/>
        <v>3.2342126254824507E-6</v>
      </c>
    </row>
    <row r="131" spans="1:101" x14ac:dyDescent="0.2">
      <c r="A131" t="str">
        <f t="shared" si="117"/>
        <v>Motorbike, electric, &gt;35kW - 2020 - NMC - CH</v>
      </c>
      <c r="B131" t="s">
        <v>270</v>
      </c>
      <c r="D131" s="18">
        <v>2020</v>
      </c>
      <c r="E131" t="s">
        <v>37</v>
      </c>
      <c r="F131" t="s">
        <v>138</v>
      </c>
      <c r="G131" t="s">
        <v>39</v>
      </c>
      <c r="H131" t="s">
        <v>32</v>
      </c>
      <c r="I131" t="s">
        <v>43</v>
      </c>
      <c r="J131">
        <v>40500</v>
      </c>
      <c r="K131">
        <v>2896</v>
      </c>
      <c r="L131" s="2">
        <f t="shared" si="118"/>
        <v>13.984806629834255</v>
      </c>
      <c r="M131">
        <v>1.1000000000000001</v>
      </c>
      <c r="N131">
        <v>75</v>
      </c>
      <c r="O131">
        <v>6</v>
      </c>
      <c r="P131" s="2">
        <f t="shared" si="119"/>
        <v>254.89</v>
      </c>
      <c r="Q131" s="2">
        <f t="shared" si="120"/>
        <v>343.39</v>
      </c>
      <c r="R131">
        <v>49</v>
      </c>
      <c r="S131" s="2">
        <v>111</v>
      </c>
      <c r="T131" s="1">
        <v>0</v>
      </c>
      <c r="U131" s="2">
        <f t="shared" si="105"/>
        <v>111</v>
      </c>
      <c r="V131" s="2">
        <v>13.74</v>
      </c>
      <c r="W131" s="2">
        <v>22.900000000000002</v>
      </c>
      <c r="X131" s="3">
        <v>16.5</v>
      </c>
      <c r="Y131" s="1">
        <v>0.8</v>
      </c>
      <c r="Z131" s="3">
        <f t="shared" si="121"/>
        <v>13.200000000000001</v>
      </c>
      <c r="AA131" s="3">
        <f>IF(I131&lt;&gt;"",X131/INDEX('energy battery'!$B$3:$D$6,MATCH('vehicles specifications'!$D131,'energy battery'!$A$3:$A$6,0),MATCH('vehicles specifications'!$I131,'energy battery'!$B$2:$D$2,0)),"")</f>
        <v>82.5</v>
      </c>
      <c r="AB131" s="3">
        <f t="shared" si="115"/>
        <v>24.75</v>
      </c>
      <c r="AC131" s="3">
        <f t="shared" si="122"/>
        <v>107.25</v>
      </c>
      <c r="AD131" s="3">
        <v>1</v>
      </c>
      <c r="AE131" s="3">
        <v>0</v>
      </c>
      <c r="AF131">
        <f>AE131*'fuels and tailpipe emissions'!$B$3</f>
        <v>0</v>
      </c>
      <c r="AG131">
        <v>0</v>
      </c>
      <c r="AH131" s="3">
        <v>0</v>
      </c>
      <c r="AI131" s="3">
        <v>5</v>
      </c>
      <c r="AJ131" s="3">
        <v>1</v>
      </c>
      <c r="AK131">
        <f t="shared" si="129"/>
        <v>1.62</v>
      </c>
      <c r="AL131">
        <f t="shared" si="123"/>
        <v>1.8440043E-4</v>
      </c>
      <c r="AM131">
        <v>1.2899999999999999E-3</v>
      </c>
      <c r="AN131" s="2">
        <f t="shared" si="124"/>
        <v>111</v>
      </c>
      <c r="AO131" s="2">
        <f t="shared" si="125"/>
        <v>36.64</v>
      </c>
      <c r="AP131" s="2">
        <f t="shared" si="126"/>
        <v>107.25</v>
      </c>
      <c r="AQ131" s="6" t="s">
        <v>85</v>
      </c>
      <c r="AR131" s="20"/>
      <c r="AS131" s="6">
        <v>0.27473182101357863</v>
      </c>
      <c r="AT131" s="2">
        <f t="shared" si="78"/>
        <v>172.96867841767528</v>
      </c>
      <c r="AU131" s="5">
        <v>0</v>
      </c>
      <c r="AV131" s="5">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0</v>
      </c>
      <c r="BM131" s="7">
        <v>0</v>
      </c>
      <c r="BN131" s="7">
        <v>0</v>
      </c>
      <c r="BO131" s="7">
        <v>0</v>
      </c>
      <c r="BP131" s="7">
        <v>0</v>
      </c>
      <c r="BQ131" s="7">
        <v>0</v>
      </c>
      <c r="BR131" s="7">
        <v>0</v>
      </c>
      <c r="BS131" s="7">
        <v>0</v>
      </c>
      <c r="BT131" s="7">
        <v>0</v>
      </c>
      <c r="BU131" s="7">
        <v>0</v>
      </c>
      <c r="BV131" s="7">
        <v>0</v>
      </c>
      <c r="BW131" s="7">
        <v>0</v>
      </c>
      <c r="BX131" s="7">
        <v>0</v>
      </c>
      <c r="BY131" s="7">
        <v>0</v>
      </c>
      <c r="BZ131" s="7">
        <v>0</v>
      </c>
      <c r="CA131" s="7">
        <v>0</v>
      </c>
      <c r="CB131" s="7">
        <v>0</v>
      </c>
      <c r="CC131" s="7">
        <v>0</v>
      </c>
      <c r="CD131" s="7">
        <v>0</v>
      </c>
      <c r="CE131" s="7">
        <v>0</v>
      </c>
      <c r="CF131" s="7">
        <v>0</v>
      </c>
      <c r="CG131" s="7">
        <v>0</v>
      </c>
      <c r="CH131" s="7">
        <v>0</v>
      </c>
      <c r="CI131" s="7">
        <v>0</v>
      </c>
      <c r="CJ131" s="7">
        <v>0</v>
      </c>
      <c r="CK131" s="38">
        <f>VLOOKUP($B131,'abrasion emissions'!$O$7:$R$36,2,FALSE)</f>
        <v>0.33</v>
      </c>
      <c r="CL131" s="38">
        <f>VLOOKUP($B131,'abrasion emissions'!$O$7:$R$36,3,FALSE)</f>
        <v>0.33</v>
      </c>
      <c r="CM131" s="38">
        <f>VLOOKUP($B131,'abrasion emissions'!$O$7:$R$36,4,FALSE)</f>
        <v>0.33</v>
      </c>
      <c r="CN131" s="7">
        <f>((SUMIFS('abrasion emissions'!$M$7:$M$34,'abrasion emissions'!$I$7:$I$34,"PM 2.5",'abrasion emissions'!$J$7:$J$34,"urban",'abrasion emissions'!$K$7:$K$34,"Tyre",'abrasion emissions'!$L$7:$L$34,"b")*POWER(('vehicles specifications'!$Q131/1000),(1/SUMIFS('abrasion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specifications'!$P131/1000),(1/SUMIFS('abrasion emissions'!$M$7:$M$34,'abrasion emissions'!$I$7:$I$34,"PM 10",'abrasion emissions'!$J$7:$J$34,"urban",'abrasion emissions'!$K$7:$K$34,"Tyre",'abrasion emissions'!$L$7:$L$34,"c")))))/1000000</f>
        <v>8.3533343707148603E-6</v>
      </c>
      <c r="CO131" s="7">
        <f>((SUMIFS('abrasion emissions'!$M$7:$M$34,'abrasion emissions'!$I$7:$I$34,"PM 2.5",'abrasion emissions'!$J$7:$J$34,"rural",'abrasion emissions'!$K$7:$K$34,"Tyre",'abrasion emissions'!$L$7:$L$34,"b")*POWER(('vehicles specifications'!$Q131/1000),(1/SUMIFS('abrasion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specifications'!$P131/1000),(1/SUMIFS('abrasion emissions'!$M$7:$M$34,'abrasion emissions'!$I$7:$I$34,"PM 10",'abrasion emissions'!$J$7:$J$34,"rural",'abrasion emissions'!$K$7:$K$34,"Tyre",'abrasion emissions'!$L$7:$L$34,"c")))))/1000000</f>
        <v>6.5048674378619616E-6</v>
      </c>
      <c r="CP131" s="7">
        <f>((SUMIFS('abrasion emissions'!$M$7:$M$34,'abrasion emissions'!$I$7:$I$34,"PM 2.5",'abrasion emissions'!$J$7:$J$34,"motorway",'abrasion emissions'!$K$7:$K$34,"Tyre",'abrasion emissions'!$L$7:$L$34,"b")*POWER(('vehicles specifications'!$Q131/1000),(1/SUMIFS('abrasion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specifications'!$P131/1000),(1/SUMIFS('abrasion emissions'!$M$7:$M$34,'abrasion emissions'!$I$7:$I$34,"PM 10",'abrasion emissions'!$J$7:$J$34,"motorway",'abrasion emissions'!$K$7:$K$34,"Tyre",'abrasion emissions'!$L$7:$L$34,"c")))))/1000000</f>
        <v>5.5530369300475541E-6</v>
      </c>
      <c r="CQ131" s="7">
        <f>((SUMIFS('abrasion emissions'!$M$7:$M$34,'abrasion emissions'!$I$7:$I$34,"PM 2.5",'abrasion emissions'!$J$7:$J$34,"urban",'abrasion emissions'!$K$7:$K$34,"Brake",'abrasion emissions'!$L$7:$L$34,"b")*POWER(('vehicles specifications'!$Q131/1000),(1/SUMIFS('abrasion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specifications'!$P131/1000),(1/SUMIFS('abrasion emissions'!$M$7:$M$34,'abrasion emissions'!$I$7:$I$34,"PM 10",'abrasion emissions'!$J$7:$J$34,"urban",'abrasion emissions'!$K$7:$K$34,"Brake",'abrasion emissions'!$L$7:$L$34,"c")))))/1000000</f>
        <v>8.3126727906467764E-6</v>
      </c>
      <c r="CR131" s="7">
        <f>((SUMIFS('abrasion emissions'!$M$7:$M$34,'abrasion emissions'!$I$7:$I$34,"PM 2.5",'abrasion emissions'!$J$7:$J$34,"rural",'abrasion emissions'!$K$7:$K$34,"Brake",'abrasion emissions'!$L$7:$L$34,"b")*POWER(('vehicles specifications'!$Q131/1000),(1/SUMIFS('abrasion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specifications'!$P131/1000),(1/SUMIFS('abrasion emissions'!$M$7:$M$34,'abrasion emissions'!$I$7:$I$34,"PM 10",'abrasion emissions'!$J$7:$J$34,"rural",'abrasion emissions'!$K$7:$K$34,"Brake",'abrasion emissions'!$L$7:$L$34,"c")))))/1000000</f>
        <v>2.9302863492853807E-6</v>
      </c>
      <c r="CS131" s="7">
        <f>((SUMIFS('abrasion emissions'!$M$7:$M$34,'abrasion emissions'!$I$7:$I$34,"PM 2.5",'abrasion emissions'!$J$7:$J$34,"motorway",'abrasion emissions'!$K$7:$K$34,"Brake",'abrasion emissions'!$L$7:$L$34,"b")*POWER(('vehicles specifications'!$Q131/1000),(1/SUMIFS('abrasion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specifications'!$P131/1000),(1/SUMIFS('abrasion emissions'!$M$7:$M$34,'abrasion emissions'!$I$7:$I$34,"PM 10",'abrasion emissions'!$J$7:$J$34,"motorway",'abrasion emissions'!$K$7:$K$34,"Brake",'abrasion emissions'!$L$7:$L$34,"c")))))/1000000</f>
        <v>5.7922232782487127E-7</v>
      </c>
      <c r="CT131" s="7">
        <f>((SUMIFS('abrasion emissions'!$M$7:$M$38,'abrasion emissions'!$I$7:$I$38,"PM 2.5",'abrasion emissions'!$K$7:$K$38,"Re-susp.",'abrasion emissions'!$L$7:$L$38,"b")*POWER(('vehicles specifications'!$Q131/1000),(1/SUMIFS('abrasion emissions'!$M$7:$M$38,'abrasion emissions'!$I$7:$I$38,"PM 2.5",'abrasion emissions'!$K$7:$K$38,"Re-susp.",'abrasion emissions'!$L$7:$L$38,"c"))))+
(SUMIFS('abrasion emissions'!$M$7:$M$38,'abrasion emissions'!$I$7:$I$38,"PM 10",'abrasion emissions'!$K$7:$K$38,"Re-susp.",'abrasion emissions'!$L$7:$L$38,"b")*POWER(('vehicles specifications'!$Q131/1000),(1/SUMIFS('abrasion emissions'!$M$7:$M$38,'abrasion emissions'!$I$7:$I$38,"PM 10",'abrasion emissions'!$K$7:$K$38,"Re-susp.",'abrasion emissions'!$L$7:$L$38,"c")))))/1000000</f>
        <v>6.2062978623264163E-6</v>
      </c>
      <c r="CU131" s="7">
        <f>((SUMIFS('abrasion emissions'!$M$7:$M$38,'abrasion emissions'!$I$7:$I$38,"PM 2.5",'abrasion emissions'!$K$7:$K$38,"Road",'abrasion emissions'!$L$7:$L$38,"b")*POWER(('vehicles specifications'!$Q131/1000),(1/SUMIFS('abrasion emissions'!$M$7:$M$38,'abrasion emissions'!$I$7:$I$38,"PM 2.5",'abrasion emissions'!$K$7:$K$38,"Road",'abrasion emissions'!$L$7:$L$38,"c"))))+
(SUMIFS('abrasion emissions'!$M$7:$M$38,'abrasion emissions'!$I$7:$I$38,"PM 10",'abrasion emissions'!$K$7:$K$38,"Road",'abrasion emissions'!$L$7:$L$38,"b")*POWER(('vehicles specifications'!$Q131/1000),(1/SUMIFS('abrasion emissions'!$M$7:$M$38,'abrasion emissions'!$I$7:$I$38,"PM 10",'abrasion emissions'!$K$7:$K$38,"Road",'abrasion emissions'!$L$7:$L$38,"c")))))/1000000+CT131</f>
        <v>1.1208085716166707E-5</v>
      </c>
      <c r="CV131" s="7">
        <f t="shared" si="79"/>
        <v>6.7357087837460445E-6</v>
      </c>
      <c r="CW131" s="7">
        <f t="shared" si="80"/>
        <v>3.9013198843598195E-6</v>
      </c>
    </row>
    <row r="132" spans="1:101" x14ac:dyDescent="0.2">
      <c r="A132" t="str">
        <f t="shared" si="117"/>
        <v>Motorbike, electric, &gt;35kW - 2030 - NMC - CH</v>
      </c>
      <c r="B132" t="s">
        <v>270</v>
      </c>
      <c r="D132" s="18">
        <v>2030</v>
      </c>
      <c r="E132" t="s">
        <v>37</v>
      </c>
      <c r="F132" t="s">
        <v>138</v>
      </c>
      <c r="G132" t="s">
        <v>39</v>
      </c>
      <c r="H132" t="s">
        <v>32</v>
      </c>
      <c r="I132" t="s">
        <v>43</v>
      </c>
      <c r="J132">
        <v>40500</v>
      </c>
      <c r="K132">
        <v>2896</v>
      </c>
      <c r="L132" s="2">
        <f t="shared" si="118"/>
        <v>13.984806629834255</v>
      </c>
      <c r="M132">
        <v>1.1000000000000001</v>
      </c>
      <c r="N132">
        <v>75</v>
      </c>
      <c r="O132">
        <v>6</v>
      </c>
      <c r="P132" s="2">
        <f t="shared" si="119"/>
        <v>255.24333333333334</v>
      </c>
      <c r="Q132" s="2">
        <f t="shared" si="120"/>
        <v>343.74333333333334</v>
      </c>
      <c r="R132">
        <v>49</v>
      </c>
      <c r="S132" s="2">
        <v>111</v>
      </c>
      <c r="T132" s="1">
        <v>0.03</v>
      </c>
      <c r="U132" s="2">
        <f t="shared" si="105"/>
        <v>107.67</v>
      </c>
      <c r="V132" s="2">
        <v>13.74</v>
      </c>
      <c r="W132" s="2">
        <v>22.900000000000002</v>
      </c>
      <c r="X132" s="3">
        <v>25.6</v>
      </c>
      <c r="Y132" s="1">
        <v>0.8</v>
      </c>
      <c r="Z132" s="3">
        <f t="shared" si="121"/>
        <v>20.480000000000004</v>
      </c>
      <c r="AA132" s="3">
        <f>IF(I132&lt;&gt;"",X132/INDEX('energy battery'!$B$3:$D$6,MATCH('vehicles specifications'!$D132,'energy battery'!$A$3:$A$6,0),MATCH('vehicles specifications'!$I132,'energy battery'!$B$2:$D$2,0)),"")</f>
        <v>85.333333333333343</v>
      </c>
      <c r="AB132" s="3">
        <f t="shared" si="115"/>
        <v>25.6</v>
      </c>
      <c r="AC132" s="3">
        <f t="shared" si="122"/>
        <v>110.93333333333334</v>
      </c>
      <c r="AD132" s="3">
        <v>0.5</v>
      </c>
      <c r="AE132" s="3">
        <v>0</v>
      </c>
      <c r="AF132">
        <f>AE132*'fuels and tailpipe emissions'!$B$3</f>
        <v>0</v>
      </c>
      <c r="AG132">
        <v>0</v>
      </c>
      <c r="AH132" s="3">
        <v>0</v>
      </c>
      <c r="AI132" s="3">
        <v>5</v>
      </c>
      <c r="AJ132" s="3">
        <v>1</v>
      </c>
      <c r="AK132">
        <f t="shared" si="129"/>
        <v>1.62</v>
      </c>
      <c r="AL132">
        <f t="shared" si="123"/>
        <v>1.8459017000000002E-4</v>
      </c>
      <c r="AM132">
        <v>1.2899999999999999E-3</v>
      </c>
      <c r="AN132" s="2">
        <f t="shared" si="124"/>
        <v>107.67</v>
      </c>
      <c r="AO132" s="2">
        <f t="shared" si="125"/>
        <v>36.64</v>
      </c>
      <c r="AP132" s="2">
        <f t="shared" si="126"/>
        <v>110.93333333333334</v>
      </c>
      <c r="AQ132" s="6" t="s">
        <v>85</v>
      </c>
      <c r="AR132" s="20"/>
      <c r="AS132" s="6">
        <v>0.27473182101357863</v>
      </c>
      <c r="AT132" s="2">
        <f t="shared" ref="AT132:AT166" si="130">SUM(Z132,AG132)/(SUM(AQ132,AS132)/3.6)</f>
        <v>268.363525302575</v>
      </c>
      <c r="AU132" s="5">
        <v>0</v>
      </c>
      <c r="AV132" s="5">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0</v>
      </c>
      <c r="BM132" s="7">
        <v>0</v>
      </c>
      <c r="BN132" s="7">
        <v>0</v>
      </c>
      <c r="BO132" s="7">
        <v>0</v>
      </c>
      <c r="BP132" s="7">
        <v>0</v>
      </c>
      <c r="BQ132" s="7">
        <v>0</v>
      </c>
      <c r="BR132" s="7">
        <v>0</v>
      </c>
      <c r="BS132" s="7">
        <v>0</v>
      </c>
      <c r="BT132" s="7">
        <v>0</v>
      </c>
      <c r="BU132" s="7">
        <v>0</v>
      </c>
      <c r="BV132" s="7">
        <v>0</v>
      </c>
      <c r="BW132" s="7">
        <v>0</v>
      </c>
      <c r="BX132" s="7">
        <v>0</v>
      </c>
      <c r="BY132" s="7">
        <v>0</v>
      </c>
      <c r="BZ132" s="7">
        <v>0</v>
      </c>
      <c r="CA132" s="7">
        <v>0</v>
      </c>
      <c r="CB132" s="7">
        <v>0</v>
      </c>
      <c r="CC132" s="7">
        <v>0</v>
      </c>
      <c r="CD132" s="7">
        <v>0</v>
      </c>
      <c r="CE132" s="7">
        <v>0</v>
      </c>
      <c r="CF132" s="7">
        <v>0</v>
      </c>
      <c r="CG132" s="7">
        <v>0</v>
      </c>
      <c r="CH132" s="7">
        <v>0</v>
      </c>
      <c r="CI132" s="7">
        <v>0</v>
      </c>
      <c r="CJ132" s="7">
        <v>0</v>
      </c>
      <c r="CK132" s="38">
        <f>VLOOKUP($B132,'abrasion emissions'!$O$7:$R$36,2,FALSE)</f>
        <v>0.33</v>
      </c>
      <c r="CL132" s="38">
        <f>VLOOKUP($B132,'abrasion emissions'!$O$7:$R$36,3,FALSE)</f>
        <v>0.33</v>
      </c>
      <c r="CM132" s="38">
        <f>VLOOKUP($B132,'abrasion emissions'!$O$7:$R$36,4,FALSE)</f>
        <v>0.33</v>
      </c>
      <c r="CN132" s="7">
        <f>((SUMIFS('abrasion emissions'!$M$7:$M$34,'abrasion emissions'!$I$7:$I$34,"PM 2.5",'abrasion emissions'!$J$7:$J$34,"urban",'abrasion emissions'!$K$7:$K$34,"Tyre",'abrasion emissions'!$L$7:$L$34,"b")*POWER(('vehicles specifications'!$Q132/1000),(1/SUMIFS('abrasion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specifications'!$P132/1000),(1/SUMIFS('abrasion emissions'!$M$7:$M$34,'abrasion emissions'!$I$7:$I$34,"PM 10",'abrasion emissions'!$J$7:$J$34,"urban",'abrasion emissions'!$K$7:$K$34,"Tyre",'abrasion emissions'!$L$7:$L$34,"c")))))/1000000</f>
        <v>8.3575672523710229E-6</v>
      </c>
      <c r="CO132" s="7">
        <f>((SUMIFS('abrasion emissions'!$M$7:$M$34,'abrasion emissions'!$I$7:$I$34,"PM 2.5",'abrasion emissions'!$J$7:$J$34,"rural",'abrasion emissions'!$K$7:$K$34,"Tyre",'abrasion emissions'!$L$7:$L$34,"b")*POWER(('vehicles specifications'!$Q132/1000),(1/SUMIFS('abrasion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specifications'!$P132/1000),(1/SUMIFS('abrasion emissions'!$M$7:$M$34,'abrasion emissions'!$I$7:$I$34,"PM 10",'abrasion emissions'!$J$7:$J$34,"rural",'abrasion emissions'!$K$7:$K$34,"Tyre",'abrasion emissions'!$L$7:$L$34,"c")))))/1000000</f>
        <v>6.508162228927543E-6</v>
      </c>
      <c r="CP132" s="7">
        <f>((SUMIFS('abrasion emissions'!$M$7:$M$34,'abrasion emissions'!$I$7:$I$34,"PM 2.5",'abrasion emissions'!$J$7:$J$34,"motorway",'abrasion emissions'!$K$7:$K$34,"Tyre",'abrasion emissions'!$L$7:$L$34,"b")*POWER(('vehicles specifications'!$Q132/1000),(1/SUMIFS('abrasion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specifications'!$P132/1000),(1/SUMIFS('abrasion emissions'!$M$7:$M$34,'abrasion emissions'!$I$7:$I$34,"PM 10",'abrasion emissions'!$J$7:$J$34,"motorway",'abrasion emissions'!$K$7:$K$34,"Tyre",'abrasion emissions'!$L$7:$L$34,"c")))))/1000000</f>
        <v>5.5558460494856411E-6</v>
      </c>
      <c r="CQ132" s="7">
        <f>((SUMIFS('abrasion emissions'!$M$7:$M$34,'abrasion emissions'!$I$7:$I$34,"PM 2.5",'abrasion emissions'!$J$7:$J$34,"urban",'abrasion emissions'!$K$7:$K$34,"Brake",'abrasion emissions'!$L$7:$L$34,"b")*POWER(('vehicles specifications'!$Q132/1000),(1/SUMIFS('abrasion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specifications'!$P132/1000),(1/SUMIFS('abrasion emissions'!$M$7:$M$34,'abrasion emissions'!$I$7:$I$34,"PM 10",'abrasion emissions'!$J$7:$J$34,"urban",'abrasion emissions'!$K$7:$K$34,"Brake",'abrasion emissions'!$L$7:$L$34,"c")))))/1000000</f>
        <v>8.317557876822241E-6</v>
      </c>
      <c r="CR132" s="7">
        <f>((SUMIFS('abrasion emissions'!$M$7:$M$34,'abrasion emissions'!$I$7:$I$34,"PM 2.5",'abrasion emissions'!$J$7:$J$34,"rural",'abrasion emissions'!$K$7:$K$34,"Brake",'abrasion emissions'!$L$7:$L$34,"b")*POWER(('vehicles specifications'!$Q132/1000),(1/SUMIFS('abrasion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specifications'!$P132/1000),(1/SUMIFS('abrasion emissions'!$M$7:$M$34,'abrasion emissions'!$I$7:$I$34,"PM 10",'abrasion emissions'!$J$7:$J$34,"rural",'abrasion emissions'!$K$7:$K$34,"Brake",'abrasion emissions'!$L$7:$L$34,"c")))))/1000000</f>
        <v>2.9324683737046851E-6</v>
      </c>
      <c r="CS132" s="7">
        <f>((SUMIFS('abrasion emissions'!$M$7:$M$34,'abrasion emissions'!$I$7:$I$34,"PM 2.5",'abrasion emissions'!$J$7:$J$34,"motorway",'abrasion emissions'!$K$7:$K$34,"Brake",'abrasion emissions'!$L$7:$L$34,"b")*POWER(('vehicles specifications'!$Q132/1000),(1/SUMIFS('abrasion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specifications'!$P132/1000),(1/SUMIFS('abrasion emissions'!$M$7:$M$34,'abrasion emissions'!$I$7:$I$34,"PM 10",'abrasion emissions'!$J$7:$J$34,"motorway",'abrasion emissions'!$K$7:$K$34,"Brake",'abrasion emissions'!$L$7:$L$34,"c")))))/1000000</f>
        <v>5.7971913075322212E-7</v>
      </c>
      <c r="CT132" s="7">
        <f>((SUMIFS('abrasion emissions'!$M$7:$M$38,'abrasion emissions'!$I$7:$I$38,"PM 2.5",'abrasion emissions'!$K$7:$K$38,"Re-susp.",'abrasion emissions'!$L$7:$L$38,"b")*POWER(('vehicles specifications'!$Q132/1000),(1/SUMIFS('abrasion emissions'!$M$7:$M$38,'abrasion emissions'!$I$7:$I$38,"PM 2.5",'abrasion emissions'!$K$7:$K$38,"Re-susp.",'abrasion emissions'!$L$7:$L$38,"c"))))+
(SUMIFS('abrasion emissions'!$M$7:$M$38,'abrasion emissions'!$I$7:$I$38,"PM 10",'abrasion emissions'!$K$7:$K$38,"Re-susp.",'abrasion emissions'!$L$7:$L$38,"b")*POWER(('vehicles specifications'!$Q132/1000),(1/SUMIFS('abrasion emissions'!$M$7:$M$38,'abrasion emissions'!$I$7:$I$38,"PM 10",'abrasion emissions'!$K$7:$K$38,"Re-susp.",'abrasion emissions'!$L$7:$L$38,"c")))))/1000000</f>
        <v>6.2121030543728906E-6</v>
      </c>
      <c r="CU132" s="7">
        <f>((SUMIFS('abrasion emissions'!$M$7:$M$38,'abrasion emissions'!$I$7:$I$38,"PM 2.5",'abrasion emissions'!$K$7:$K$38,"Road",'abrasion emissions'!$L$7:$L$38,"b")*POWER(('vehicles specifications'!$Q132/1000),(1/SUMIFS('abrasion emissions'!$M$7:$M$38,'abrasion emissions'!$I$7:$I$38,"PM 2.5",'abrasion emissions'!$K$7:$K$38,"Road",'abrasion emissions'!$L$7:$L$38,"c"))))+
(SUMIFS('abrasion emissions'!$M$7:$M$38,'abrasion emissions'!$I$7:$I$38,"PM 10",'abrasion emissions'!$K$7:$K$38,"Road",'abrasion emissions'!$L$7:$L$38,"b")*POWER(('vehicles specifications'!$Q132/1000),(1/SUMIFS('abrasion emissions'!$M$7:$M$38,'abrasion emissions'!$I$7:$I$38,"PM 10",'abrasion emissions'!$K$7:$K$38,"Road",'abrasion emissions'!$L$7:$L$38,"c")))))/1000000+CT132</f>
        <v>1.1217321401111864E-5</v>
      </c>
      <c r="CV132" s="7">
        <f t="shared" ref="CV132:CV166" si="131">(CK132*CN132)+(CL132*CO132)+(CM132*CP132)</f>
        <v>6.7391199251587888E-6</v>
      </c>
      <c r="CW132" s="7">
        <f t="shared" ref="CW132:CW166" si="132">(CK132*CQ132)+(CL132*CR132)+(CM132*CS132)</f>
        <v>3.9038159758224493E-6</v>
      </c>
    </row>
    <row r="133" spans="1:101" x14ac:dyDescent="0.2">
      <c r="A133" t="str">
        <f t="shared" si="117"/>
        <v>Motorbike, electric, &gt;35kW - 2040 - NMC - CH</v>
      </c>
      <c r="B133" t="s">
        <v>270</v>
      </c>
      <c r="D133" s="18">
        <v>2040</v>
      </c>
      <c r="E133" t="s">
        <v>37</v>
      </c>
      <c r="F133" t="s">
        <v>138</v>
      </c>
      <c r="G133" t="s">
        <v>39</v>
      </c>
      <c r="H133" t="s">
        <v>32</v>
      </c>
      <c r="I133" t="s">
        <v>43</v>
      </c>
      <c r="J133">
        <v>40500</v>
      </c>
      <c r="K133">
        <v>2896</v>
      </c>
      <c r="L133" s="2">
        <f t="shared" si="118"/>
        <v>13.984806629834255</v>
      </c>
      <c r="M133">
        <v>1.1000000000000001</v>
      </c>
      <c r="N133">
        <v>75</v>
      </c>
      <c r="O133">
        <v>6</v>
      </c>
      <c r="P133" s="2">
        <f t="shared" si="119"/>
        <v>255.83999999999997</v>
      </c>
      <c r="Q133" s="2">
        <f t="shared" si="120"/>
        <v>344.34</v>
      </c>
      <c r="R133">
        <v>49</v>
      </c>
      <c r="S133" s="2">
        <v>111</v>
      </c>
      <c r="T133" s="1">
        <v>0.05</v>
      </c>
      <c r="U133" s="2">
        <f t="shared" si="105"/>
        <v>105.44999999999999</v>
      </c>
      <c r="V133" s="2">
        <v>13.74</v>
      </c>
      <c r="W133" s="2">
        <v>22.900000000000002</v>
      </c>
      <c r="X133" s="3">
        <v>35</v>
      </c>
      <c r="Y133" s="1">
        <v>0.8</v>
      </c>
      <c r="Z133" s="3">
        <f t="shared" si="121"/>
        <v>28</v>
      </c>
      <c r="AA133" s="3">
        <f>IF(I133&lt;&gt;"",X133/INDEX('energy battery'!$B$3:$D$6,MATCH('vehicles specifications'!$D133,'energy battery'!$A$3:$A$6,0),MATCH('vehicles specifications'!$I133,'energy battery'!$B$2:$D$2,0)),"")</f>
        <v>87.5</v>
      </c>
      <c r="AB133" s="3">
        <f t="shared" si="115"/>
        <v>26.25</v>
      </c>
      <c r="AC133" s="3">
        <f t="shared" si="122"/>
        <v>113.75</v>
      </c>
      <c r="AD133" s="3">
        <v>0.25</v>
      </c>
      <c r="AE133" s="3">
        <v>0</v>
      </c>
      <c r="AF133">
        <f>AE133*'fuels and tailpipe emissions'!$B$3</f>
        <v>0</v>
      </c>
      <c r="AG133">
        <v>0</v>
      </c>
      <c r="AH133" s="3">
        <v>0</v>
      </c>
      <c r="AI133" s="3">
        <v>5</v>
      </c>
      <c r="AJ133" s="3">
        <v>1</v>
      </c>
      <c r="AK133">
        <f t="shared" si="129"/>
        <v>1.62</v>
      </c>
      <c r="AL133">
        <f t="shared" si="123"/>
        <v>1.8491057999999998E-4</v>
      </c>
      <c r="AM133">
        <v>1.2899999999999999E-3</v>
      </c>
      <c r="AN133" s="2">
        <f t="shared" si="124"/>
        <v>105.44999999999999</v>
      </c>
      <c r="AO133" s="2">
        <f t="shared" si="125"/>
        <v>36.64</v>
      </c>
      <c r="AP133" s="2">
        <f t="shared" si="126"/>
        <v>113.75</v>
      </c>
      <c r="AQ133" s="6" t="s">
        <v>85</v>
      </c>
      <c r="AR133" s="20"/>
      <c r="AS133" s="6">
        <v>0.27473182101357863</v>
      </c>
      <c r="AT133" s="2">
        <f t="shared" si="130"/>
        <v>366.90325724961417</v>
      </c>
      <c r="AU133" s="5">
        <v>0</v>
      </c>
      <c r="AV133" s="5">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0</v>
      </c>
      <c r="BM133" s="7">
        <v>0</v>
      </c>
      <c r="BN133" s="7">
        <v>0</v>
      </c>
      <c r="BO133" s="7">
        <v>0</v>
      </c>
      <c r="BP133" s="7">
        <v>0</v>
      </c>
      <c r="BQ133" s="7">
        <v>0</v>
      </c>
      <c r="BR133" s="7">
        <v>0</v>
      </c>
      <c r="BS133" s="7">
        <v>0</v>
      </c>
      <c r="BT133" s="7">
        <v>0</v>
      </c>
      <c r="BU133" s="7">
        <v>0</v>
      </c>
      <c r="BV133" s="7">
        <v>0</v>
      </c>
      <c r="BW133" s="7">
        <v>0</v>
      </c>
      <c r="BX133" s="7">
        <v>0</v>
      </c>
      <c r="BY133" s="7">
        <v>0</v>
      </c>
      <c r="BZ133" s="7">
        <v>0</v>
      </c>
      <c r="CA133" s="7">
        <v>0</v>
      </c>
      <c r="CB133" s="7">
        <v>0</v>
      </c>
      <c r="CC133" s="7">
        <v>0</v>
      </c>
      <c r="CD133" s="7">
        <v>0</v>
      </c>
      <c r="CE133" s="7">
        <v>0</v>
      </c>
      <c r="CF133" s="7">
        <v>0</v>
      </c>
      <c r="CG133" s="7">
        <v>0</v>
      </c>
      <c r="CH133" s="7">
        <v>0</v>
      </c>
      <c r="CI133" s="7">
        <v>0</v>
      </c>
      <c r="CJ133" s="7">
        <v>0</v>
      </c>
      <c r="CK133" s="38">
        <f>VLOOKUP($B133,'abrasion emissions'!$O$7:$R$36,2,FALSE)</f>
        <v>0.33</v>
      </c>
      <c r="CL133" s="38">
        <f>VLOOKUP($B133,'abrasion emissions'!$O$7:$R$36,3,FALSE)</f>
        <v>0.33</v>
      </c>
      <c r="CM133" s="38">
        <f>VLOOKUP($B133,'abrasion emissions'!$O$7:$R$36,4,FALSE)</f>
        <v>0.33</v>
      </c>
      <c r="CN133" s="7">
        <f>((SUMIFS('abrasion emissions'!$M$7:$M$34,'abrasion emissions'!$I$7:$I$34,"PM 2.5",'abrasion emissions'!$J$7:$J$34,"urban",'abrasion emissions'!$K$7:$K$34,"Tyre",'abrasion emissions'!$L$7:$L$34,"b")*POWER(('vehicles specifications'!$Q133/1000),(1/SUMIFS('abrasion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specifications'!$P133/1000),(1/SUMIFS('abrasion emissions'!$M$7:$M$34,'abrasion emissions'!$I$7:$I$34,"PM 10",'abrasion emissions'!$J$7:$J$34,"urban",'abrasion emissions'!$K$7:$K$34,"Tyre",'abrasion emissions'!$L$7:$L$34,"c")))))/1000000</f>
        <v>8.3647087719422702E-6</v>
      </c>
      <c r="CO133" s="7">
        <f>((SUMIFS('abrasion emissions'!$M$7:$M$34,'abrasion emissions'!$I$7:$I$34,"PM 2.5",'abrasion emissions'!$J$7:$J$34,"rural",'abrasion emissions'!$K$7:$K$34,"Tyre",'abrasion emissions'!$L$7:$L$34,"b")*POWER(('vehicles specifications'!$Q133/1000),(1/SUMIFS('abrasion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specifications'!$P133/1000),(1/SUMIFS('abrasion emissions'!$M$7:$M$34,'abrasion emissions'!$I$7:$I$34,"PM 10",'abrasion emissions'!$J$7:$J$34,"rural",'abrasion emissions'!$K$7:$K$34,"Tyre",'abrasion emissions'!$L$7:$L$34,"c")))))/1000000</f>
        <v>6.5137210482321566E-6</v>
      </c>
      <c r="CP133" s="7">
        <f>((SUMIFS('abrasion emissions'!$M$7:$M$34,'abrasion emissions'!$I$7:$I$34,"PM 2.5",'abrasion emissions'!$J$7:$J$34,"motorway",'abrasion emissions'!$K$7:$K$34,"Tyre",'abrasion emissions'!$L$7:$L$34,"b")*POWER(('vehicles specifications'!$Q133/1000),(1/SUMIFS('abrasion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specifications'!$P133/1000),(1/SUMIFS('abrasion emissions'!$M$7:$M$34,'abrasion emissions'!$I$7:$I$34,"PM 10",'abrasion emissions'!$J$7:$J$34,"motorway",'abrasion emissions'!$K$7:$K$34,"Tyre",'abrasion emissions'!$L$7:$L$34,"c")))))/1000000</f>
        <v>5.5605854716209964E-6</v>
      </c>
      <c r="CQ133" s="7">
        <f>((SUMIFS('abrasion emissions'!$M$7:$M$34,'abrasion emissions'!$I$7:$I$34,"PM 2.5",'abrasion emissions'!$J$7:$J$34,"urban",'abrasion emissions'!$K$7:$K$34,"Brake",'abrasion emissions'!$L$7:$L$34,"b")*POWER(('vehicles specifications'!$Q133/1000),(1/SUMIFS('abrasion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specifications'!$P133/1000),(1/SUMIFS('abrasion emissions'!$M$7:$M$34,'abrasion emissions'!$I$7:$I$34,"PM 10",'abrasion emissions'!$J$7:$J$34,"urban",'abrasion emissions'!$K$7:$K$34,"Brake",'abrasion emissions'!$L$7:$L$34,"c")))))/1000000</f>
        <v>8.3258012529903491E-6</v>
      </c>
      <c r="CR133" s="7">
        <f>((SUMIFS('abrasion emissions'!$M$7:$M$34,'abrasion emissions'!$I$7:$I$34,"PM 2.5",'abrasion emissions'!$J$7:$J$34,"rural",'abrasion emissions'!$K$7:$K$34,"Brake",'abrasion emissions'!$L$7:$L$34,"b")*POWER(('vehicles specifications'!$Q133/1000),(1/SUMIFS('abrasion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specifications'!$P133/1000),(1/SUMIFS('abrasion emissions'!$M$7:$M$34,'abrasion emissions'!$I$7:$I$34,"PM 10",'abrasion emissions'!$J$7:$J$34,"rural",'abrasion emissions'!$K$7:$K$34,"Brake",'abrasion emissions'!$L$7:$L$34,"c")))))/1000000</f>
        <v>2.9361512365260452E-6</v>
      </c>
      <c r="CS133" s="7">
        <f>((SUMIFS('abrasion emissions'!$M$7:$M$34,'abrasion emissions'!$I$7:$I$34,"PM 2.5",'abrasion emissions'!$J$7:$J$34,"motorway",'abrasion emissions'!$K$7:$K$34,"Brake",'abrasion emissions'!$L$7:$L$34,"b")*POWER(('vehicles specifications'!$Q133/1000),(1/SUMIFS('abrasion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specifications'!$P133/1000),(1/SUMIFS('abrasion emissions'!$M$7:$M$34,'abrasion emissions'!$I$7:$I$34,"PM 10",'abrasion emissions'!$J$7:$J$34,"motorway",'abrasion emissions'!$K$7:$K$34,"Brake",'abrasion emissions'!$L$7:$L$34,"c")))))/1000000</f>
        <v>5.8055777633290315E-7</v>
      </c>
      <c r="CT133" s="7">
        <f>((SUMIFS('abrasion emissions'!$M$7:$M$38,'abrasion emissions'!$I$7:$I$38,"PM 2.5",'abrasion emissions'!$K$7:$K$38,"Re-susp.",'abrasion emissions'!$L$7:$L$38,"b")*POWER(('vehicles specifications'!$Q133/1000),(1/SUMIFS('abrasion emissions'!$M$7:$M$38,'abrasion emissions'!$I$7:$I$38,"PM 2.5",'abrasion emissions'!$K$7:$K$38,"Re-susp.",'abrasion emissions'!$L$7:$L$38,"c"))))+
(SUMIFS('abrasion emissions'!$M$7:$M$38,'abrasion emissions'!$I$7:$I$38,"PM 10",'abrasion emissions'!$K$7:$K$38,"Re-susp.",'abrasion emissions'!$L$7:$L$38,"b")*POWER(('vehicles specifications'!$Q133/1000),(1/SUMIFS('abrasion emissions'!$M$7:$M$38,'abrasion emissions'!$I$7:$I$38,"PM 10",'abrasion emissions'!$K$7:$K$38,"Re-susp.",'abrasion emissions'!$L$7:$L$38,"c")))))/1000000</f>
        <v>6.2219049305820594E-6</v>
      </c>
      <c r="CU133" s="7">
        <f>((SUMIFS('abrasion emissions'!$M$7:$M$38,'abrasion emissions'!$I$7:$I$38,"PM 2.5",'abrasion emissions'!$K$7:$K$38,"Road",'abrasion emissions'!$L$7:$L$38,"b")*POWER(('vehicles specifications'!$Q133/1000),(1/SUMIFS('abrasion emissions'!$M$7:$M$38,'abrasion emissions'!$I$7:$I$38,"PM 2.5",'abrasion emissions'!$K$7:$K$38,"Road",'abrasion emissions'!$L$7:$L$38,"c"))))+
(SUMIFS('abrasion emissions'!$M$7:$M$38,'abrasion emissions'!$I$7:$I$38,"PM 10",'abrasion emissions'!$K$7:$K$38,"Road",'abrasion emissions'!$L$7:$L$38,"b")*POWER(('vehicles specifications'!$Q133/1000),(1/SUMIFS('abrasion emissions'!$M$7:$M$38,'abrasion emissions'!$I$7:$I$38,"PM 10",'abrasion emissions'!$K$7:$K$38,"Road",'abrasion emissions'!$L$7:$L$38,"c")))))/1000000+CT133</f>
        <v>1.1232913612431524E-5</v>
      </c>
      <c r="CV133" s="7">
        <f t="shared" si="131"/>
        <v>6.7448750462924897E-6</v>
      </c>
      <c r="CW133" s="7">
        <f t="shared" si="132"/>
        <v>3.908028387730268E-6</v>
      </c>
    </row>
    <row r="134" spans="1:101" x14ac:dyDescent="0.2">
      <c r="A134" t="str">
        <f t="shared" si="117"/>
        <v>Motorbike, electric, &gt;35kW - 2050 - NMC - CH</v>
      </c>
      <c r="B134" t="s">
        <v>270</v>
      </c>
      <c r="D134" s="18">
        <v>2050</v>
      </c>
      <c r="E134" t="s">
        <v>37</v>
      </c>
      <c r="F134" t="s">
        <v>138</v>
      </c>
      <c r="G134" t="s">
        <v>39</v>
      </c>
      <c r="H134" t="s">
        <v>32</v>
      </c>
      <c r="I134" t="s">
        <v>43</v>
      </c>
      <c r="J134">
        <v>40500</v>
      </c>
      <c r="K134">
        <v>2896</v>
      </c>
      <c r="L134" s="2">
        <f t="shared" si="118"/>
        <v>13.984806629834255</v>
      </c>
      <c r="M134">
        <v>1.1000000000000001</v>
      </c>
      <c r="N134">
        <v>75</v>
      </c>
      <c r="O134">
        <v>6</v>
      </c>
      <c r="P134" s="2">
        <f t="shared" si="119"/>
        <v>255.57</v>
      </c>
      <c r="Q134" s="2">
        <f t="shared" si="120"/>
        <v>344.07</v>
      </c>
      <c r="R134">
        <v>49</v>
      </c>
      <c r="S134" s="2">
        <v>111</v>
      </c>
      <c r="T134" s="1">
        <v>7.0000000000000007E-2</v>
      </c>
      <c r="U134" s="2">
        <f t="shared" si="105"/>
        <v>103.22999999999999</v>
      </c>
      <c r="V134" s="2">
        <v>13.74</v>
      </c>
      <c r="W134" s="2">
        <v>22.900000000000002</v>
      </c>
      <c r="X134" s="3">
        <v>44.5</v>
      </c>
      <c r="Y134" s="1">
        <v>0.8</v>
      </c>
      <c r="Z134" s="3">
        <f t="shared" si="121"/>
        <v>35.6</v>
      </c>
      <c r="AA134" s="3">
        <f>IF(I134&lt;&gt;"",X134/INDEX('energy battery'!$B$3:$D$6,MATCH('vehicles specifications'!$D134,'energy battery'!$A$3:$A$6,0),MATCH('vehicles specifications'!$I134,'energy battery'!$B$2:$D$2,0)),"")</f>
        <v>89</v>
      </c>
      <c r="AB134" s="3">
        <f t="shared" si="115"/>
        <v>26.7</v>
      </c>
      <c r="AC134" s="3">
        <f t="shared" si="122"/>
        <v>115.7</v>
      </c>
      <c r="AD134" s="3">
        <v>0</v>
      </c>
      <c r="AE134" s="3">
        <v>0</v>
      </c>
      <c r="AF134">
        <f>AE134*'fuels and tailpipe emissions'!$B$3</f>
        <v>0</v>
      </c>
      <c r="AG134">
        <v>0</v>
      </c>
      <c r="AH134" s="3">
        <v>0</v>
      </c>
      <c r="AI134" s="3">
        <v>5</v>
      </c>
      <c r="AJ134" s="3">
        <v>1</v>
      </c>
      <c r="AK134">
        <f t="shared" si="129"/>
        <v>1.62</v>
      </c>
      <c r="AL134">
        <f t="shared" si="123"/>
        <v>1.8476559000000001E-4</v>
      </c>
      <c r="AM134">
        <v>1.2899999999999999E-3</v>
      </c>
      <c r="AN134" s="2">
        <f t="shared" si="124"/>
        <v>103.22999999999999</v>
      </c>
      <c r="AO134" s="2">
        <f t="shared" si="125"/>
        <v>36.64</v>
      </c>
      <c r="AP134" s="2">
        <f t="shared" si="126"/>
        <v>115.7</v>
      </c>
      <c r="AQ134" s="6" t="s">
        <v>85</v>
      </c>
      <c r="AR134" s="20"/>
      <c r="AS134" s="6">
        <v>0.27473182101357863</v>
      </c>
      <c r="AT134" s="2">
        <f t="shared" si="130"/>
        <v>466.49128421736663</v>
      </c>
      <c r="AU134" s="5">
        <v>0</v>
      </c>
      <c r="AV134" s="5">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0</v>
      </c>
      <c r="BM134" s="7">
        <v>0</v>
      </c>
      <c r="BN134" s="7">
        <v>0</v>
      </c>
      <c r="BO134" s="7">
        <v>0</v>
      </c>
      <c r="BP134" s="7">
        <v>0</v>
      </c>
      <c r="BQ134" s="7">
        <v>0</v>
      </c>
      <c r="BR134" s="7">
        <v>0</v>
      </c>
      <c r="BS134" s="7">
        <v>0</v>
      </c>
      <c r="BT134" s="7">
        <v>0</v>
      </c>
      <c r="BU134" s="7">
        <v>0</v>
      </c>
      <c r="BV134" s="7">
        <v>0</v>
      </c>
      <c r="BW134" s="7">
        <v>0</v>
      </c>
      <c r="BX134" s="7">
        <v>0</v>
      </c>
      <c r="BY134" s="7">
        <v>0</v>
      </c>
      <c r="BZ134" s="7">
        <v>0</v>
      </c>
      <c r="CA134" s="7">
        <v>0</v>
      </c>
      <c r="CB134" s="7">
        <v>0</v>
      </c>
      <c r="CC134" s="7">
        <v>0</v>
      </c>
      <c r="CD134" s="7">
        <v>0</v>
      </c>
      <c r="CE134" s="7">
        <v>0</v>
      </c>
      <c r="CF134" s="7">
        <v>0</v>
      </c>
      <c r="CG134" s="7">
        <v>0</v>
      </c>
      <c r="CH134" s="7">
        <v>0</v>
      </c>
      <c r="CI134" s="7">
        <v>0</v>
      </c>
      <c r="CJ134" s="7">
        <v>0</v>
      </c>
      <c r="CK134" s="38">
        <f>VLOOKUP($B134,'abrasion emissions'!$O$7:$R$36,2,FALSE)</f>
        <v>0.33</v>
      </c>
      <c r="CL134" s="38">
        <f>VLOOKUP($B134,'abrasion emissions'!$O$7:$R$36,3,FALSE)</f>
        <v>0.33</v>
      </c>
      <c r="CM134" s="38">
        <f>VLOOKUP($B134,'abrasion emissions'!$O$7:$R$36,4,FALSE)</f>
        <v>0.33</v>
      </c>
      <c r="CN134" s="7">
        <f>((SUMIFS('abrasion emissions'!$M$7:$M$34,'abrasion emissions'!$I$7:$I$34,"PM 2.5",'abrasion emissions'!$J$7:$J$34,"urban",'abrasion emissions'!$K$7:$K$34,"Tyre",'abrasion emissions'!$L$7:$L$34,"b")*POWER(('vehicles specifications'!$Q134/1000),(1/SUMIFS('abrasion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specifications'!$P134/1000),(1/SUMIFS('abrasion emissions'!$M$7:$M$34,'abrasion emissions'!$I$7:$I$34,"PM 10",'abrasion emissions'!$J$7:$J$34,"urban",'abrasion emissions'!$K$7:$K$34,"Tyre",'abrasion emissions'!$L$7:$L$34,"c")))))/1000000</f>
        <v>8.361478138525177E-6</v>
      </c>
      <c r="CO134" s="7">
        <f>((SUMIFS('abrasion emissions'!$M$7:$M$34,'abrasion emissions'!$I$7:$I$34,"PM 2.5",'abrasion emissions'!$J$7:$J$34,"rural",'abrasion emissions'!$K$7:$K$34,"Tyre",'abrasion emissions'!$L$7:$L$34,"b")*POWER(('vehicles specifications'!$Q134/1000),(1/SUMIFS('abrasion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specifications'!$P134/1000),(1/SUMIFS('abrasion emissions'!$M$7:$M$34,'abrasion emissions'!$I$7:$I$34,"PM 10",'abrasion emissions'!$J$7:$J$34,"rural",'abrasion emissions'!$K$7:$K$34,"Tyre",'abrasion emissions'!$L$7:$L$34,"c")))))/1000000</f>
        <v>6.511206385955267E-6</v>
      </c>
      <c r="CP134" s="7">
        <f>((SUMIFS('abrasion emissions'!$M$7:$M$34,'abrasion emissions'!$I$7:$I$34,"PM 2.5",'abrasion emissions'!$J$7:$J$34,"motorway",'abrasion emissions'!$K$7:$K$34,"Tyre",'abrasion emissions'!$L$7:$L$34,"b")*POWER(('vehicles specifications'!$Q134/1000),(1/SUMIFS('abrasion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specifications'!$P134/1000),(1/SUMIFS('abrasion emissions'!$M$7:$M$34,'abrasion emissions'!$I$7:$I$34,"PM 10",'abrasion emissions'!$J$7:$J$34,"motorway",'abrasion emissions'!$K$7:$K$34,"Tyre",'abrasion emissions'!$L$7:$L$34,"c")))))/1000000</f>
        <v>5.5584414820048682E-6</v>
      </c>
      <c r="CQ134" s="7">
        <f>((SUMIFS('abrasion emissions'!$M$7:$M$34,'abrasion emissions'!$I$7:$I$34,"PM 2.5",'abrasion emissions'!$J$7:$J$34,"urban",'abrasion emissions'!$K$7:$K$34,"Brake",'abrasion emissions'!$L$7:$L$34,"b")*POWER(('vehicles specifications'!$Q134/1000),(1/SUMIFS('abrasion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specifications'!$P134/1000),(1/SUMIFS('abrasion emissions'!$M$7:$M$34,'abrasion emissions'!$I$7:$I$34,"PM 10",'abrasion emissions'!$J$7:$J$34,"urban",'abrasion emissions'!$K$7:$K$34,"Brake",'abrasion emissions'!$L$7:$L$34,"c")))))/1000000</f>
        <v>8.322071937671175E-6</v>
      </c>
      <c r="CR134" s="7">
        <f>((SUMIFS('abrasion emissions'!$M$7:$M$34,'abrasion emissions'!$I$7:$I$34,"PM 2.5",'abrasion emissions'!$J$7:$J$34,"rural",'abrasion emissions'!$K$7:$K$34,"Brake",'abrasion emissions'!$L$7:$L$34,"b")*POWER(('vehicles specifications'!$Q134/1000),(1/SUMIFS('abrasion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specifications'!$P134/1000),(1/SUMIFS('abrasion emissions'!$M$7:$M$34,'abrasion emissions'!$I$7:$I$34,"PM 10",'abrasion emissions'!$J$7:$J$34,"rural",'abrasion emissions'!$K$7:$K$34,"Brake",'abrasion emissions'!$L$7:$L$34,"c")))))/1000000</f>
        <v>2.9344849813632658E-6</v>
      </c>
      <c r="CS134" s="7">
        <f>((SUMIFS('abrasion emissions'!$M$7:$M$34,'abrasion emissions'!$I$7:$I$34,"PM 2.5",'abrasion emissions'!$J$7:$J$34,"motorway",'abrasion emissions'!$K$7:$K$34,"Brake",'abrasion emissions'!$L$7:$L$34,"b")*POWER(('vehicles specifications'!$Q134/1000),(1/SUMIFS('abrasion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specifications'!$P134/1000),(1/SUMIFS('abrasion emissions'!$M$7:$M$34,'abrasion emissions'!$I$7:$I$34,"PM 10",'abrasion emissions'!$J$7:$J$34,"motorway",'abrasion emissions'!$K$7:$K$34,"Brake",'abrasion emissions'!$L$7:$L$34,"c")))))/1000000</f>
        <v>5.8017832338893731E-7</v>
      </c>
      <c r="CT134" s="7">
        <f>((SUMIFS('abrasion emissions'!$M$7:$M$38,'abrasion emissions'!$I$7:$I$38,"PM 2.5",'abrasion emissions'!$K$7:$K$38,"Re-susp.",'abrasion emissions'!$L$7:$L$38,"b")*POWER(('vehicles specifications'!$Q134/1000),(1/SUMIFS('abrasion emissions'!$M$7:$M$38,'abrasion emissions'!$I$7:$I$38,"PM 2.5",'abrasion emissions'!$K$7:$K$38,"Re-susp.",'abrasion emissions'!$L$7:$L$38,"c"))))+
(SUMIFS('abrasion emissions'!$M$7:$M$38,'abrasion emissions'!$I$7:$I$38,"PM 10",'abrasion emissions'!$K$7:$K$38,"Re-susp.",'abrasion emissions'!$L$7:$L$38,"b")*POWER(('vehicles specifications'!$Q134/1000),(1/SUMIFS('abrasion emissions'!$M$7:$M$38,'abrasion emissions'!$I$7:$I$38,"PM 10",'abrasion emissions'!$K$7:$K$38,"Re-susp.",'abrasion emissions'!$L$7:$L$38,"c")))))/1000000</f>
        <v>6.2174696361250049E-6</v>
      </c>
      <c r="CU134" s="7">
        <f>((SUMIFS('abrasion emissions'!$M$7:$M$38,'abrasion emissions'!$I$7:$I$38,"PM 2.5",'abrasion emissions'!$K$7:$K$38,"Road",'abrasion emissions'!$L$7:$L$38,"b")*POWER(('vehicles specifications'!$Q134/1000),(1/SUMIFS('abrasion emissions'!$M$7:$M$38,'abrasion emissions'!$I$7:$I$38,"PM 2.5",'abrasion emissions'!$K$7:$K$38,"Road",'abrasion emissions'!$L$7:$L$38,"c"))))+
(SUMIFS('abrasion emissions'!$M$7:$M$38,'abrasion emissions'!$I$7:$I$38,"PM 10",'abrasion emissions'!$K$7:$K$38,"Road",'abrasion emissions'!$L$7:$L$38,"b")*POWER(('vehicles specifications'!$Q134/1000),(1/SUMIFS('abrasion emissions'!$M$7:$M$38,'abrasion emissions'!$I$7:$I$38,"PM 10",'abrasion emissions'!$K$7:$K$38,"Road",'abrasion emissions'!$L$7:$L$38,"c")))))/1000000+CT134</f>
        <v>1.1225858525097952E-5</v>
      </c>
      <c r="CV134" s="7">
        <f t="shared" si="131"/>
        <v>6.7422715821401537E-6</v>
      </c>
      <c r="CW134" s="7">
        <f t="shared" si="132"/>
        <v>3.9061226299997144E-6</v>
      </c>
    </row>
    <row r="135" spans="1:101" x14ac:dyDescent="0.2">
      <c r="A135" t="str">
        <f t="shared" si="117"/>
        <v>Motorbike, electric, &lt;4kW - 2020 - LFP - CH</v>
      </c>
      <c r="B135" t="s">
        <v>267</v>
      </c>
      <c r="D135" s="18">
        <v>2020</v>
      </c>
      <c r="E135" t="s">
        <v>37</v>
      </c>
      <c r="F135" t="s">
        <v>138</v>
      </c>
      <c r="G135" t="s">
        <v>39</v>
      </c>
      <c r="H135" t="s">
        <v>32</v>
      </c>
      <c r="I135" t="s">
        <v>44</v>
      </c>
      <c r="J135">
        <v>25000</v>
      </c>
      <c r="K135">
        <v>1776</v>
      </c>
      <c r="L135" s="2">
        <f t="shared" si="118"/>
        <v>14.076576576576576</v>
      </c>
      <c r="M135">
        <v>1.1000000000000001</v>
      </c>
      <c r="N135">
        <v>75</v>
      </c>
      <c r="O135">
        <v>6</v>
      </c>
      <c r="P135" s="2">
        <f t="shared" si="119"/>
        <v>79.400000000000006</v>
      </c>
      <c r="Q135" s="2">
        <f t="shared" si="120"/>
        <v>167.9</v>
      </c>
      <c r="R135">
        <v>2.5</v>
      </c>
      <c r="S135" s="2">
        <v>53</v>
      </c>
      <c r="T135" s="1">
        <v>0</v>
      </c>
      <c r="U135" s="2">
        <f t="shared" si="105"/>
        <v>53</v>
      </c>
      <c r="V135" s="2">
        <v>4.5</v>
      </c>
      <c r="W135" s="2">
        <v>7.5</v>
      </c>
      <c r="X135" s="3">
        <v>1.8</v>
      </c>
      <c r="Y135" s="1">
        <v>0.8</v>
      </c>
      <c r="Z135" s="3">
        <f t="shared" si="121"/>
        <v>1.4400000000000002</v>
      </c>
      <c r="AA135" s="3">
        <f>IF(I135&lt;&gt;"",X135/INDEX('energy battery'!$B$3:$D$6,MATCH('vehicles specifications'!$D135,'energy battery'!$A$3:$A$6,0),MATCH('vehicles specifications'!$I135,'energy battery'!$B$2:$D$2,0)),"")</f>
        <v>12</v>
      </c>
      <c r="AB135" s="3">
        <f>IF(AA135&lt;&gt;"",0.2*AA135,"")</f>
        <v>2.4000000000000004</v>
      </c>
      <c r="AC135" s="3">
        <f t="shared" si="122"/>
        <v>14.4</v>
      </c>
      <c r="AD135" s="3">
        <v>1</v>
      </c>
      <c r="AE135" s="3">
        <v>0</v>
      </c>
      <c r="AF135">
        <f>AE135*'fuels and tailpipe emissions'!$B$3</f>
        <v>0</v>
      </c>
      <c r="AG135">
        <v>0</v>
      </c>
      <c r="AH135" s="3">
        <v>0</v>
      </c>
      <c r="AI135" s="3">
        <v>3</v>
      </c>
      <c r="AJ135" s="3">
        <v>1</v>
      </c>
      <c r="AK135">
        <f t="shared" si="129"/>
        <v>1</v>
      </c>
      <c r="AL135">
        <f t="shared" si="123"/>
        <v>9.0162300000000002E-5</v>
      </c>
      <c r="AM135">
        <v>1.2899999999999999E-3</v>
      </c>
      <c r="AN135" s="2">
        <f t="shared" si="124"/>
        <v>53</v>
      </c>
      <c r="AO135" s="2">
        <f t="shared" si="125"/>
        <v>12</v>
      </c>
      <c r="AP135" s="2">
        <f t="shared" si="126"/>
        <v>14.4</v>
      </c>
      <c r="AQ135" s="6" t="s">
        <v>85</v>
      </c>
      <c r="AR135" s="20"/>
      <c r="AS135" s="6">
        <v>0.121</v>
      </c>
      <c r="AT135" s="2">
        <f t="shared" si="130"/>
        <v>42.842975206611577</v>
      </c>
      <c r="AU135" s="5">
        <v>0</v>
      </c>
      <c r="AV135" s="5">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0</v>
      </c>
      <c r="BM135" s="7">
        <v>0</v>
      </c>
      <c r="BN135" s="7">
        <v>0</v>
      </c>
      <c r="BO135" s="7">
        <v>0</v>
      </c>
      <c r="BP135" s="7">
        <v>0</v>
      </c>
      <c r="BQ135" s="7">
        <v>0</v>
      </c>
      <c r="BR135" s="7">
        <v>0</v>
      </c>
      <c r="BS135" s="7">
        <v>0</v>
      </c>
      <c r="BT135" s="7">
        <v>0</v>
      </c>
      <c r="BU135" s="7">
        <v>0</v>
      </c>
      <c r="BV135" s="7">
        <v>0</v>
      </c>
      <c r="BW135" s="7">
        <v>0</v>
      </c>
      <c r="BX135" s="7">
        <v>0</v>
      </c>
      <c r="BY135" s="7">
        <v>0</v>
      </c>
      <c r="BZ135" s="7">
        <v>0</v>
      </c>
      <c r="CA135" s="7">
        <v>0</v>
      </c>
      <c r="CB135" s="7">
        <v>0</v>
      </c>
      <c r="CC135" s="7">
        <v>0</v>
      </c>
      <c r="CD135" s="7">
        <v>0</v>
      </c>
      <c r="CE135" s="7">
        <v>0</v>
      </c>
      <c r="CF135" s="7">
        <v>0</v>
      </c>
      <c r="CG135" s="7">
        <v>0</v>
      </c>
      <c r="CH135" s="7">
        <v>0</v>
      </c>
      <c r="CI135" s="7">
        <v>0</v>
      </c>
      <c r="CJ135" s="7">
        <v>0</v>
      </c>
      <c r="CK135" s="38">
        <f>VLOOKUP($B135,'abrasion emissions'!$O$7:$R$36,2,FALSE)</f>
        <v>0.33</v>
      </c>
      <c r="CL135" s="38">
        <f>VLOOKUP($B135,'abrasion emissions'!$O$7:$R$36,3,FALSE)</f>
        <v>0.33</v>
      </c>
      <c r="CM135" s="38">
        <f>VLOOKUP($B135,'abrasion emissions'!$O$7:$R$36,4,FALSE)</f>
        <v>0.33</v>
      </c>
      <c r="CN135" s="7">
        <f>((SUMIFS('abrasion emissions'!$M$7:$M$34,'abrasion emissions'!$I$7:$I$34,"PM 2.5",'abrasion emissions'!$J$7:$J$34,"urban",'abrasion emissions'!$K$7:$K$34,"Tyre",'abrasion emissions'!$L$7:$L$34,"b")*POWER(('vehicles specifications'!$Q135/1000),(1/SUMIFS('abrasion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specifications'!$P135/1000),(1/SUMIFS('abrasion emissions'!$M$7:$M$34,'abrasion emissions'!$I$7:$I$34,"PM 10",'abrasion emissions'!$J$7:$J$34,"urban",'abrasion emissions'!$K$7:$K$34,"Tyre",'abrasion emissions'!$L$7:$L$34,"c")))))/1000000</f>
        <v>5.7025936520591124E-6</v>
      </c>
      <c r="CO135" s="7">
        <f>((SUMIFS('abrasion emissions'!$M$7:$M$34,'abrasion emissions'!$I$7:$I$34,"PM 2.5",'abrasion emissions'!$J$7:$J$34,"rural",'abrasion emissions'!$K$7:$K$34,"Tyre",'abrasion emissions'!$L$7:$L$34,"b")*POWER(('vehicles specifications'!$Q135/1000),(1/SUMIFS('abrasion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specifications'!$P135/1000),(1/SUMIFS('abrasion emissions'!$M$7:$M$34,'abrasion emissions'!$I$7:$I$34,"PM 10",'abrasion emissions'!$J$7:$J$34,"rural",'abrasion emissions'!$K$7:$K$34,"Tyre",'abrasion emissions'!$L$7:$L$34,"c")))))/1000000</f>
        <v>4.4418867513296607E-6</v>
      </c>
      <c r="CP135" s="7">
        <f>((SUMIFS('abrasion emissions'!$M$7:$M$34,'abrasion emissions'!$I$7:$I$34,"PM 2.5",'abrasion emissions'!$J$7:$J$34,"motorway",'abrasion emissions'!$K$7:$K$34,"Tyre",'abrasion emissions'!$L$7:$L$34,"b")*POWER(('vehicles specifications'!$Q135/1000),(1/SUMIFS('abrasion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specifications'!$P135/1000),(1/SUMIFS('abrasion emissions'!$M$7:$M$34,'abrasion emissions'!$I$7:$I$34,"PM 10",'abrasion emissions'!$J$7:$J$34,"motorway",'abrasion emissions'!$K$7:$K$34,"Tyre",'abrasion emissions'!$L$7:$L$34,"c")))))/1000000</f>
        <v>3.7949132981751381E-6</v>
      </c>
      <c r="CQ135" s="7">
        <f>((SUMIFS('abrasion emissions'!$M$7:$M$34,'abrasion emissions'!$I$7:$I$34,"PM 2.5",'abrasion emissions'!$J$7:$J$34,"urban",'abrasion emissions'!$K$7:$K$34,"Brake",'abrasion emissions'!$L$7:$L$34,"b")*POWER(('vehicles specifications'!$Q135/1000),(1/SUMIFS('abrasion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specifications'!$P135/1000),(1/SUMIFS('abrasion emissions'!$M$7:$M$34,'abrasion emissions'!$I$7:$I$34,"PM 10",'abrasion emissions'!$J$7:$J$34,"urban",'abrasion emissions'!$K$7:$K$34,"Brake",'abrasion emissions'!$L$7:$L$34,"c")))))/1000000</f>
        <v>5.4077087418588535E-6</v>
      </c>
      <c r="CR135" s="7">
        <f>((SUMIFS('abrasion emissions'!$M$7:$M$34,'abrasion emissions'!$I$7:$I$34,"PM 2.5",'abrasion emissions'!$J$7:$J$34,"rural",'abrasion emissions'!$K$7:$K$34,"Brake",'abrasion emissions'!$L$7:$L$34,"b")*POWER(('vehicles specifications'!$Q135/1000),(1/SUMIFS('abrasion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specifications'!$P135/1000),(1/SUMIFS('abrasion emissions'!$M$7:$M$34,'abrasion emissions'!$I$7:$I$34,"PM 10",'abrasion emissions'!$J$7:$J$34,"rural",'abrasion emissions'!$K$7:$K$34,"Brake",'abrasion emissions'!$L$7:$L$34,"c")))))/1000000</f>
        <v>1.7020768541773978E-6</v>
      </c>
      <c r="CS135" s="7">
        <f>((SUMIFS('abrasion emissions'!$M$7:$M$34,'abrasion emissions'!$I$7:$I$34,"PM 2.5",'abrasion emissions'!$J$7:$J$34,"motorway",'abrasion emissions'!$K$7:$K$34,"Brake",'abrasion emissions'!$L$7:$L$34,"b")*POWER(('vehicles specifications'!$Q135/1000),(1/SUMIFS('abrasion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specifications'!$P135/1000),(1/SUMIFS('abrasion emissions'!$M$7:$M$34,'abrasion emissions'!$I$7:$I$34,"PM 10",'abrasion emissions'!$J$7:$J$34,"motorway",'abrasion emissions'!$K$7:$K$34,"Brake",'abrasion emissions'!$L$7:$L$34,"c")))))/1000000</f>
        <v>3.1043181686864153E-7</v>
      </c>
      <c r="CT135" s="7">
        <f>((SUMIFS('abrasion emissions'!$M$7:$M$38,'abrasion emissions'!$I$7:$I$38,"PM 2.5",'abrasion emissions'!$K$7:$K$38,"Re-susp.",'abrasion emissions'!$L$7:$L$38,"b")*POWER(('vehicles specifications'!$Q135/1000),(1/SUMIFS('abrasion emissions'!$M$7:$M$38,'abrasion emissions'!$I$7:$I$38,"PM 2.5",'abrasion emissions'!$K$7:$K$38,"Re-susp.",'abrasion emissions'!$L$7:$L$38,"c"))))+
(SUMIFS('abrasion emissions'!$M$7:$M$38,'abrasion emissions'!$I$7:$I$38,"PM 10",'abrasion emissions'!$K$7:$K$38,"Re-susp.",'abrasion emissions'!$L$7:$L$38,"b")*POWER(('vehicles specifications'!$Q135/1000),(1/SUMIFS('abrasion emissions'!$M$7:$M$38,'abrasion emissions'!$I$7:$I$38,"PM 10",'abrasion emissions'!$K$7:$K$38,"Re-susp.",'abrasion emissions'!$L$7:$L$38,"c")))))/1000000</f>
        <v>3.2385043213678066E-6</v>
      </c>
      <c r="CU135" s="7">
        <f>((SUMIFS('abrasion emissions'!$M$7:$M$38,'abrasion emissions'!$I$7:$I$38,"PM 2.5",'abrasion emissions'!$K$7:$K$38,"Road",'abrasion emissions'!$L$7:$L$38,"b")*POWER(('vehicles specifications'!$Q135/1000),(1/SUMIFS('abrasion emissions'!$M$7:$M$38,'abrasion emissions'!$I$7:$I$38,"PM 2.5",'abrasion emissions'!$K$7:$K$38,"Road",'abrasion emissions'!$L$7:$L$38,"c"))))+
(SUMIFS('abrasion emissions'!$M$7:$M$38,'abrasion emissions'!$I$7:$I$38,"PM 10",'abrasion emissions'!$K$7:$K$38,"Road",'abrasion emissions'!$L$7:$L$38,"b")*POWER(('vehicles specifications'!$Q135/1000),(1/SUMIFS('abrasion emissions'!$M$7:$M$38,'abrasion emissions'!$I$7:$I$38,"PM 10",'abrasion emissions'!$K$7:$K$38,"Road",'abrasion emissions'!$L$7:$L$38,"c")))))/1000000+CT135</f>
        <v>6.3428301799505996E-6</v>
      </c>
      <c r="CV135" s="7">
        <f t="shared" si="131"/>
        <v>4.5999999215160904E-6</v>
      </c>
      <c r="CW135" s="7">
        <f t="shared" si="132"/>
        <v>2.448671746258615E-6</v>
      </c>
    </row>
    <row r="136" spans="1:101" x14ac:dyDescent="0.2">
      <c r="A136" t="str">
        <f t="shared" si="117"/>
        <v>Motorbike, electric, &lt;4kW - 2030 - LFP - CH</v>
      </c>
      <c r="B136" t="s">
        <v>267</v>
      </c>
      <c r="D136" s="18">
        <v>2030</v>
      </c>
      <c r="E136" t="s">
        <v>37</v>
      </c>
      <c r="F136" t="s">
        <v>138</v>
      </c>
      <c r="G136" t="s">
        <v>39</v>
      </c>
      <c r="H136" t="s">
        <v>32</v>
      </c>
      <c r="I136" t="s">
        <v>44</v>
      </c>
      <c r="J136">
        <v>25000</v>
      </c>
      <c r="K136">
        <v>1776</v>
      </c>
      <c r="L136" s="2">
        <f t="shared" si="118"/>
        <v>14.076576576576576</v>
      </c>
      <c r="M136">
        <v>1.1000000000000001</v>
      </c>
      <c r="N136">
        <v>75</v>
      </c>
      <c r="O136">
        <v>6</v>
      </c>
      <c r="P136" s="2">
        <f t="shared" si="119"/>
        <v>84.743333333333339</v>
      </c>
      <c r="Q136" s="2">
        <f t="shared" si="120"/>
        <v>173.24333333333334</v>
      </c>
      <c r="R136">
        <v>2.5</v>
      </c>
      <c r="S136" s="2">
        <v>53</v>
      </c>
      <c r="T136" s="1">
        <v>0.03</v>
      </c>
      <c r="U136" s="2">
        <f t="shared" si="105"/>
        <v>51.41</v>
      </c>
      <c r="V136" s="2">
        <v>4.5</v>
      </c>
      <c r="W136" s="2">
        <v>7.5</v>
      </c>
      <c r="X136" s="3">
        <v>3.2</v>
      </c>
      <c r="Y136" s="1">
        <v>0.8</v>
      </c>
      <c r="Z136" s="3">
        <f t="shared" si="121"/>
        <v>2.5600000000000005</v>
      </c>
      <c r="AA136" s="3">
        <f>IF(I136&lt;&gt;"",X136/INDEX('energy battery'!$B$3:$D$6,MATCH('vehicles specifications'!$D136,'energy battery'!$A$3:$A$6,0),MATCH('vehicles specifications'!$I136,'energy battery'!$B$2:$D$2,0)),"")</f>
        <v>17.777777777777779</v>
      </c>
      <c r="AB136" s="3">
        <f t="shared" ref="AB136:AB138" si="133">IF(AA136&lt;&gt;"",0.2*AA136,"")</f>
        <v>3.5555555555555558</v>
      </c>
      <c r="AC136" s="3">
        <f t="shared" si="122"/>
        <v>21.333333333333336</v>
      </c>
      <c r="AD136" s="3">
        <v>0.5</v>
      </c>
      <c r="AE136" s="3">
        <v>0</v>
      </c>
      <c r="AF136">
        <f>AE136*'fuels and tailpipe emissions'!$B$3</f>
        <v>0</v>
      </c>
      <c r="AG136">
        <v>0</v>
      </c>
      <c r="AH136" s="3">
        <v>0</v>
      </c>
      <c r="AI136" s="3">
        <v>3</v>
      </c>
      <c r="AJ136" s="3">
        <v>1</v>
      </c>
      <c r="AK136">
        <f t="shared" si="129"/>
        <v>1</v>
      </c>
      <c r="AL136">
        <f t="shared" si="123"/>
        <v>9.3031670000000004E-5</v>
      </c>
      <c r="AM136">
        <v>1.2899999999999999E-3</v>
      </c>
      <c r="AN136" s="2">
        <f t="shared" si="124"/>
        <v>51.41</v>
      </c>
      <c r="AO136" s="2">
        <f t="shared" si="125"/>
        <v>12</v>
      </c>
      <c r="AP136" s="2">
        <f t="shared" si="126"/>
        <v>21.333333333333336</v>
      </c>
      <c r="AQ136" s="6" t="s">
        <v>85</v>
      </c>
      <c r="AR136" s="20"/>
      <c r="AS136" s="6">
        <v>0.121</v>
      </c>
      <c r="AT136" s="2">
        <f t="shared" si="130"/>
        <v>76.165289256198363</v>
      </c>
      <c r="AU136" s="5">
        <v>0</v>
      </c>
      <c r="AV136" s="5">
        <v>0</v>
      </c>
      <c r="AW136" s="7">
        <v>0</v>
      </c>
      <c r="AX136" s="7">
        <v>0</v>
      </c>
      <c r="AY136" s="7">
        <v>0</v>
      </c>
      <c r="AZ136" s="7">
        <v>0</v>
      </c>
      <c r="BA136" s="7">
        <v>0</v>
      </c>
      <c r="BB136" s="7">
        <v>0</v>
      </c>
      <c r="BC136" s="7">
        <v>0</v>
      </c>
      <c r="BD136" s="7">
        <v>0</v>
      </c>
      <c r="BE136" s="7">
        <v>0</v>
      </c>
      <c r="BF136" s="7">
        <v>0</v>
      </c>
      <c r="BG136" s="7">
        <v>0</v>
      </c>
      <c r="BH136" s="7">
        <v>0</v>
      </c>
      <c r="BI136" s="7">
        <v>0</v>
      </c>
      <c r="BJ136" s="7">
        <v>0</v>
      </c>
      <c r="BK136" s="7">
        <v>0</v>
      </c>
      <c r="BL136" s="7">
        <v>0</v>
      </c>
      <c r="BM136" s="7">
        <v>0</v>
      </c>
      <c r="BN136" s="7">
        <v>0</v>
      </c>
      <c r="BO136" s="7">
        <v>0</v>
      </c>
      <c r="BP136" s="7">
        <v>0</v>
      </c>
      <c r="BQ136" s="7">
        <v>0</v>
      </c>
      <c r="BR136" s="7">
        <v>0</v>
      </c>
      <c r="BS136" s="7">
        <v>0</v>
      </c>
      <c r="BT136" s="7">
        <v>0</v>
      </c>
      <c r="BU136" s="7">
        <v>0</v>
      </c>
      <c r="BV136" s="7">
        <v>0</v>
      </c>
      <c r="BW136" s="7">
        <v>0</v>
      </c>
      <c r="BX136" s="7">
        <v>0</v>
      </c>
      <c r="BY136" s="7">
        <v>0</v>
      </c>
      <c r="BZ136" s="7">
        <v>0</v>
      </c>
      <c r="CA136" s="7">
        <v>0</v>
      </c>
      <c r="CB136" s="7">
        <v>0</v>
      </c>
      <c r="CC136" s="7">
        <v>0</v>
      </c>
      <c r="CD136" s="7">
        <v>0</v>
      </c>
      <c r="CE136" s="7">
        <v>0</v>
      </c>
      <c r="CF136" s="7">
        <v>0</v>
      </c>
      <c r="CG136" s="7">
        <v>0</v>
      </c>
      <c r="CH136" s="7">
        <v>0</v>
      </c>
      <c r="CI136" s="7">
        <v>0</v>
      </c>
      <c r="CJ136" s="7">
        <v>0</v>
      </c>
      <c r="CK136" s="38">
        <f>VLOOKUP($B136,'abrasion emissions'!$O$7:$R$36,2,FALSE)</f>
        <v>0.33</v>
      </c>
      <c r="CL136" s="38">
        <f>VLOOKUP($B136,'abrasion emissions'!$O$7:$R$36,3,FALSE)</f>
        <v>0.33</v>
      </c>
      <c r="CM136" s="38">
        <f>VLOOKUP($B136,'abrasion emissions'!$O$7:$R$36,4,FALSE)</f>
        <v>0.33</v>
      </c>
      <c r="CN136" s="7">
        <f>((SUMIFS('abrasion emissions'!$M$7:$M$34,'abrasion emissions'!$I$7:$I$34,"PM 2.5",'abrasion emissions'!$J$7:$J$34,"urban",'abrasion emissions'!$K$7:$K$34,"Tyre",'abrasion emissions'!$L$7:$L$34,"b")*POWER(('vehicles specifications'!$Q136/1000),(1/SUMIFS('abrasion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specifications'!$P136/1000),(1/SUMIFS('abrasion emissions'!$M$7:$M$34,'abrasion emissions'!$I$7:$I$34,"PM 10",'abrasion emissions'!$J$7:$J$34,"urban",'abrasion emissions'!$K$7:$K$34,"Tyre",'abrasion emissions'!$L$7:$L$34,"c")))))/1000000</f>
        <v>5.8097336083056395E-6</v>
      </c>
      <c r="CO136" s="7">
        <f>((SUMIFS('abrasion emissions'!$M$7:$M$34,'abrasion emissions'!$I$7:$I$34,"PM 2.5",'abrasion emissions'!$J$7:$J$34,"rural",'abrasion emissions'!$K$7:$K$34,"Tyre",'abrasion emissions'!$L$7:$L$34,"b")*POWER(('vehicles specifications'!$Q136/1000),(1/SUMIFS('abrasion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specifications'!$P136/1000),(1/SUMIFS('abrasion emissions'!$M$7:$M$34,'abrasion emissions'!$I$7:$I$34,"PM 10",'abrasion emissions'!$J$7:$J$34,"rural",'abrasion emissions'!$K$7:$K$34,"Tyre",'abrasion emissions'!$L$7:$L$34,"c")))))/1000000</f>
        <v>4.5252520402428225E-6</v>
      </c>
      <c r="CP136" s="7">
        <f>((SUMIFS('abrasion emissions'!$M$7:$M$34,'abrasion emissions'!$I$7:$I$34,"PM 2.5",'abrasion emissions'!$J$7:$J$34,"motorway",'abrasion emissions'!$K$7:$K$34,"Tyre",'abrasion emissions'!$L$7:$L$34,"b")*POWER(('vehicles specifications'!$Q136/1000),(1/SUMIFS('abrasion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specifications'!$P136/1000),(1/SUMIFS('abrasion emissions'!$M$7:$M$34,'abrasion emissions'!$I$7:$I$34,"PM 10",'abrasion emissions'!$J$7:$J$34,"motorway",'abrasion emissions'!$K$7:$K$34,"Tyre",'abrasion emissions'!$L$7:$L$34,"c")))))/1000000</f>
        <v>3.8659139009466522E-6</v>
      </c>
      <c r="CQ136" s="7">
        <f>((SUMIFS('abrasion emissions'!$M$7:$M$34,'abrasion emissions'!$I$7:$I$34,"PM 2.5",'abrasion emissions'!$J$7:$J$34,"urban",'abrasion emissions'!$K$7:$K$34,"Brake",'abrasion emissions'!$L$7:$L$34,"b")*POWER(('vehicles specifications'!$Q136/1000),(1/SUMIFS('abrasion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specifications'!$P136/1000),(1/SUMIFS('abrasion emissions'!$M$7:$M$34,'abrasion emissions'!$I$7:$I$34,"PM 10",'abrasion emissions'!$J$7:$J$34,"urban",'abrasion emissions'!$K$7:$K$34,"Brake",'abrasion emissions'!$L$7:$L$34,"c")))))/1000000</f>
        <v>5.5178165273895448E-6</v>
      </c>
      <c r="CR136" s="7">
        <f>((SUMIFS('abrasion emissions'!$M$7:$M$34,'abrasion emissions'!$I$7:$I$34,"PM 2.5",'abrasion emissions'!$J$7:$J$34,"rural",'abrasion emissions'!$K$7:$K$34,"Brake",'abrasion emissions'!$L$7:$L$34,"b")*POWER(('vehicles specifications'!$Q136/1000),(1/SUMIFS('abrasion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specifications'!$P136/1000),(1/SUMIFS('abrasion emissions'!$M$7:$M$34,'abrasion emissions'!$I$7:$I$34,"PM 10",'abrasion emissions'!$J$7:$J$34,"rural",'abrasion emissions'!$K$7:$K$34,"Brake",'abrasion emissions'!$L$7:$L$34,"c")))))/1000000</f>
        <v>1.745737634291046E-6</v>
      </c>
      <c r="CS136" s="7">
        <f>((SUMIFS('abrasion emissions'!$M$7:$M$34,'abrasion emissions'!$I$7:$I$34,"PM 2.5",'abrasion emissions'!$J$7:$J$34,"motorway",'abrasion emissions'!$K$7:$K$34,"Brake",'abrasion emissions'!$L$7:$L$34,"b")*POWER(('vehicles specifications'!$Q136/1000),(1/SUMIFS('abrasion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specifications'!$P136/1000),(1/SUMIFS('abrasion emissions'!$M$7:$M$34,'abrasion emissions'!$I$7:$I$34,"PM 10",'abrasion emissions'!$J$7:$J$34,"motorway",'abrasion emissions'!$K$7:$K$34,"Brake",'abrasion emissions'!$L$7:$L$34,"c")))))/1000000</f>
        <v>3.1954144293211566E-7</v>
      </c>
      <c r="CT136" s="7">
        <f>((SUMIFS('abrasion emissions'!$M$7:$M$38,'abrasion emissions'!$I$7:$I$38,"PM 2.5",'abrasion emissions'!$K$7:$K$38,"Re-susp.",'abrasion emissions'!$L$7:$L$38,"b")*POWER(('vehicles specifications'!$Q136/1000),(1/SUMIFS('abrasion emissions'!$M$7:$M$38,'abrasion emissions'!$I$7:$I$38,"PM 2.5",'abrasion emissions'!$K$7:$K$38,"Re-susp.",'abrasion emissions'!$L$7:$L$38,"c"))))+
(SUMIFS('abrasion emissions'!$M$7:$M$38,'abrasion emissions'!$I$7:$I$38,"PM 10",'abrasion emissions'!$K$7:$K$38,"Re-susp.",'abrasion emissions'!$L$7:$L$38,"b")*POWER(('vehicles specifications'!$Q136/1000),(1/SUMIFS('abrasion emissions'!$M$7:$M$38,'abrasion emissions'!$I$7:$I$38,"PM 10",'abrasion emissions'!$K$7:$K$38,"Re-susp.",'abrasion emissions'!$L$7:$L$38,"c")))))/1000000</f>
        <v>3.3320646713766223E-6</v>
      </c>
      <c r="CU136" s="7">
        <f>((SUMIFS('abrasion emissions'!$M$7:$M$38,'abrasion emissions'!$I$7:$I$38,"PM 2.5",'abrasion emissions'!$K$7:$K$38,"Road",'abrasion emissions'!$L$7:$L$38,"b")*POWER(('vehicles specifications'!$Q136/1000),(1/SUMIFS('abrasion emissions'!$M$7:$M$38,'abrasion emissions'!$I$7:$I$38,"PM 2.5",'abrasion emissions'!$K$7:$K$38,"Road",'abrasion emissions'!$L$7:$L$38,"c"))))+
(SUMIFS('abrasion emissions'!$M$7:$M$38,'abrasion emissions'!$I$7:$I$38,"PM 10",'abrasion emissions'!$K$7:$K$38,"Road",'abrasion emissions'!$L$7:$L$38,"b")*POWER(('vehicles specifications'!$Q136/1000),(1/SUMIFS('abrasion emissions'!$M$7:$M$38,'abrasion emissions'!$I$7:$I$38,"PM 10",'abrasion emissions'!$K$7:$K$38,"Road",'abrasion emissions'!$L$7:$L$38,"c")))))/1000000+CT136</f>
        <v>6.501908451097096E-6</v>
      </c>
      <c r="CV136" s="7">
        <f t="shared" si="131"/>
        <v>4.686296851333388E-6</v>
      </c>
      <c r="CW136" s="7">
        <f t="shared" si="132"/>
        <v>2.5024215495221934E-6</v>
      </c>
    </row>
    <row r="137" spans="1:101" x14ac:dyDescent="0.2">
      <c r="A137" t="str">
        <f t="shared" si="117"/>
        <v>Motorbike, electric, &lt;4kW - 2040 - LFP - CH</v>
      </c>
      <c r="B137" t="s">
        <v>267</v>
      </c>
      <c r="D137" s="18">
        <v>2040</v>
      </c>
      <c r="E137" t="s">
        <v>37</v>
      </c>
      <c r="F137" t="s">
        <v>138</v>
      </c>
      <c r="G137" t="s">
        <v>39</v>
      </c>
      <c r="H137" t="s">
        <v>32</v>
      </c>
      <c r="I137" t="s">
        <v>44</v>
      </c>
      <c r="J137">
        <v>25000</v>
      </c>
      <c r="K137">
        <v>1776</v>
      </c>
      <c r="L137" s="2">
        <f t="shared" si="118"/>
        <v>14.076576576576576</v>
      </c>
      <c r="M137">
        <v>1.1000000000000001</v>
      </c>
      <c r="N137">
        <v>75</v>
      </c>
      <c r="O137">
        <v>6</v>
      </c>
      <c r="P137" s="2">
        <f t="shared" si="119"/>
        <v>92.35</v>
      </c>
      <c r="Q137" s="2">
        <f t="shared" si="120"/>
        <v>180.85</v>
      </c>
      <c r="R137">
        <v>2.5</v>
      </c>
      <c r="S137" s="2">
        <v>53</v>
      </c>
      <c r="T137" s="1">
        <v>0.05</v>
      </c>
      <c r="U137" s="2">
        <f t="shared" si="105"/>
        <v>50.349999999999994</v>
      </c>
      <c r="V137" s="2">
        <v>4.5</v>
      </c>
      <c r="W137" s="2">
        <v>7.5</v>
      </c>
      <c r="X137" s="3">
        <v>4.5</v>
      </c>
      <c r="Y137" s="1">
        <v>0.8</v>
      </c>
      <c r="Z137" s="3">
        <f t="shared" si="121"/>
        <v>3.6</v>
      </c>
      <c r="AA137" s="3">
        <f>IF(I137&lt;&gt;"",X137/INDEX('energy battery'!$B$3:$D$6,MATCH('vehicles specifications'!$D137,'energy battery'!$A$3:$A$6,0),MATCH('vehicles specifications'!$I137,'energy battery'!$B$2:$D$2,0)),"")</f>
        <v>25</v>
      </c>
      <c r="AB137" s="3">
        <f t="shared" si="133"/>
        <v>5</v>
      </c>
      <c r="AC137" s="3">
        <f t="shared" si="122"/>
        <v>30</v>
      </c>
      <c r="AD137" s="3">
        <v>0.25</v>
      </c>
      <c r="AE137" s="3">
        <v>0</v>
      </c>
      <c r="AF137">
        <f>AE137*'fuels and tailpipe emissions'!$B$3</f>
        <v>0</v>
      </c>
      <c r="AG137">
        <v>0</v>
      </c>
      <c r="AH137" s="3">
        <v>0</v>
      </c>
      <c r="AI137" s="3">
        <v>3</v>
      </c>
      <c r="AJ137" s="3">
        <v>1</v>
      </c>
      <c r="AK137">
        <f t="shared" si="129"/>
        <v>1</v>
      </c>
      <c r="AL137">
        <f t="shared" si="123"/>
        <v>9.7116450000000001E-5</v>
      </c>
      <c r="AM137">
        <v>1.2899999999999999E-3</v>
      </c>
      <c r="AN137" s="2">
        <f t="shared" si="124"/>
        <v>50.349999999999994</v>
      </c>
      <c r="AO137" s="2">
        <f t="shared" si="125"/>
        <v>12</v>
      </c>
      <c r="AP137" s="2">
        <f t="shared" si="126"/>
        <v>30</v>
      </c>
      <c r="AQ137" s="6" t="s">
        <v>85</v>
      </c>
      <c r="AR137" s="20"/>
      <c r="AS137" s="6">
        <v>0.121</v>
      </c>
      <c r="AT137" s="2">
        <f t="shared" si="130"/>
        <v>107.10743801652892</v>
      </c>
      <c r="AU137" s="5">
        <v>0</v>
      </c>
      <c r="AV137" s="5">
        <v>0</v>
      </c>
      <c r="AW137" s="7">
        <v>0</v>
      </c>
      <c r="AX137" s="7">
        <v>0</v>
      </c>
      <c r="AY137" s="7">
        <v>0</v>
      </c>
      <c r="AZ137" s="7">
        <v>0</v>
      </c>
      <c r="BA137" s="7">
        <v>0</v>
      </c>
      <c r="BB137" s="7">
        <v>0</v>
      </c>
      <c r="BC137" s="7">
        <v>0</v>
      </c>
      <c r="BD137" s="7">
        <v>0</v>
      </c>
      <c r="BE137" s="7">
        <v>0</v>
      </c>
      <c r="BF137" s="7">
        <v>0</v>
      </c>
      <c r="BG137" s="7">
        <v>0</v>
      </c>
      <c r="BH137" s="7">
        <v>0</v>
      </c>
      <c r="BI137" s="7">
        <v>0</v>
      </c>
      <c r="BJ137" s="7">
        <v>0</v>
      </c>
      <c r="BK137" s="7">
        <v>0</v>
      </c>
      <c r="BL137" s="7">
        <v>0</v>
      </c>
      <c r="BM137" s="7">
        <v>0</v>
      </c>
      <c r="BN137" s="7">
        <v>0</v>
      </c>
      <c r="BO137" s="7">
        <v>0</v>
      </c>
      <c r="BP137" s="7">
        <v>0</v>
      </c>
      <c r="BQ137" s="7">
        <v>0</v>
      </c>
      <c r="BR137" s="7">
        <v>0</v>
      </c>
      <c r="BS137" s="7">
        <v>0</v>
      </c>
      <c r="BT137" s="7">
        <v>0</v>
      </c>
      <c r="BU137" s="7">
        <v>0</v>
      </c>
      <c r="BV137" s="7">
        <v>0</v>
      </c>
      <c r="BW137" s="7">
        <v>0</v>
      </c>
      <c r="BX137" s="7">
        <v>0</v>
      </c>
      <c r="BY137" s="7">
        <v>0</v>
      </c>
      <c r="BZ137" s="7">
        <v>0</v>
      </c>
      <c r="CA137" s="7">
        <v>0</v>
      </c>
      <c r="CB137" s="7">
        <v>0</v>
      </c>
      <c r="CC137" s="7">
        <v>0</v>
      </c>
      <c r="CD137" s="7">
        <v>0</v>
      </c>
      <c r="CE137" s="7">
        <v>0</v>
      </c>
      <c r="CF137" s="7">
        <v>0</v>
      </c>
      <c r="CG137" s="7">
        <v>0</v>
      </c>
      <c r="CH137" s="7">
        <v>0</v>
      </c>
      <c r="CI137" s="7">
        <v>0</v>
      </c>
      <c r="CJ137" s="7">
        <v>0</v>
      </c>
      <c r="CK137" s="38">
        <f>VLOOKUP($B137,'abrasion emissions'!$O$7:$R$36,2,FALSE)</f>
        <v>0.33</v>
      </c>
      <c r="CL137" s="38">
        <f>VLOOKUP($B137,'abrasion emissions'!$O$7:$R$36,3,FALSE)</f>
        <v>0.33</v>
      </c>
      <c r="CM137" s="38">
        <f>VLOOKUP($B137,'abrasion emissions'!$O$7:$R$36,4,FALSE)</f>
        <v>0.33</v>
      </c>
      <c r="CN137" s="7">
        <f>((SUMIFS('abrasion emissions'!$M$7:$M$34,'abrasion emissions'!$I$7:$I$34,"PM 2.5",'abrasion emissions'!$J$7:$J$34,"urban",'abrasion emissions'!$K$7:$K$34,"Tyre",'abrasion emissions'!$L$7:$L$34,"b")*POWER(('vehicles specifications'!$Q137/1000),(1/SUMIFS('abrasion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specifications'!$P137/1000),(1/SUMIFS('abrasion emissions'!$M$7:$M$34,'abrasion emissions'!$I$7:$I$34,"PM 10",'abrasion emissions'!$J$7:$J$34,"urban",'abrasion emissions'!$K$7:$K$34,"Tyre",'abrasion emissions'!$L$7:$L$34,"c")))))/1000000</f>
        <v>5.9574195812082842E-6</v>
      </c>
      <c r="CO137" s="7">
        <f>((SUMIFS('abrasion emissions'!$M$7:$M$34,'abrasion emissions'!$I$7:$I$34,"PM 2.5",'abrasion emissions'!$J$7:$J$34,"rural",'abrasion emissions'!$K$7:$K$34,"Tyre",'abrasion emissions'!$L$7:$L$34,"b")*POWER(('vehicles specifications'!$Q137/1000),(1/SUMIFS('abrasion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specifications'!$P137/1000),(1/SUMIFS('abrasion emissions'!$M$7:$M$34,'abrasion emissions'!$I$7:$I$34,"PM 10",'abrasion emissions'!$J$7:$J$34,"rural",'abrasion emissions'!$K$7:$K$34,"Tyre",'abrasion emissions'!$L$7:$L$34,"c")))))/1000000</f>
        <v>4.6401697834593504E-6</v>
      </c>
      <c r="CP137" s="7">
        <f>((SUMIFS('abrasion emissions'!$M$7:$M$34,'abrasion emissions'!$I$7:$I$34,"PM 2.5",'abrasion emissions'!$J$7:$J$34,"motorway",'abrasion emissions'!$K$7:$K$34,"Tyre",'abrasion emissions'!$L$7:$L$34,"b")*POWER(('vehicles specifications'!$Q137/1000),(1/SUMIFS('abrasion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specifications'!$P137/1000),(1/SUMIFS('abrasion emissions'!$M$7:$M$34,'abrasion emissions'!$I$7:$I$34,"PM 10",'abrasion emissions'!$J$7:$J$34,"motorway",'abrasion emissions'!$K$7:$K$34,"Tyre",'abrasion emissions'!$L$7:$L$34,"c")))))/1000000</f>
        <v>3.9637964538198023E-6</v>
      </c>
      <c r="CQ137" s="7">
        <f>((SUMIFS('abrasion emissions'!$M$7:$M$34,'abrasion emissions'!$I$7:$I$34,"PM 2.5",'abrasion emissions'!$J$7:$J$34,"urban",'abrasion emissions'!$K$7:$K$34,"Brake",'abrasion emissions'!$L$7:$L$34,"b")*POWER(('vehicles specifications'!$Q137/1000),(1/SUMIFS('abrasion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specifications'!$P137/1000),(1/SUMIFS('abrasion emissions'!$M$7:$M$34,'abrasion emissions'!$I$7:$I$34,"PM 10",'abrasion emissions'!$J$7:$J$34,"urban",'abrasion emissions'!$K$7:$K$34,"Brake",'abrasion emissions'!$L$7:$L$34,"c")))))/1000000</f>
        <v>5.6708487482463013E-6</v>
      </c>
      <c r="CR137" s="7">
        <f>((SUMIFS('abrasion emissions'!$M$7:$M$34,'abrasion emissions'!$I$7:$I$34,"PM 2.5",'abrasion emissions'!$J$7:$J$34,"rural",'abrasion emissions'!$K$7:$K$34,"Brake",'abrasion emissions'!$L$7:$L$34,"b")*POWER(('vehicles specifications'!$Q137/1000),(1/SUMIFS('abrasion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specifications'!$P137/1000),(1/SUMIFS('abrasion emissions'!$M$7:$M$34,'abrasion emissions'!$I$7:$I$34,"PM 10",'abrasion emissions'!$J$7:$J$34,"rural",'abrasion emissions'!$K$7:$K$34,"Brake",'abrasion emissions'!$L$7:$L$34,"c")))))/1000000</f>
        <v>1.8068612113100043E-6</v>
      </c>
      <c r="CS137" s="7">
        <f>((SUMIFS('abrasion emissions'!$M$7:$M$34,'abrasion emissions'!$I$7:$I$34,"PM 2.5",'abrasion emissions'!$J$7:$J$34,"motorway",'abrasion emissions'!$K$7:$K$34,"Brake",'abrasion emissions'!$L$7:$L$34,"b")*POWER(('vehicles specifications'!$Q137/1000),(1/SUMIFS('abrasion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specifications'!$P137/1000),(1/SUMIFS('abrasion emissions'!$M$7:$M$34,'abrasion emissions'!$I$7:$I$34,"PM 10",'abrasion emissions'!$J$7:$J$34,"motorway",'abrasion emissions'!$K$7:$K$34,"Brake",'abrasion emissions'!$L$7:$L$34,"c")))))/1000000</f>
        <v>3.3236223179779343E-7</v>
      </c>
      <c r="CT137" s="7">
        <f>((SUMIFS('abrasion emissions'!$M$7:$M$38,'abrasion emissions'!$I$7:$I$38,"PM 2.5",'abrasion emissions'!$K$7:$K$38,"Re-susp.",'abrasion emissions'!$L$7:$L$38,"b")*POWER(('vehicles specifications'!$Q137/1000),(1/SUMIFS('abrasion emissions'!$M$7:$M$38,'abrasion emissions'!$I$7:$I$38,"PM 2.5",'abrasion emissions'!$K$7:$K$38,"Re-susp.",'abrasion emissions'!$L$7:$L$38,"c"))))+
(SUMIFS('abrasion emissions'!$M$7:$M$38,'abrasion emissions'!$I$7:$I$38,"PM 10",'abrasion emissions'!$K$7:$K$38,"Re-susp.",'abrasion emissions'!$L$7:$L$38,"b")*POWER(('vehicles specifications'!$Q137/1000),(1/SUMIFS('abrasion emissions'!$M$7:$M$38,'abrasion emissions'!$I$7:$I$38,"PM 10",'abrasion emissions'!$K$7:$K$38,"Re-susp.",'abrasion emissions'!$L$7:$L$38,"c")))))/1000000</f>
        <v>3.4648054987019045E-6</v>
      </c>
      <c r="CU137" s="7">
        <f>((SUMIFS('abrasion emissions'!$M$7:$M$38,'abrasion emissions'!$I$7:$I$38,"PM 2.5",'abrasion emissions'!$K$7:$K$38,"Road",'abrasion emissions'!$L$7:$L$38,"b")*POWER(('vehicles specifications'!$Q137/1000),(1/SUMIFS('abrasion emissions'!$M$7:$M$38,'abrasion emissions'!$I$7:$I$38,"PM 2.5",'abrasion emissions'!$K$7:$K$38,"Road",'abrasion emissions'!$L$7:$L$38,"c"))))+
(SUMIFS('abrasion emissions'!$M$7:$M$38,'abrasion emissions'!$I$7:$I$38,"PM 10",'abrasion emissions'!$K$7:$K$38,"Road",'abrasion emissions'!$L$7:$L$38,"b")*POWER(('vehicles specifications'!$Q137/1000),(1/SUMIFS('abrasion emissions'!$M$7:$M$38,'abrasion emissions'!$I$7:$I$38,"PM 10",'abrasion emissions'!$K$7:$K$38,"Road",'abrasion emissions'!$L$7:$L$38,"c")))))/1000000+CT137</f>
        <v>6.7267696246259231E-6</v>
      </c>
      <c r="CV137" s="7">
        <f t="shared" si="131"/>
        <v>4.8052573201008543E-6</v>
      </c>
      <c r="CW137" s="7">
        <f t="shared" si="132"/>
        <v>2.5773238231468531E-6</v>
      </c>
    </row>
    <row r="138" spans="1:101" x14ac:dyDescent="0.2">
      <c r="A138" t="str">
        <f t="shared" si="117"/>
        <v>Motorbike, electric, &lt;4kW - 2050 - LFP - CH</v>
      </c>
      <c r="B138" t="s">
        <v>267</v>
      </c>
      <c r="D138" s="18">
        <v>2050</v>
      </c>
      <c r="E138" t="s">
        <v>37</v>
      </c>
      <c r="F138" t="s">
        <v>138</v>
      </c>
      <c r="G138" t="s">
        <v>39</v>
      </c>
      <c r="H138" t="s">
        <v>32</v>
      </c>
      <c r="I138" t="s">
        <v>44</v>
      </c>
      <c r="J138">
        <v>25000</v>
      </c>
      <c r="K138">
        <v>1776</v>
      </c>
      <c r="L138" s="2">
        <f t="shared" si="118"/>
        <v>14.076576576576576</v>
      </c>
      <c r="M138">
        <v>1.1000000000000001</v>
      </c>
      <c r="N138">
        <v>75</v>
      </c>
      <c r="O138">
        <v>6</v>
      </c>
      <c r="P138" s="2">
        <f t="shared" si="119"/>
        <v>97.289999999999992</v>
      </c>
      <c r="Q138" s="2">
        <f t="shared" si="120"/>
        <v>185.79</v>
      </c>
      <c r="R138">
        <v>2.5</v>
      </c>
      <c r="S138" s="2">
        <v>53</v>
      </c>
      <c r="T138" s="1">
        <v>7.0000000000000007E-2</v>
      </c>
      <c r="U138" s="2">
        <f t="shared" si="105"/>
        <v>49.29</v>
      </c>
      <c r="V138" s="2">
        <v>4.5</v>
      </c>
      <c r="W138" s="2">
        <v>7.5</v>
      </c>
      <c r="X138" s="3">
        <v>6</v>
      </c>
      <c r="Y138" s="1">
        <v>0.8</v>
      </c>
      <c r="Z138" s="3">
        <f t="shared" si="121"/>
        <v>4.8000000000000007</v>
      </c>
      <c r="AA138" s="3">
        <f>IF(I138&lt;&gt;"",X138/INDEX('energy battery'!$B$3:$D$6,MATCH('vehicles specifications'!$D138,'energy battery'!$A$3:$A$6,0),MATCH('vehicles specifications'!$I138,'energy battery'!$B$2:$D$2,0)),"")</f>
        <v>30</v>
      </c>
      <c r="AB138" s="3">
        <f t="shared" si="133"/>
        <v>6</v>
      </c>
      <c r="AC138" s="3">
        <f t="shared" si="122"/>
        <v>36</v>
      </c>
      <c r="AD138" s="3">
        <v>0</v>
      </c>
      <c r="AE138" s="3">
        <v>0</v>
      </c>
      <c r="AF138">
        <f>AE138*'fuels and tailpipe emissions'!$B$3</f>
        <v>0</v>
      </c>
      <c r="AG138">
        <v>0</v>
      </c>
      <c r="AH138" s="3">
        <v>0</v>
      </c>
      <c r="AI138" s="3">
        <v>3</v>
      </c>
      <c r="AJ138" s="3">
        <v>1</v>
      </c>
      <c r="AK138">
        <f t="shared" si="129"/>
        <v>1</v>
      </c>
      <c r="AL138">
        <f t="shared" si="123"/>
        <v>9.9769230000000002E-5</v>
      </c>
      <c r="AM138">
        <v>1.2899999999999999E-3</v>
      </c>
      <c r="AN138" s="2">
        <f t="shared" si="124"/>
        <v>49.29</v>
      </c>
      <c r="AO138" s="2">
        <f t="shared" si="125"/>
        <v>12</v>
      </c>
      <c r="AP138" s="2">
        <f t="shared" si="126"/>
        <v>36</v>
      </c>
      <c r="AQ138" s="6" t="s">
        <v>85</v>
      </c>
      <c r="AR138" s="20"/>
      <c r="AS138" s="6">
        <v>0.121</v>
      </c>
      <c r="AT138" s="2">
        <f t="shared" si="130"/>
        <v>142.80991735537191</v>
      </c>
      <c r="AU138" s="5">
        <v>0</v>
      </c>
      <c r="AV138" s="5">
        <v>0</v>
      </c>
      <c r="AW138" s="7">
        <v>0</v>
      </c>
      <c r="AX138" s="7">
        <v>0</v>
      </c>
      <c r="AY138" s="7">
        <v>0</v>
      </c>
      <c r="AZ138" s="7">
        <v>0</v>
      </c>
      <c r="BA138" s="7">
        <v>0</v>
      </c>
      <c r="BB138" s="7">
        <v>0</v>
      </c>
      <c r="BC138" s="7">
        <v>0</v>
      </c>
      <c r="BD138" s="7">
        <v>0</v>
      </c>
      <c r="BE138" s="7">
        <v>0</v>
      </c>
      <c r="BF138" s="7">
        <v>0</v>
      </c>
      <c r="BG138" s="7">
        <v>0</v>
      </c>
      <c r="BH138" s="7">
        <v>0</v>
      </c>
      <c r="BI138" s="7">
        <v>0</v>
      </c>
      <c r="BJ138" s="7">
        <v>0</v>
      </c>
      <c r="BK138" s="7">
        <v>0</v>
      </c>
      <c r="BL138" s="7">
        <v>0</v>
      </c>
      <c r="BM138" s="7">
        <v>0</v>
      </c>
      <c r="BN138" s="7">
        <v>0</v>
      </c>
      <c r="BO138" s="7">
        <v>0</v>
      </c>
      <c r="BP138" s="7">
        <v>0</v>
      </c>
      <c r="BQ138" s="7">
        <v>0</v>
      </c>
      <c r="BR138" s="7">
        <v>0</v>
      </c>
      <c r="BS138" s="7">
        <v>0</v>
      </c>
      <c r="BT138" s="7">
        <v>0</v>
      </c>
      <c r="BU138" s="7">
        <v>0</v>
      </c>
      <c r="BV138" s="7">
        <v>0</v>
      </c>
      <c r="BW138" s="7">
        <v>0</v>
      </c>
      <c r="BX138" s="7">
        <v>0</v>
      </c>
      <c r="BY138" s="7">
        <v>0</v>
      </c>
      <c r="BZ138" s="7">
        <v>0</v>
      </c>
      <c r="CA138" s="7">
        <v>0</v>
      </c>
      <c r="CB138" s="7">
        <v>0</v>
      </c>
      <c r="CC138" s="7">
        <v>0</v>
      </c>
      <c r="CD138" s="7">
        <v>0</v>
      </c>
      <c r="CE138" s="7">
        <v>0</v>
      </c>
      <c r="CF138" s="7">
        <v>0</v>
      </c>
      <c r="CG138" s="7">
        <v>0</v>
      </c>
      <c r="CH138" s="7">
        <v>0</v>
      </c>
      <c r="CI138" s="7">
        <v>0</v>
      </c>
      <c r="CJ138" s="7">
        <v>0</v>
      </c>
      <c r="CK138" s="38">
        <f>VLOOKUP($B138,'abrasion emissions'!$O$7:$R$36,2,FALSE)</f>
        <v>0.33</v>
      </c>
      <c r="CL138" s="38">
        <f>VLOOKUP($B138,'abrasion emissions'!$O$7:$R$36,3,FALSE)</f>
        <v>0.33</v>
      </c>
      <c r="CM138" s="38">
        <f>VLOOKUP($B138,'abrasion emissions'!$O$7:$R$36,4,FALSE)</f>
        <v>0.33</v>
      </c>
      <c r="CN138" s="7">
        <f>((SUMIFS('abrasion emissions'!$M$7:$M$34,'abrasion emissions'!$I$7:$I$34,"PM 2.5",'abrasion emissions'!$J$7:$J$34,"urban",'abrasion emissions'!$K$7:$K$34,"Tyre",'abrasion emissions'!$L$7:$L$34,"b")*POWER(('vehicles specifications'!$Q138/1000),(1/SUMIFS('abrasion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specifications'!$P138/1000),(1/SUMIFS('abrasion emissions'!$M$7:$M$34,'abrasion emissions'!$I$7:$I$34,"PM 10",'abrasion emissions'!$J$7:$J$34,"urban",'abrasion emissions'!$K$7:$K$34,"Tyre",'abrasion emissions'!$L$7:$L$34,"c")))))/1000000</f>
        <v>6.0505466079773991E-6</v>
      </c>
      <c r="CO138" s="7">
        <f>((SUMIFS('abrasion emissions'!$M$7:$M$34,'abrasion emissions'!$I$7:$I$34,"PM 2.5",'abrasion emissions'!$J$7:$J$34,"rural",'abrasion emissions'!$K$7:$K$34,"Tyre",'abrasion emissions'!$L$7:$L$34,"b")*POWER(('vehicles specifications'!$Q138/1000),(1/SUMIFS('abrasion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specifications'!$P138/1000),(1/SUMIFS('abrasion emissions'!$M$7:$M$34,'abrasion emissions'!$I$7:$I$34,"PM 10",'abrasion emissions'!$J$7:$J$34,"rural",'abrasion emissions'!$K$7:$K$34,"Tyre",'abrasion emissions'!$L$7:$L$34,"c")))))/1000000</f>
        <v>4.7126360566832226E-6</v>
      </c>
      <c r="CP138" s="7">
        <f>((SUMIFS('abrasion emissions'!$M$7:$M$34,'abrasion emissions'!$I$7:$I$34,"PM 2.5",'abrasion emissions'!$J$7:$J$34,"motorway",'abrasion emissions'!$K$7:$K$34,"Tyre",'abrasion emissions'!$L$7:$L$34,"b")*POWER(('vehicles specifications'!$Q138/1000),(1/SUMIFS('abrasion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specifications'!$P138/1000),(1/SUMIFS('abrasion emissions'!$M$7:$M$34,'abrasion emissions'!$I$7:$I$34,"PM 10",'abrasion emissions'!$J$7:$J$34,"motorway",'abrasion emissions'!$K$7:$K$34,"Tyre",'abrasion emissions'!$L$7:$L$34,"c")))))/1000000</f>
        <v>4.0255256387059222E-6</v>
      </c>
      <c r="CQ138" s="7">
        <f>((SUMIFS('abrasion emissions'!$M$7:$M$34,'abrasion emissions'!$I$7:$I$34,"PM 2.5",'abrasion emissions'!$J$7:$J$34,"urban",'abrasion emissions'!$K$7:$K$34,"Brake",'abrasion emissions'!$L$7:$L$34,"b")*POWER(('vehicles specifications'!$Q138/1000),(1/SUMIFS('abrasion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specifications'!$P138/1000),(1/SUMIFS('abrasion emissions'!$M$7:$M$34,'abrasion emissions'!$I$7:$I$34,"PM 10",'abrasion emissions'!$J$7:$J$34,"urban",'abrasion emissions'!$K$7:$K$34,"Brake",'abrasion emissions'!$L$7:$L$34,"c")))))/1000000</f>
        <v>5.7680648060857489E-6</v>
      </c>
      <c r="CR138" s="7">
        <f>((SUMIFS('abrasion emissions'!$M$7:$M$34,'abrasion emissions'!$I$7:$I$34,"PM 2.5",'abrasion emissions'!$J$7:$J$34,"rural",'abrasion emissions'!$K$7:$K$34,"Brake",'abrasion emissions'!$L$7:$L$34,"b")*POWER(('vehicles specifications'!$Q138/1000),(1/SUMIFS('abrasion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specifications'!$P138/1000),(1/SUMIFS('abrasion emissions'!$M$7:$M$34,'abrasion emissions'!$I$7:$I$34,"PM 10",'abrasion emissions'!$J$7:$J$34,"rural",'abrasion emissions'!$K$7:$K$34,"Brake",'abrasion emissions'!$L$7:$L$34,"c")))))/1000000</f>
        <v>1.8459504100416464E-6</v>
      </c>
      <c r="CS138" s="7">
        <f>((SUMIFS('abrasion emissions'!$M$7:$M$34,'abrasion emissions'!$I$7:$I$34,"PM 2.5",'abrasion emissions'!$J$7:$J$34,"motorway",'abrasion emissions'!$K$7:$K$34,"Brake",'abrasion emissions'!$L$7:$L$34,"b")*POWER(('vehicles specifications'!$Q138/1000),(1/SUMIFS('abrasion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specifications'!$P138/1000),(1/SUMIFS('abrasion emissions'!$M$7:$M$34,'abrasion emissions'!$I$7:$I$34,"PM 10",'abrasion emissions'!$J$7:$J$34,"motorway",'abrasion emissions'!$K$7:$K$34,"Brake",'abrasion emissions'!$L$7:$L$34,"c")))))/1000000</f>
        <v>3.4060118791579131E-7</v>
      </c>
      <c r="CT138" s="7">
        <f>((SUMIFS('abrasion emissions'!$M$7:$M$38,'abrasion emissions'!$I$7:$I$38,"PM 2.5",'abrasion emissions'!$K$7:$K$38,"Re-susp.",'abrasion emissions'!$L$7:$L$38,"b")*POWER(('vehicles specifications'!$Q138/1000),(1/SUMIFS('abrasion emissions'!$M$7:$M$38,'abrasion emissions'!$I$7:$I$38,"PM 2.5",'abrasion emissions'!$K$7:$K$38,"Re-susp.",'abrasion emissions'!$L$7:$L$38,"c"))))+
(SUMIFS('abrasion emissions'!$M$7:$M$38,'abrasion emissions'!$I$7:$I$38,"PM 10",'abrasion emissions'!$K$7:$K$38,"Re-susp.",'abrasion emissions'!$L$7:$L$38,"b")*POWER(('vehicles specifications'!$Q138/1000),(1/SUMIFS('abrasion emissions'!$M$7:$M$38,'abrasion emissions'!$I$7:$I$38,"PM 10",'abrasion emissions'!$K$7:$K$38,"Re-susp.",'abrasion emissions'!$L$7:$L$38,"c")))))/1000000</f>
        <v>3.5507385707742335E-6</v>
      </c>
      <c r="CU138" s="7">
        <f>((SUMIFS('abrasion emissions'!$M$7:$M$38,'abrasion emissions'!$I$7:$I$38,"PM 2.5",'abrasion emissions'!$K$7:$K$38,"Road",'abrasion emissions'!$L$7:$L$38,"b")*POWER(('vehicles specifications'!$Q138/1000),(1/SUMIFS('abrasion emissions'!$M$7:$M$38,'abrasion emissions'!$I$7:$I$38,"PM 2.5",'abrasion emissions'!$K$7:$K$38,"Road",'abrasion emissions'!$L$7:$L$38,"c"))))+
(SUMIFS('abrasion emissions'!$M$7:$M$38,'abrasion emissions'!$I$7:$I$38,"PM 10",'abrasion emissions'!$K$7:$K$38,"Road",'abrasion emissions'!$L$7:$L$38,"b")*POWER(('vehicles specifications'!$Q138/1000),(1/SUMIFS('abrasion emissions'!$M$7:$M$38,'abrasion emissions'!$I$7:$I$38,"PM 10",'abrasion emissions'!$K$7:$K$38,"Road",'abrasion emissions'!$L$7:$L$38,"c")))))/1000000+CT138</f>
        <v>6.8718368549638702E-6</v>
      </c>
      <c r="CV138" s="7">
        <f t="shared" si="131"/>
        <v>4.8802737401109593E-6</v>
      </c>
      <c r="CW138" s="7">
        <f t="shared" si="132"/>
        <v>2.6250234133342519E-6</v>
      </c>
    </row>
    <row r="139" spans="1:101" x14ac:dyDescent="0.2">
      <c r="A139" t="str">
        <f t="shared" si="117"/>
        <v>Motorbike, electric, 4-11kW - 2020 - LFP - CH</v>
      </c>
      <c r="B139" t="s">
        <v>268</v>
      </c>
      <c r="D139" s="18">
        <v>2020</v>
      </c>
      <c r="E139" t="s">
        <v>37</v>
      </c>
      <c r="F139" t="s">
        <v>138</v>
      </c>
      <c r="G139" t="s">
        <v>39</v>
      </c>
      <c r="H139" t="s">
        <v>32</v>
      </c>
      <c r="I139" t="s">
        <v>44</v>
      </c>
      <c r="J139">
        <v>25000</v>
      </c>
      <c r="K139">
        <v>1776</v>
      </c>
      <c r="L139" s="2">
        <f t="shared" si="118"/>
        <v>14.076576576576576</v>
      </c>
      <c r="M139">
        <v>1.1000000000000001</v>
      </c>
      <c r="N139">
        <v>75</v>
      </c>
      <c r="O139">
        <v>6</v>
      </c>
      <c r="P139" s="2">
        <f t="shared" si="119"/>
        <v>121.35074044049274</v>
      </c>
      <c r="Q139" s="2">
        <f t="shared" si="120"/>
        <v>209.85074044049276</v>
      </c>
      <c r="R139">
        <v>4.7</v>
      </c>
      <c r="S139" s="2">
        <v>65.433826960328489</v>
      </c>
      <c r="T139" s="1">
        <v>0</v>
      </c>
      <c r="U139" s="2">
        <f t="shared" si="105"/>
        <v>65.433826960328489</v>
      </c>
      <c r="V139" s="2">
        <f t="shared" ref="V139:V142" si="134">S139*0.2</f>
        <v>13.086765392065699</v>
      </c>
      <c r="W139" s="2">
        <f t="shared" ref="W139:W142" si="135">U139*0.3</f>
        <v>19.630148088098547</v>
      </c>
      <c r="X139" s="3">
        <v>2.9</v>
      </c>
      <c r="Y139" s="1">
        <v>0.8</v>
      </c>
      <c r="Z139" s="3">
        <f t="shared" si="121"/>
        <v>2.3199999999999998</v>
      </c>
      <c r="AA139" s="3">
        <f>IF(I139&lt;&gt;"",X139/INDEX('energy battery'!$B$3:$D$6,MATCH('vehicles specifications'!$D139,'energy battery'!$A$3:$A$6,0),MATCH('vehicles specifications'!$I139,'energy battery'!$B$2:$D$2,0)),"")</f>
        <v>19.333333333333332</v>
      </c>
      <c r="AB139" s="3">
        <f>IF(AA139&lt;&gt;"",0.2*AA139,"")</f>
        <v>3.8666666666666667</v>
      </c>
      <c r="AC139" s="3">
        <f t="shared" si="122"/>
        <v>23.2</v>
      </c>
      <c r="AD139" s="3">
        <v>1</v>
      </c>
      <c r="AE139" s="3">
        <v>0</v>
      </c>
      <c r="AF139">
        <f>AE139*'fuels and tailpipe emissions'!$B$3</f>
        <v>0</v>
      </c>
      <c r="AG139">
        <v>0</v>
      </c>
      <c r="AH139" s="3">
        <v>0</v>
      </c>
      <c r="AI139" s="3">
        <v>3</v>
      </c>
      <c r="AJ139" s="3">
        <v>1</v>
      </c>
      <c r="AK139">
        <f t="shared" si="129"/>
        <v>1</v>
      </c>
      <c r="AL139">
        <f t="shared" si="123"/>
        <v>1.1268984761654461E-4</v>
      </c>
      <c r="AM139">
        <v>1.2899999999999999E-3</v>
      </c>
      <c r="AN139" s="2">
        <f t="shared" si="124"/>
        <v>65.433826960328489</v>
      </c>
      <c r="AO139" s="2">
        <f t="shared" si="125"/>
        <v>32.716913480164244</v>
      </c>
      <c r="AP139" s="2">
        <f t="shared" si="126"/>
        <v>23.2</v>
      </c>
      <c r="AQ139" s="6" t="s">
        <v>85</v>
      </c>
      <c r="AR139" s="20"/>
      <c r="AS139" s="6">
        <v>0.182</v>
      </c>
      <c r="AT139" s="2">
        <f t="shared" si="130"/>
        <v>45.890109890109891</v>
      </c>
      <c r="AU139" s="5">
        <v>0</v>
      </c>
      <c r="AV139" s="5">
        <v>0</v>
      </c>
      <c r="AW139" s="7">
        <v>0</v>
      </c>
      <c r="AX139" s="7">
        <v>0</v>
      </c>
      <c r="AY139" s="7">
        <v>0</v>
      </c>
      <c r="AZ139" s="7">
        <v>0</v>
      </c>
      <c r="BA139" s="7">
        <v>0</v>
      </c>
      <c r="BB139" s="7">
        <v>0</v>
      </c>
      <c r="BC139" s="7">
        <v>0</v>
      </c>
      <c r="BD139" s="7">
        <v>0</v>
      </c>
      <c r="BE139" s="7">
        <v>0</v>
      </c>
      <c r="BF139" s="7">
        <v>0</v>
      </c>
      <c r="BG139" s="7">
        <v>0</v>
      </c>
      <c r="BH139" s="7">
        <v>0</v>
      </c>
      <c r="BI139" s="7">
        <v>0</v>
      </c>
      <c r="BJ139" s="7">
        <v>0</v>
      </c>
      <c r="BK139" s="7">
        <v>0</v>
      </c>
      <c r="BL139" s="7">
        <v>0</v>
      </c>
      <c r="BM139" s="7">
        <v>0</v>
      </c>
      <c r="BN139" s="7">
        <v>0</v>
      </c>
      <c r="BO139" s="7">
        <v>0</v>
      </c>
      <c r="BP139" s="7">
        <v>0</v>
      </c>
      <c r="BQ139" s="7">
        <v>0</v>
      </c>
      <c r="BR139" s="7">
        <v>0</v>
      </c>
      <c r="BS139" s="7">
        <v>0</v>
      </c>
      <c r="BT139" s="7">
        <v>0</v>
      </c>
      <c r="BU139" s="7">
        <v>0</v>
      </c>
      <c r="BV139" s="7">
        <v>0</v>
      </c>
      <c r="BW139" s="7">
        <v>0</v>
      </c>
      <c r="BX139" s="7">
        <v>0</v>
      </c>
      <c r="BY139" s="7">
        <v>0</v>
      </c>
      <c r="BZ139" s="7">
        <v>0</v>
      </c>
      <c r="CA139" s="7">
        <v>0</v>
      </c>
      <c r="CB139" s="7">
        <v>0</v>
      </c>
      <c r="CC139" s="7">
        <v>0</v>
      </c>
      <c r="CD139" s="7">
        <v>0</v>
      </c>
      <c r="CE139" s="7">
        <v>0</v>
      </c>
      <c r="CF139" s="7">
        <v>0</v>
      </c>
      <c r="CG139" s="7">
        <v>0</v>
      </c>
      <c r="CH139" s="7">
        <v>0</v>
      </c>
      <c r="CI139" s="7">
        <v>0</v>
      </c>
      <c r="CJ139" s="7">
        <v>0</v>
      </c>
      <c r="CK139" s="38">
        <f>VLOOKUP($B139,'abrasion emissions'!$O$7:$R$36,2,FALSE)</f>
        <v>0.33</v>
      </c>
      <c r="CL139" s="38">
        <f>VLOOKUP($B139,'abrasion emissions'!$O$7:$R$36,3,FALSE)</f>
        <v>0.33</v>
      </c>
      <c r="CM139" s="38">
        <f>VLOOKUP($B139,'abrasion emissions'!$O$7:$R$36,4,FALSE)</f>
        <v>0.33</v>
      </c>
      <c r="CN139" s="7">
        <f>((SUMIFS('abrasion emissions'!$M$7:$M$34,'abrasion emissions'!$I$7:$I$34,"PM 2.5",'abrasion emissions'!$J$7:$J$34,"urban",'abrasion emissions'!$K$7:$K$34,"Tyre",'abrasion emissions'!$L$7:$L$34,"b")*POWER(('vehicles specifications'!$Q139/1000),(1/SUMIFS('abrasion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specifications'!$P139/1000),(1/SUMIFS('abrasion emissions'!$M$7:$M$34,'abrasion emissions'!$I$7:$I$34,"PM 10",'abrasion emissions'!$J$7:$J$34,"urban",'abrasion emissions'!$K$7:$K$34,"Tyre",'abrasion emissions'!$L$7:$L$34,"c")))))/1000000</f>
        <v>6.4774177570386407E-6</v>
      </c>
      <c r="CO139" s="7">
        <f>((SUMIFS('abrasion emissions'!$M$7:$M$34,'abrasion emissions'!$I$7:$I$34,"PM 2.5",'abrasion emissions'!$J$7:$J$34,"rural",'abrasion emissions'!$K$7:$K$34,"Tyre",'abrasion emissions'!$L$7:$L$34,"b")*POWER(('vehicles specifications'!$Q139/1000),(1/SUMIFS('abrasion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specifications'!$P139/1000),(1/SUMIFS('abrasion emissions'!$M$7:$M$34,'abrasion emissions'!$I$7:$I$34,"PM 10",'abrasion emissions'!$J$7:$J$34,"rural",'abrasion emissions'!$K$7:$K$34,"Tyre",'abrasion emissions'!$L$7:$L$34,"c")))))/1000000</f>
        <v>5.0448213293738686E-6</v>
      </c>
      <c r="CP139" s="7">
        <f>((SUMIFS('abrasion emissions'!$M$7:$M$34,'abrasion emissions'!$I$7:$I$34,"PM 2.5",'abrasion emissions'!$J$7:$J$34,"motorway",'abrasion emissions'!$K$7:$K$34,"Tyre",'abrasion emissions'!$L$7:$L$34,"b")*POWER(('vehicles specifications'!$Q139/1000),(1/SUMIFS('abrasion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specifications'!$P139/1000),(1/SUMIFS('abrasion emissions'!$M$7:$M$34,'abrasion emissions'!$I$7:$I$34,"PM 10",'abrasion emissions'!$J$7:$J$34,"motorway",'abrasion emissions'!$K$7:$K$34,"Tyre",'abrasion emissions'!$L$7:$L$34,"c")))))/1000000</f>
        <v>4.308537037318392E-6</v>
      </c>
      <c r="CQ139" s="7">
        <f>((SUMIFS('abrasion emissions'!$M$7:$M$34,'abrasion emissions'!$I$7:$I$34,"PM 2.5",'abrasion emissions'!$J$7:$J$34,"urban",'abrasion emissions'!$K$7:$K$34,"Brake",'abrasion emissions'!$L$7:$L$34,"b")*POWER(('vehicles specifications'!$Q139/1000),(1/SUMIFS('abrasion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specifications'!$P139/1000),(1/SUMIFS('abrasion emissions'!$M$7:$M$34,'abrasion emissions'!$I$7:$I$34,"PM 10",'abrasion emissions'!$J$7:$J$34,"urban",'abrasion emissions'!$K$7:$K$34,"Brake",'abrasion emissions'!$L$7:$L$34,"c")))))/1000000</f>
        <v>6.2202878341434756E-6</v>
      </c>
      <c r="CR139" s="7">
        <f>((SUMIFS('abrasion emissions'!$M$7:$M$34,'abrasion emissions'!$I$7:$I$34,"PM 2.5",'abrasion emissions'!$J$7:$J$34,"rural",'abrasion emissions'!$K$7:$K$34,"Brake",'abrasion emissions'!$L$7:$L$34,"b")*POWER(('vehicles specifications'!$Q139/1000),(1/SUMIFS('abrasion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specifications'!$P139/1000),(1/SUMIFS('abrasion emissions'!$M$7:$M$34,'abrasion emissions'!$I$7:$I$34,"PM 10",'abrasion emissions'!$J$7:$J$34,"rural",'abrasion emissions'!$K$7:$K$34,"Brake",'abrasion emissions'!$L$7:$L$34,"c")))))/1000000</f>
        <v>2.0303045399135228E-6</v>
      </c>
      <c r="CS139" s="7">
        <f>((SUMIFS('abrasion emissions'!$M$7:$M$34,'abrasion emissions'!$I$7:$I$34,"PM 2.5",'abrasion emissions'!$J$7:$J$34,"motorway",'abrasion emissions'!$K$7:$K$34,"Brake",'abrasion emissions'!$L$7:$L$34,"b")*POWER(('vehicles specifications'!$Q139/1000),(1/SUMIFS('abrasion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specifications'!$P139/1000),(1/SUMIFS('abrasion emissions'!$M$7:$M$34,'abrasion emissions'!$I$7:$I$34,"PM 10",'abrasion emissions'!$J$7:$J$34,"motorway",'abrasion emissions'!$K$7:$K$34,"Brake",'abrasion emissions'!$L$7:$L$34,"c")))))/1000000</f>
        <v>3.7985231514588203E-7</v>
      </c>
      <c r="CT139" s="7">
        <f>((SUMIFS('abrasion emissions'!$M$7:$M$38,'abrasion emissions'!$I$7:$I$38,"PM 2.5",'abrasion emissions'!$K$7:$K$38,"Re-susp.",'abrasion emissions'!$L$7:$L$38,"b")*POWER(('vehicles specifications'!$Q139/1000),(1/SUMIFS('abrasion emissions'!$M$7:$M$38,'abrasion emissions'!$I$7:$I$38,"PM 2.5",'abrasion emissions'!$K$7:$K$38,"Re-susp.",'abrasion emissions'!$L$7:$L$38,"c"))))+
(SUMIFS('abrasion emissions'!$M$7:$M$38,'abrasion emissions'!$I$7:$I$38,"PM 10",'abrasion emissions'!$K$7:$K$38,"Re-susp.",'abrasion emissions'!$L$7:$L$38,"b")*POWER(('vehicles specifications'!$Q139/1000),(1/SUMIFS('abrasion emissions'!$M$7:$M$38,'abrasion emissions'!$I$7:$I$38,"PM 10",'abrasion emissions'!$K$7:$K$38,"Re-susp.",'abrasion emissions'!$L$7:$L$38,"c")))))/1000000</f>
        <v>3.9664214078116821E-6</v>
      </c>
      <c r="CU139" s="7">
        <f>((SUMIFS('abrasion emissions'!$M$7:$M$38,'abrasion emissions'!$I$7:$I$38,"PM 2.5",'abrasion emissions'!$K$7:$K$38,"Road",'abrasion emissions'!$L$7:$L$38,"b")*POWER(('vehicles specifications'!$Q139/1000),(1/SUMIFS('abrasion emissions'!$M$7:$M$38,'abrasion emissions'!$I$7:$I$38,"PM 2.5",'abrasion emissions'!$K$7:$K$38,"Road",'abrasion emissions'!$L$7:$L$38,"c"))))+
(SUMIFS('abrasion emissions'!$M$7:$M$38,'abrasion emissions'!$I$7:$I$38,"PM 10",'abrasion emissions'!$K$7:$K$38,"Road",'abrasion emissions'!$L$7:$L$38,"b")*POWER(('vehicles specifications'!$Q139/1000),(1/SUMIFS('abrasion emissions'!$M$7:$M$38,'abrasion emissions'!$I$7:$I$38,"PM 10",'abrasion emissions'!$K$7:$K$38,"Road",'abrasion emissions'!$L$7:$L$38,"c")))))/1000000+CT139</f>
        <v>7.5683948720314811E-6</v>
      </c>
      <c r="CV139" s="7">
        <f t="shared" si="131"/>
        <v>5.2241561208311976E-6</v>
      </c>
      <c r="CW139" s="7">
        <f t="shared" si="132"/>
        <v>2.8480467474369508E-6</v>
      </c>
    </row>
    <row r="140" spans="1:101" x14ac:dyDescent="0.2">
      <c r="A140" t="str">
        <f t="shared" si="117"/>
        <v>Motorbike, electric, 4-11kW - 2030 - LFP - CH</v>
      </c>
      <c r="B140" t="s">
        <v>268</v>
      </c>
      <c r="D140" s="18">
        <v>2030</v>
      </c>
      <c r="E140" t="s">
        <v>37</v>
      </c>
      <c r="F140" t="s">
        <v>138</v>
      </c>
      <c r="G140" t="s">
        <v>39</v>
      </c>
      <c r="H140" t="s">
        <v>32</v>
      </c>
      <c r="I140" t="s">
        <v>44</v>
      </c>
      <c r="J140">
        <v>25000</v>
      </c>
      <c r="K140">
        <v>1776</v>
      </c>
      <c r="L140" s="2">
        <f t="shared" si="118"/>
        <v>14.076576576576576</v>
      </c>
      <c r="M140">
        <v>1.1000000000000001</v>
      </c>
      <c r="N140">
        <v>75</v>
      </c>
      <c r="O140">
        <v>6</v>
      </c>
      <c r="P140" s="2">
        <f t="shared" si="119"/>
        <v>128.93215452237325</v>
      </c>
      <c r="Q140" s="2">
        <f t="shared" si="120"/>
        <v>217.43215452237325</v>
      </c>
      <c r="R140">
        <v>4.7</v>
      </c>
      <c r="S140" s="2">
        <v>65.433826960328489</v>
      </c>
      <c r="T140" s="1">
        <v>0.03</v>
      </c>
      <c r="U140" s="2">
        <f t="shared" si="105"/>
        <v>63.470812151518629</v>
      </c>
      <c r="V140" s="2">
        <f t="shared" si="134"/>
        <v>13.086765392065699</v>
      </c>
      <c r="W140" s="2">
        <f t="shared" si="135"/>
        <v>19.041243645455587</v>
      </c>
      <c r="X140" s="3">
        <v>5</v>
      </c>
      <c r="Y140" s="1">
        <v>0.8</v>
      </c>
      <c r="Z140" s="3">
        <f t="shared" si="121"/>
        <v>4</v>
      </c>
      <c r="AA140" s="3">
        <f>IF(I140&lt;&gt;"",X140/INDEX('energy battery'!$B$3:$D$6,MATCH('vehicles specifications'!$D140,'energy battery'!$A$3:$A$6,0),MATCH('vehicles specifications'!$I140,'energy battery'!$B$2:$D$2,0)),"")</f>
        <v>27.777777777777779</v>
      </c>
      <c r="AB140" s="3">
        <f t="shared" ref="AB140:AB142" si="136">IF(AA140&lt;&gt;"",0.2*AA140,"")</f>
        <v>5.5555555555555562</v>
      </c>
      <c r="AC140" s="3">
        <f t="shared" si="122"/>
        <v>33.333333333333336</v>
      </c>
      <c r="AD140" s="3">
        <v>0.5</v>
      </c>
      <c r="AE140" s="3">
        <v>0</v>
      </c>
      <c r="AF140">
        <f>AE140*'fuels and tailpipe emissions'!$B$3</f>
        <v>0</v>
      </c>
      <c r="AG140">
        <v>0</v>
      </c>
      <c r="AH140" s="3">
        <v>0</v>
      </c>
      <c r="AI140" s="3">
        <v>3</v>
      </c>
      <c r="AJ140" s="3">
        <v>1</v>
      </c>
      <c r="AK140">
        <f t="shared" si="129"/>
        <v>1</v>
      </c>
      <c r="AL140">
        <f t="shared" si="123"/>
        <v>1.1676106697851444E-4</v>
      </c>
      <c r="AM140">
        <v>1.2899999999999999E-3</v>
      </c>
      <c r="AN140" s="2">
        <f t="shared" si="124"/>
        <v>63.470812151518629</v>
      </c>
      <c r="AO140" s="2">
        <f t="shared" si="125"/>
        <v>32.128009037521288</v>
      </c>
      <c r="AP140" s="2">
        <f t="shared" si="126"/>
        <v>33.333333333333336</v>
      </c>
      <c r="AQ140" s="6" t="s">
        <v>85</v>
      </c>
      <c r="AR140" s="20"/>
      <c r="AS140" s="6">
        <v>0.182</v>
      </c>
      <c r="AT140" s="2">
        <f t="shared" si="130"/>
        <v>79.120879120879124</v>
      </c>
      <c r="AU140" s="5">
        <v>0</v>
      </c>
      <c r="AV140" s="5">
        <v>0</v>
      </c>
      <c r="AW140" s="7">
        <v>0</v>
      </c>
      <c r="AX140" s="7">
        <v>0</v>
      </c>
      <c r="AY140" s="7">
        <v>0</v>
      </c>
      <c r="AZ140" s="7">
        <v>0</v>
      </c>
      <c r="BA140" s="7">
        <v>0</v>
      </c>
      <c r="BB140" s="7">
        <v>0</v>
      </c>
      <c r="BC140" s="7">
        <v>0</v>
      </c>
      <c r="BD140" s="7">
        <v>0</v>
      </c>
      <c r="BE140" s="7">
        <v>0</v>
      </c>
      <c r="BF140" s="7">
        <v>0</v>
      </c>
      <c r="BG140" s="7">
        <v>0</v>
      </c>
      <c r="BH140" s="7">
        <v>0</v>
      </c>
      <c r="BI140" s="7">
        <v>0</v>
      </c>
      <c r="BJ140" s="7">
        <v>0</v>
      </c>
      <c r="BK140" s="7">
        <v>0</v>
      </c>
      <c r="BL140" s="7">
        <v>0</v>
      </c>
      <c r="BM140" s="7">
        <v>0</v>
      </c>
      <c r="BN140" s="7">
        <v>0</v>
      </c>
      <c r="BO140" s="7">
        <v>0</v>
      </c>
      <c r="BP140" s="7">
        <v>0</v>
      </c>
      <c r="BQ140" s="7">
        <v>0</v>
      </c>
      <c r="BR140" s="7">
        <v>0</v>
      </c>
      <c r="BS140" s="7">
        <v>0</v>
      </c>
      <c r="BT140" s="7">
        <v>0</v>
      </c>
      <c r="BU140" s="7">
        <v>0</v>
      </c>
      <c r="BV140" s="7">
        <v>0</v>
      </c>
      <c r="BW140" s="7">
        <v>0</v>
      </c>
      <c r="BX140" s="7">
        <v>0</v>
      </c>
      <c r="BY140" s="7">
        <v>0</v>
      </c>
      <c r="BZ140" s="7">
        <v>0</v>
      </c>
      <c r="CA140" s="7">
        <v>0</v>
      </c>
      <c r="CB140" s="7">
        <v>0</v>
      </c>
      <c r="CC140" s="7">
        <v>0</v>
      </c>
      <c r="CD140" s="7">
        <v>0</v>
      </c>
      <c r="CE140" s="7">
        <v>0</v>
      </c>
      <c r="CF140" s="7">
        <v>0</v>
      </c>
      <c r="CG140" s="7">
        <v>0</v>
      </c>
      <c r="CH140" s="7">
        <v>0</v>
      </c>
      <c r="CI140" s="7">
        <v>0</v>
      </c>
      <c r="CJ140" s="7">
        <v>0</v>
      </c>
      <c r="CK140" s="38">
        <f>VLOOKUP($B140,'abrasion emissions'!$O$7:$R$36,2,FALSE)</f>
        <v>0.33</v>
      </c>
      <c r="CL140" s="38">
        <f>VLOOKUP($B140,'abrasion emissions'!$O$7:$R$36,3,FALSE)</f>
        <v>0.33</v>
      </c>
      <c r="CM140" s="38">
        <f>VLOOKUP($B140,'abrasion emissions'!$O$7:$R$36,4,FALSE)</f>
        <v>0.33</v>
      </c>
      <c r="CN140" s="7">
        <f>((SUMIFS('abrasion emissions'!$M$7:$M$34,'abrasion emissions'!$I$7:$I$34,"PM 2.5",'abrasion emissions'!$J$7:$J$34,"urban",'abrasion emissions'!$K$7:$K$34,"Tyre",'abrasion emissions'!$L$7:$L$34,"b")*POWER(('vehicles specifications'!$Q140/1000),(1/SUMIFS('abrasion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specifications'!$P140/1000),(1/SUMIFS('abrasion emissions'!$M$7:$M$34,'abrasion emissions'!$I$7:$I$34,"PM 10",'abrasion emissions'!$J$7:$J$34,"urban",'abrasion emissions'!$K$7:$K$34,"Tyre",'abrasion emissions'!$L$7:$L$34,"c")))))/1000000</f>
        <v>6.6039893543184199E-6</v>
      </c>
      <c r="CO140" s="7">
        <f>((SUMIFS('abrasion emissions'!$M$7:$M$34,'abrasion emissions'!$I$7:$I$34,"PM 2.5",'abrasion emissions'!$J$7:$J$34,"rural",'abrasion emissions'!$K$7:$K$34,"Tyre",'abrasion emissions'!$L$7:$L$34,"b")*POWER(('vehicles specifications'!$Q140/1000),(1/SUMIFS('abrasion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specifications'!$P140/1000),(1/SUMIFS('abrasion emissions'!$M$7:$M$34,'abrasion emissions'!$I$7:$I$34,"PM 10",'abrasion emissions'!$J$7:$J$34,"rural",'abrasion emissions'!$K$7:$K$34,"Tyre",'abrasion emissions'!$L$7:$L$34,"c")))))/1000000</f>
        <v>5.1433225956115394E-6</v>
      </c>
      <c r="CP140" s="7">
        <f>((SUMIFS('abrasion emissions'!$M$7:$M$34,'abrasion emissions'!$I$7:$I$34,"PM 2.5",'abrasion emissions'!$J$7:$J$34,"motorway",'abrasion emissions'!$K$7:$K$34,"Tyre",'abrasion emissions'!$L$7:$L$34,"b")*POWER(('vehicles specifications'!$Q140/1000),(1/SUMIFS('abrasion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specifications'!$P140/1000),(1/SUMIFS('abrasion emissions'!$M$7:$M$34,'abrasion emissions'!$I$7:$I$34,"PM 10",'abrasion emissions'!$J$7:$J$34,"motorway",'abrasion emissions'!$K$7:$K$34,"Tyre",'abrasion emissions'!$L$7:$L$34,"c")))))/1000000</f>
        <v>4.3924695381618995E-6</v>
      </c>
      <c r="CQ140" s="7">
        <f>((SUMIFS('abrasion emissions'!$M$7:$M$34,'abrasion emissions'!$I$7:$I$34,"PM 2.5",'abrasion emissions'!$J$7:$J$34,"urban",'abrasion emissions'!$K$7:$K$34,"Brake",'abrasion emissions'!$L$7:$L$34,"b")*POWER(('vehicles specifications'!$Q140/1000),(1/SUMIFS('abrasion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specifications'!$P140/1000),(1/SUMIFS('abrasion emissions'!$M$7:$M$34,'abrasion emissions'!$I$7:$I$34,"PM 10",'abrasion emissions'!$J$7:$J$34,"urban",'abrasion emissions'!$K$7:$K$34,"Brake",'abrasion emissions'!$L$7:$L$34,"c")))))/1000000</f>
        <v>6.3563305820999226E-6</v>
      </c>
      <c r="CR140" s="7">
        <f>((SUMIFS('abrasion emissions'!$M$7:$M$34,'abrasion emissions'!$I$7:$I$34,"PM 2.5",'abrasion emissions'!$J$7:$J$34,"rural",'abrasion emissions'!$K$7:$K$34,"Brake",'abrasion emissions'!$L$7:$L$34,"b")*POWER(('vehicles specifications'!$Q140/1000),(1/SUMIFS('abrasion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specifications'!$P140/1000),(1/SUMIFS('abrasion emissions'!$M$7:$M$34,'abrasion emissions'!$I$7:$I$34,"PM 10",'abrasion emissions'!$J$7:$J$34,"rural",'abrasion emissions'!$K$7:$K$34,"Brake",'abrasion emissions'!$L$7:$L$34,"c")))))/1000000</f>
        <v>2.0865412550599154E-6</v>
      </c>
      <c r="CS140" s="7">
        <f>((SUMIFS('abrasion emissions'!$M$7:$M$34,'abrasion emissions'!$I$7:$I$34,"PM 2.5",'abrasion emissions'!$J$7:$J$34,"motorway",'abrasion emissions'!$K$7:$K$34,"Brake",'abrasion emissions'!$L$7:$L$34,"b")*POWER(('vehicles specifications'!$Q140/1000),(1/SUMIFS('abrasion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specifications'!$P140/1000),(1/SUMIFS('abrasion emissions'!$M$7:$M$34,'abrasion emissions'!$I$7:$I$34,"PM 10",'abrasion emissions'!$J$7:$J$34,"motorway",'abrasion emissions'!$K$7:$K$34,"Brake",'abrasion emissions'!$L$7:$L$34,"c")))))/1000000</f>
        <v>3.9194813948317098E-7</v>
      </c>
      <c r="CT140" s="7">
        <f>((SUMIFS('abrasion emissions'!$M$7:$M$38,'abrasion emissions'!$I$7:$I$38,"PM 2.5",'abrasion emissions'!$K$7:$K$38,"Re-susp.",'abrasion emissions'!$L$7:$L$38,"b")*POWER(('vehicles specifications'!$Q140/1000),(1/SUMIFS('abrasion emissions'!$M$7:$M$38,'abrasion emissions'!$I$7:$I$38,"PM 2.5",'abrasion emissions'!$K$7:$K$38,"Re-susp.",'abrasion emissions'!$L$7:$L$38,"c"))))+
(SUMIFS('abrasion emissions'!$M$7:$M$38,'abrasion emissions'!$I$7:$I$38,"PM 10",'abrasion emissions'!$K$7:$K$38,"Re-susp.",'abrasion emissions'!$L$7:$L$38,"b")*POWER(('vehicles specifications'!$Q140/1000),(1/SUMIFS('abrasion emissions'!$M$7:$M$38,'abrasion emissions'!$I$7:$I$38,"PM 10",'abrasion emissions'!$K$7:$K$38,"Re-susp.",'abrasion emissions'!$L$7:$L$38,"c")))))/1000000</f>
        <v>4.0964806806100804E-6</v>
      </c>
      <c r="CU140" s="7">
        <f>((SUMIFS('abrasion emissions'!$M$7:$M$38,'abrasion emissions'!$I$7:$I$38,"PM 2.5",'abrasion emissions'!$K$7:$K$38,"Road",'abrasion emissions'!$L$7:$L$38,"b")*POWER(('vehicles specifications'!$Q140/1000),(1/SUMIFS('abrasion emissions'!$M$7:$M$38,'abrasion emissions'!$I$7:$I$38,"PM 2.5",'abrasion emissions'!$K$7:$K$38,"Road",'abrasion emissions'!$L$7:$L$38,"c"))))+
(SUMIFS('abrasion emissions'!$M$7:$M$38,'abrasion emissions'!$I$7:$I$38,"PM 10",'abrasion emissions'!$K$7:$K$38,"Road",'abrasion emissions'!$L$7:$L$38,"b")*POWER(('vehicles specifications'!$Q140/1000),(1/SUMIFS('abrasion emissions'!$M$7:$M$38,'abrasion emissions'!$I$7:$I$38,"PM 10",'abrasion emissions'!$K$7:$K$38,"Road",'abrasion emissions'!$L$7:$L$38,"c")))))/1000000+CT140</f>
        <v>7.7846938815666578E-6</v>
      </c>
      <c r="CV140" s="7">
        <f t="shared" si="131"/>
        <v>5.3261278910703132E-6</v>
      </c>
      <c r="CW140" s="7">
        <f t="shared" si="132"/>
        <v>2.915490592292193E-6</v>
      </c>
    </row>
    <row r="141" spans="1:101" x14ac:dyDescent="0.2">
      <c r="A141" t="str">
        <f t="shared" si="117"/>
        <v>Motorbike, electric, 4-11kW - 2040 - LFP - CH</v>
      </c>
      <c r="B141" t="s">
        <v>268</v>
      </c>
      <c r="D141" s="18">
        <v>2040</v>
      </c>
      <c r="E141" t="s">
        <v>37</v>
      </c>
      <c r="F141" t="s">
        <v>138</v>
      </c>
      <c r="G141" t="s">
        <v>39</v>
      </c>
      <c r="H141" t="s">
        <v>32</v>
      </c>
      <c r="I141" t="s">
        <v>44</v>
      </c>
      <c r="J141">
        <v>25000</v>
      </c>
      <c r="K141">
        <v>1776</v>
      </c>
      <c r="L141" s="2">
        <f t="shared" si="118"/>
        <v>14.076576576576576</v>
      </c>
      <c r="M141">
        <v>1.1000000000000001</v>
      </c>
      <c r="N141">
        <v>75</v>
      </c>
      <c r="O141">
        <v>6</v>
      </c>
      <c r="P141" s="2">
        <f t="shared" si="119"/>
        <v>140.56420835473804</v>
      </c>
      <c r="Q141" s="2">
        <f t="shared" si="120"/>
        <v>229.06420835473804</v>
      </c>
      <c r="R141">
        <v>4.7</v>
      </c>
      <c r="S141" s="2">
        <v>65.433826960328489</v>
      </c>
      <c r="T141" s="1">
        <v>0.05</v>
      </c>
      <c r="U141" s="2">
        <f t="shared" si="105"/>
        <v>62.162135612312063</v>
      </c>
      <c r="V141" s="2">
        <f t="shared" si="134"/>
        <v>13.086765392065699</v>
      </c>
      <c r="W141" s="2">
        <f t="shared" si="135"/>
        <v>18.648640683693618</v>
      </c>
      <c r="X141" s="3">
        <v>7</v>
      </c>
      <c r="Y141" s="1">
        <v>0.8</v>
      </c>
      <c r="Z141" s="3">
        <f t="shared" si="121"/>
        <v>5.6000000000000005</v>
      </c>
      <c r="AA141" s="3">
        <f>IF(I141&lt;&gt;"",X141/INDEX('energy battery'!$B$3:$D$6,MATCH('vehicles specifications'!$D141,'energy battery'!$A$3:$A$6,0),MATCH('vehicles specifications'!$I141,'energy battery'!$B$2:$D$2,0)),"")</f>
        <v>38.888888888888893</v>
      </c>
      <c r="AB141" s="3">
        <f t="shared" si="136"/>
        <v>7.7777777777777786</v>
      </c>
      <c r="AC141" s="3">
        <f t="shared" si="122"/>
        <v>46.666666666666671</v>
      </c>
      <c r="AD141" s="3">
        <v>0.25</v>
      </c>
      <c r="AE141" s="3">
        <v>0</v>
      </c>
      <c r="AF141">
        <f>AE141*'fuels and tailpipe emissions'!$B$3</f>
        <v>0</v>
      </c>
      <c r="AG141">
        <v>0</v>
      </c>
      <c r="AH141" s="3">
        <v>0</v>
      </c>
      <c r="AI141" s="3">
        <v>3</v>
      </c>
      <c r="AJ141" s="3">
        <v>1</v>
      </c>
      <c r="AK141">
        <f t="shared" si="129"/>
        <v>1</v>
      </c>
      <c r="AL141">
        <f t="shared" si="123"/>
        <v>1.2300747988649432E-4</v>
      </c>
      <c r="AM141">
        <v>1.2899999999999999E-3</v>
      </c>
      <c r="AN141" s="2">
        <f t="shared" si="124"/>
        <v>62.162135612312063</v>
      </c>
      <c r="AO141" s="2">
        <f t="shared" si="125"/>
        <v>31.735406075759315</v>
      </c>
      <c r="AP141" s="2">
        <f t="shared" si="126"/>
        <v>46.666666666666671</v>
      </c>
      <c r="AQ141" s="6" t="s">
        <v>85</v>
      </c>
      <c r="AR141" s="20"/>
      <c r="AS141" s="6">
        <v>0.182</v>
      </c>
      <c r="AT141" s="2">
        <f t="shared" si="130"/>
        <v>110.76923076923079</v>
      </c>
      <c r="AU141" s="5">
        <v>0</v>
      </c>
      <c r="AV141" s="5">
        <v>0</v>
      </c>
      <c r="AW141" s="7">
        <v>0</v>
      </c>
      <c r="AX141" s="7">
        <v>0</v>
      </c>
      <c r="AY141" s="7">
        <v>0</v>
      </c>
      <c r="AZ141" s="7">
        <v>0</v>
      </c>
      <c r="BA141" s="7">
        <v>0</v>
      </c>
      <c r="BB141" s="7">
        <v>0</v>
      </c>
      <c r="BC141" s="7">
        <v>0</v>
      </c>
      <c r="BD141" s="7">
        <v>0</v>
      </c>
      <c r="BE141" s="7">
        <v>0</v>
      </c>
      <c r="BF141" s="7">
        <v>0</v>
      </c>
      <c r="BG141" s="7">
        <v>0</v>
      </c>
      <c r="BH141" s="7">
        <v>0</v>
      </c>
      <c r="BI141" s="7">
        <v>0</v>
      </c>
      <c r="BJ141" s="7">
        <v>0</v>
      </c>
      <c r="BK141" s="7">
        <v>0</v>
      </c>
      <c r="BL141" s="7">
        <v>0</v>
      </c>
      <c r="BM141" s="7">
        <v>0</v>
      </c>
      <c r="BN141" s="7">
        <v>0</v>
      </c>
      <c r="BO141" s="7">
        <v>0</v>
      </c>
      <c r="BP141" s="7">
        <v>0</v>
      </c>
      <c r="BQ141" s="7">
        <v>0</v>
      </c>
      <c r="BR141" s="7">
        <v>0</v>
      </c>
      <c r="BS141" s="7">
        <v>0</v>
      </c>
      <c r="BT141" s="7">
        <v>0</v>
      </c>
      <c r="BU141" s="7">
        <v>0</v>
      </c>
      <c r="BV141" s="7">
        <v>0</v>
      </c>
      <c r="BW141" s="7">
        <v>0</v>
      </c>
      <c r="BX141" s="7">
        <v>0</v>
      </c>
      <c r="BY141" s="7">
        <v>0</v>
      </c>
      <c r="BZ141" s="7">
        <v>0</v>
      </c>
      <c r="CA141" s="7">
        <v>0</v>
      </c>
      <c r="CB141" s="7">
        <v>0</v>
      </c>
      <c r="CC141" s="7">
        <v>0</v>
      </c>
      <c r="CD141" s="7">
        <v>0</v>
      </c>
      <c r="CE141" s="7">
        <v>0</v>
      </c>
      <c r="CF141" s="7">
        <v>0</v>
      </c>
      <c r="CG141" s="7">
        <v>0</v>
      </c>
      <c r="CH141" s="7">
        <v>0</v>
      </c>
      <c r="CI141" s="7">
        <v>0</v>
      </c>
      <c r="CJ141" s="7">
        <v>0</v>
      </c>
      <c r="CK141" s="38">
        <f>VLOOKUP($B141,'abrasion emissions'!$O$7:$R$36,2,FALSE)</f>
        <v>0.33</v>
      </c>
      <c r="CL141" s="38">
        <f>VLOOKUP($B141,'abrasion emissions'!$O$7:$R$36,3,FALSE)</f>
        <v>0.33</v>
      </c>
      <c r="CM141" s="38">
        <f>VLOOKUP($B141,'abrasion emissions'!$O$7:$R$36,4,FALSE)</f>
        <v>0.33</v>
      </c>
      <c r="CN141" s="7">
        <f>((SUMIFS('abrasion emissions'!$M$7:$M$34,'abrasion emissions'!$I$7:$I$34,"PM 2.5",'abrasion emissions'!$J$7:$J$34,"urban",'abrasion emissions'!$K$7:$K$34,"Tyre",'abrasion emissions'!$L$7:$L$34,"b")*POWER(('vehicles specifications'!$Q141/1000),(1/SUMIFS('abrasion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specifications'!$P141/1000),(1/SUMIFS('abrasion emissions'!$M$7:$M$34,'abrasion emissions'!$I$7:$I$34,"PM 10",'abrasion emissions'!$J$7:$J$34,"urban",'abrasion emissions'!$K$7:$K$34,"Tyre",'abrasion emissions'!$L$7:$L$34,"c")))))/1000000</f>
        <v>6.7918793821858196E-6</v>
      </c>
      <c r="CO141" s="7">
        <f>((SUMIFS('abrasion emissions'!$M$7:$M$34,'abrasion emissions'!$I$7:$I$34,"PM 2.5",'abrasion emissions'!$J$7:$J$34,"rural",'abrasion emissions'!$K$7:$K$34,"Tyre",'abrasion emissions'!$L$7:$L$34,"b")*POWER(('vehicles specifications'!$Q141/1000),(1/SUMIFS('abrasion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specifications'!$P141/1000),(1/SUMIFS('abrasion emissions'!$M$7:$M$34,'abrasion emissions'!$I$7:$I$34,"PM 10",'abrasion emissions'!$J$7:$J$34,"rural",'abrasion emissions'!$K$7:$K$34,"Tyre",'abrasion emissions'!$L$7:$L$34,"c")))))/1000000</f>
        <v>5.2895470991237521E-6</v>
      </c>
      <c r="CP141" s="7">
        <f>((SUMIFS('abrasion emissions'!$M$7:$M$34,'abrasion emissions'!$I$7:$I$34,"PM 2.5",'abrasion emissions'!$J$7:$J$34,"motorway",'abrasion emissions'!$K$7:$K$34,"Tyre",'abrasion emissions'!$L$7:$L$34,"b")*POWER(('vehicles specifications'!$Q141/1000),(1/SUMIFS('abrasion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specifications'!$P141/1000),(1/SUMIFS('abrasion emissions'!$M$7:$M$34,'abrasion emissions'!$I$7:$I$34,"PM 10",'abrasion emissions'!$J$7:$J$34,"motorway",'abrasion emissions'!$K$7:$K$34,"Tyre",'abrasion emissions'!$L$7:$L$34,"c")))))/1000000</f>
        <v>4.5170759955076088E-6</v>
      </c>
      <c r="CQ141" s="7">
        <f>((SUMIFS('abrasion emissions'!$M$7:$M$34,'abrasion emissions'!$I$7:$I$34,"PM 2.5",'abrasion emissions'!$J$7:$J$34,"urban",'abrasion emissions'!$K$7:$K$34,"Brake",'abrasion emissions'!$L$7:$L$34,"b")*POWER(('vehicles specifications'!$Q141/1000),(1/SUMIFS('abrasion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specifications'!$P141/1000),(1/SUMIFS('abrasion emissions'!$M$7:$M$34,'abrasion emissions'!$I$7:$I$34,"PM 10",'abrasion emissions'!$J$7:$J$34,"urban",'abrasion emissions'!$K$7:$K$34,"Brake",'abrasion emissions'!$L$7:$L$34,"c")))))/1000000</f>
        <v>6.559817853226958E-6</v>
      </c>
      <c r="CR141" s="7">
        <f>((SUMIFS('abrasion emissions'!$M$7:$M$34,'abrasion emissions'!$I$7:$I$34,"PM 2.5",'abrasion emissions'!$J$7:$J$34,"rural",'abrasion emissions'!$K$7:$K$34,"Brake",'abrasion emissions'!$L$7:$L$34,"b")*POWER(('vehicles specifications'!$Q141/1000),(1/SUMIFS('abrasion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specifications'!$P141/1000),(1/SUMIFS('abrasion emissions'!$M$7:$M$34,'abrasion emissions'!$I$7:$I$34,"PM 10",'abrasion emissions'!$J$7:$J$34,"rural",'abrasion emissions'!$K$7:$K$34,"Brake",'abrasion emissions'!$L$7:$L$34,"c")))))/1000000</f>
        <v>2.1712986159879581E-6</v>
      </c>
      <c r="CS141" s="7">
        <f>((SUMIFS('abrasion emissions'!$M$7:$M$34,'abrasion emissions'!$I$7:$I$34,"PM 2.5",'abrasion emissions'!$J$7:$J$34,"motorway",'abrasion emissions'!$K$7:$K$34,"Brake",'abrasion emissions'!$L$7:$L$34,"b")*POWER(('vehicles specifications'!$Q141/1000),(1/SUMIFS('abrasion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specifications'!$P141/1000),(1/SUMIFS('abrasion emissions'!$M$7:$M$34,'abrasion emissions'!$I$7:$I$34,"PM 10",'abrasion emissions'!$J$7:$J$34,"motorway",'abrasion emissions'!$K$7:$K$34,"Brake",'abrasion emissions'!$L$7:$L$34,"c")))))/1000000</f>
        <v>4.1028017789147639E-7</v>
      </c>
      <c r="CT141" s="7">
        <f>((SUMIFS('abrasion emissions'!$M$7:$M$38,'abrasion emissions'!$I$7:$I$38,"PM 2.5",'abrasion emissions'!$K$7:$K$38,"Re-susp.",'abrasion emissions'!$L$7:$L$38,"b")*POWER(('vehicles specifications'!$Q141/1000),(1/SUMIFS('abrasion emissions'!$M$7:$M$38,'abrasion emissions'!$I$7:$I$38,"PM 2.5",'abrasion emissions'!$K$7:$K$38,"Re-susp.",'abrasion emissions'!$L$7:$L$38,"c"))))+
(SUMIFS('abrasion emissions'!$M$7:$M$38,'abrasion emissions'!$I$7:$I$38,"PM 10",'abrasion emissions'!$K$7:$K$38,"Re-susp.",'abrasion emissions'!$L$7:$L$38,"b")*POWER(('vehicles specifications'!$Q141/1000),(1/SUMIFS('abrasion emissions'!$M$7:$M$38,'abrasion emissions'!$I$7:$I$38,"PM 10",'abrasion emissions'!$K$7:$K$38,"Re-susp.",'abrasion emissions'!$L$7:$L$38,"c")))))/1000000</f>
        <v>4.2952336091898652E-6</v>
      </c>
      <c r="CU141" s="7">
        <f>((SUMIFS('abrasion emissions'!$M$7:$M$38,'abrasion emissions'!$I$7:$I$38,"PM 2.5",'abrasion emissions'!$K$7:$K$38,"Road",'abrasion emissions'!$L$7:$L$38,"b")*POWER(('vehicles specifications'!$Q141/1000),(1/SUMIFS('abrasion emissions'!$M$7:$M$38,'abrasion emissions'!$I$7:$I$38,"PM 2.5",'abrasion emissions'!$K$7:$K$38,"Road",'abrasion emissions'!$L$7:$L$38,"c"))))+
(SUMIFS('abrasion emissions'!$M$7:$M$38,'abrasion emissions'!$I$7:$I$38,"PM 10",'abrasion emissions'!$K$7:$K$38,"Road",'abrasion emissions'!$L$7:$L$38,"b")*POWER(('vehicles specifications'!$Q141/1000),(1/SUMIFS('abrasion emissions'!$M$7:$M$38,'abrasion emissions'!$I$7:$I$38,"PM 10",'abrasion emissions'!$K$7:$K$38,"Road",'abrasion emissions'!$L$7:$L$38,"c")))))/1000000+CT141</f>
        <v>8.1138408813116197E-6</v>
      </c>
      <c r="CV141" s="7">
        <f t="shared" si="131"/>
        <v>5.4775058173496703E-6</v>
      </c>
      <c r="CW141" s="7">
        <f t="shared" si="132"/>
        <v>3.0166608935451095E-6</v>
      </c>
    </row>
    <row r="142" spans="1:101" x14ac:dyDescent="0.2">
      <c r="A142" t="str">
        <f t="shared" si="117"/>
        <v>Motorbike, electric, 4-11kW - 2050 - LFP - CH</v>
      </c>
      <c r="B142" t="s">
        <v>268</v>
      </c>
      <c r="D142" s="18">
        <v>2050</v>
      </c>
      <c r="E142" t="s">
        <v>37</v>
      </c>
      <c r="F142" t="s">
        <v>138</v>
      </c>
      <c r="G142" t="s">
        <v>39</v>
      </c>
      <c r="H142" t="s">
        <v>32</v>
      </c>
      <c r="I142" t="s">
        <v>44</v>
      </c>
      <c r="J142">
        <v>25000</v>
      </c>
      <c r="K142">
        <v>1776</v>
      </c>
      <c r="L142" s="2">
        <f t="shared" si="118"/>
        <v>14.076576576576576</v>
      </c>
      <c r="M142">
        <v>1.1000000000000001</v>
      </c>
      <c r="N142">
        <v>75</v>
      </c>
      <c r="O142">
        <v>6</v>
      </c>
      <c r="P142" s="2">
        <f t="shared" si="119"/>
        <v>149.19626218710283</v>
      </c>
      <c r="Q142" s="2">
        <f t="shared" si="120"/>
        <v>237.69626218710283</v>
      </c>
      <c r="R142">
        <v>4.7</v>
      </c>
      <c r="S142" s="2">
        <v>65.433826960328489</v>
      </c>
      <c r="T142" s="1">
        <v>7.0000000000000007E-2</v>
      </c>
      <c r="U142" s="2">
        <f t="shared" si="105"/>
        <v>60.853459073105491</v>
      </c>
      <c r="V142" s="2">
        <f t="shared" si="134"/>
        <v>13.086765392065699</v>
      </c>
      <c r="W142" s="2">
        <f t="shared" si="135"/>
        <v>18.256037721931648</v>
      </c>
      <c r="X142" s="3">
        <v>9.5</v>
      </c>
      <c r="Y142" s="1">
        <v>0.8</v>
      </c>
      <c r="Z142" s="3">
        <f t="shared" si="121"/>
        <v>7.6000000000000005</v>
      </c>
      <c r="AA142" s="3">
        <f>IF(I142&lt;&gt;"",X142/INDEX('energy battery'!$B$3:$D$6,MATCH('vehicles specifications'!$D142,'energy battery'!$A$3:$A$6,0),MATCH('vehicles specifications'!$I142,'energy battery'!$B$2:$D$2,0)),"")</f>
        <v>47.5</v>
      </c>
      <c r="AB142" s="3">
        <f t="shared" si="136"/>
        <v>9.5</v>
      </c>
      <c r="AC142" s="3">
        <f t="shared" si="122"/>
        <v>57</v>
      </c>
      <c r="AD142" s="3">
        <v>0</v>
      </c>
      <c r="AE142" s="3">
        <v>0</v>
      </c>
      <c r="AF142">
        <f>AE142*'fuels and tailpipe emissions'!$B$3</f>
        <v>0</v>
      </c>
      <c r="AG142">
        <v>0</v>
      </c>
      <c r="AH142" s="3">
        <v>0</v>
      </c>
      <c r="AI142" s="3">
        <v>3</v>
      </c>
      <c r="AJ142" s="3">
        <v>1</v>
      </c>
      <c r="AK142">
        <f t="shared" si="129"/>
        <v>1</v>
      </c>
      <c r="AL142">
        <f t="shared" si="123"/>
        <v>1.2764289279447422E-4</v>
      </c>
      <c r="AM142">
        <v>1.2899999999999999E-3</v>
      </c>
      <c r="AN142" s="2">
        <f t="shared" si="124"/>
        <v>60.853459073105491</v>
      </c>
      <c r="AO142" s="2">
        <f t="shared" si="125"/>
        <v>31.342803113997348</v>
      </c>
      <c r="AP142" s="2">
        <f t="shared" si="126"/>
        <v>57</v>
      </c>
      <c r="AQ142" s="6" t="s">
        <v>85</v>
      </c>
      <c r="AR142" s="20"/>
      <c r="AS142" s="6">
        <v>0.182</v>
      </c>
      <c r="AT142" s="2">
        <f t="shared" si="130"/>
        <v>150.32967032967034</v>
      </c>
      <c r="AU142" s="5">
        <v>0</v>
      </c>
      <c r="AV142" s="5">
        <v>0</v>
      </c>
      <c r="AW142" s="7">
        <v>0</v>
      </c>
      <c r="AX142" s="7">
        <v>0</v>
      </c>
      <c r="AY142" s="7">
        <v>0</v>
      </c>
      <c r="AZ142" s="7">
        <v>0</v>
      </c>
      <c r="BA142" s="7">
        <v>0</v>
      </c>
      <c r="BB142" s="7">
        <v>0</v>
      </c>
      <c r="BC142" s="7">
        <v>0</v>
      </c>
      <c r="BD142" s="7">
        <v>0</v>
      </c>
      <c r="BE142" s="7">
        <v>0</v>
      </c>
      <c r="BF142" s="7">
        <v>0</v>
      </c>
      <c r="BG142" s="7">
        <v>0</v>
      </c>
      <c r="BH142" s="7">
        <v>0</v>
      </c>
      <c r="BI142" s="7">
        <v>0</v>
      </c>
      <c r="BJ142" s="7">
        <v>0</v>
      </c>
      <c r="BK142" s="7">
        <v>0</v>
      </c>
      <c r="BL142" s="7">
        <v>0</v>
      </c>
      <c r="BM142" s="7">
        <v>0</v>
      </c>
      <c r="BN142" s="7">
        <v>0</v>
      </c>
      <c r="BO142" s="7">
        <v>0</v>
      </c>
      <c r="BP142" s="7">
        <v>0</v>
      </c>
      <c r="BQ142" s="7">
        <v>0</v>
      </c>
      <c r="BR142" s="7">
        <v>0</v>
      </c>
      <c r="BS142" s="7">
        <v>0</v>
      </c>
      <c r="BT142" s="7">
        <v>0</v>
      </c>
      <c r="BU142" s="7">
        <v>0</v>
      </c>
      <c r="BV142" s="7">
        <v>0</v>
      </c>
      <c r="BW142" s="7">
        <v>0</v>
      </c>
      <c r="BX142" s="7">
        <v>0</v>
      </c>
      <c r="BY142" s="7">
        <v>0</v>
      </c>
      <c r="BZ142" s="7">
        <v>0</v>
      </c>
      <c r="CA142" s="7">
        <v>0</v>
      </c>
      <c r="CB142" s="7">
        <v>0</v>
      </c>
      <c r="CC142" s="7">
        <v>0</v>
      </c>
      <c r="CD142" s="7">
        <v>0</v>
      </c>
      <c r="CE142" s="7">
        <v>0</v>
      </c>
      <c r="CF142" s="7">
        <v>0</v>
      </c>
      <c r="CG142" s="7">
        <v>0</v>
      </c>
      <c r="CH142" s="7">
        <v>0</v>
      </c>
      <c r="CI142" s="7">
        <v>0</v>
      </c>
      <c r="CJ142" s="7">
        <v>0</v>
      </c>
      <c r="CK142" s="38">
        <f>VLOOKUP($B142,'abrasion emissions'!$O$7:$R$36,2,FALSE)</f>
        <v>0.33</v>
      </c>
      <c r="CL142" s="38">
        <f>VLOOKUP($B142,'abrasion emissions'!$O$7:$R$36,3,FALSE)</f>
        <v>0.33</v>
      </c>
      <c r="CM142" s="38">
        <f>VLOOKUP($B142,'abrasion emissions'!$O$7:$R$36,4,FALSE)</f>
        <v>0.33</v>
      </c>
      <c r="CN142" s="7">
        <f>((SUMIFS('abrasion emissions'!$M$7:$M$34,'abrasion emissions'!$I$7:$I$34,"PM 2.5",'abrasion emissions'!$J$7:$J$34,"urban",'abrasion emissions'!$K$7:$K$34,"Tyre",'abrasion emissions'!$L$7:$L$34,"b")*POWER(('vehicles specifications'!$Q142/1000),(1/SUMIFS('abrasion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specifications'!$P142/1000),(1/SUMIFS('abrasion emissions'!$M$7:$M$34,'abrasion emissions'!$I$7:$I$34,"PM 10",'abrasion emissions'!$J$7:$J$34,"urban",'abrasion emissions'!$K$7:$K$34,"Tyre",'abrasion emissions'!$L$7:$L$34,"c")))))/1000000</f>
        <v>6.9268044874823312E-6</v>
      </c>
      <c r="CO142" s="7">
        <f>((SUMIFS('abrasion emissions'!$M$7:$M$34,'abrasion emissions'!$I$7:$I$34,"PM 2.5",'abrasion emissions'!$J$7:$J$34,"rural",'abrasion emissions'!$K$7:$K$34,"Tyre",'abrasion emissions'!$L$7:$L$34,"b")*POWER(('vehicles specifications'!$Q142/1000),(1/SUMIFS('abrasion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specifications'!$P142/1000),(1/SUMIFS('abrasion emissions'!$M$7:$M$34,'abrasion emissions'!$I$7:$I$34,"PM 10",'abrasion emissions'!$J$7:$J$34,"rural",'abrasion emissions'!$K$7:$K$34,"Tyre",'abrasion emissions'!$L$7:$L$34,"c")))))/1000000</f>
        <v>5.3945543996167182E-6</v>
      </c>
      <c r="CP142" s="7">
        <f>((SUMIFS('abrasion emissions'!$M$7:$M$34,'abrasion emissions'!$I$7:$I$34,"PM 2.5",'abrasion emissions'!$J$7:$J$34,"motorway",'abrasion emissions'!$K$7:$K$34,"Tyre",'abrasion emissions'!$L$7:$L$34,"b")*POWER(('vehicles specifications'!$Q142/1000),(1/SUMIFS('abrasion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specifications'!$P142/1000),(1/SUMIFS('abrasion emissions'!$M$7:$M$34,'abrasion emissions'!$I$7:$I$34,"PM 10",'abrasion emissions'!$J$7:$J$34,"motorway",'abrasion emissions'!$K$7:$K$34,"Tyre",'abrasion emissions'!$L$7:$L$34,"c")))))/1000000</f>
        <v>4.6065651186316748E-6</v>
      </c>
      <c r="CQ142" s="7">
        <f>((SUMIFS('abrasion emissions'!$M$7:$M$34,'abrasion emissions'!$I$7:$I$34,"PM 2.5",'abrasion emissions'!$J$7:$J$34,"urban",'abrasion emissions'!$K$7:$K$34,"Brake",'abrasion emissions'!$L$7:$L$34,"b")*POWER(('vehicles specifications'!$Q142/1000),(1/SUMIFS('abrasion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specifications'!$P142/1000),(1/SUMIFS('abrasion emissions'!$M$7:$M$34,'abrasion emissions'!$I$7:$I$34,"PM 10",'abrasion emissions'!$J$7:$J$34,"urban",'abrasion emissions'!$K$7:$K$34,"Brake",'abrasion emissions'!$L$7:$L$34,"c")))))/1000000</f>
        <v>6.7070342170745968E-6</v>
      </c>
      <c r="CR142" s="7">
        <f>((SUMIFS('abrasion emissions'!$M$7:$M$34,'abrasion emissions'!$I$7:$I$34,"PM 2.5",'abrasion emissions'!$J$7:$J$34,"rural",'abrasion emissions'!$K$7:$K$34,"Brake",'abrasion emissions'!$L$7:$L$34,"b")*POWER(('vehicles specifications'!$Q142/1000),(1/SUMIFS('abrasion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specifications'!$P142/1000),(1/SUMIFS('abrasion emissions'!$M$7:$M$34,'abrasion emissions'!$I$7:$I$34,"PM 10",'abrasion emissions'!$J$7:$J$34,"rural",'abrasion emissions'!$K$7:$K$34,"Brake",'abrasion emissions'!$L$7:$L$34,"c")))))/1000000</f>
        <v>2.2330844517627556E-6</v>
      </c>
      <c r="CS142" s="7">
        <f>((SUMIFS('abrasion emissions'!$M$7:$M$34,'abrasion emissions'!$I$7:$I$34,"PM 2.5",'abrasion emissions'!$J$7:$J$34,"motorway",'abrasion emissions'!$K$7:$K$34,"Brake",'abrasion emissions'!$L$7:$L$34,"b")*POWER(('vehicles specifications'!$Q142/1000),(1/SUMIFS('abrasion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specifications'!$P142/1000),(1/SUMIFS('abrasion emissions'!$M$7:$M$34,'abrasion emissions'!$I$7:$I$34,"PM 10",'abrasion emissions'!$J$7:$J$34,"motorway",'abrasion emissions'!$K$7:$K$34,"Brake",'abrasion emissions'!$L$7:$L$34,"c")))))/1000000</f>
        <v>4.2371826327928618E-7</v>
      </c>
      <c r="CT142" s="7">
        <f>((SUMIFS('abrasion emissions'!$M$7:$M$38,'abrasion emissions'!$I$7:$I$38,"PM 2.5",'abrasion emissions'!$K$7:$K$38,"Re-susp.",'abrasion emissions'!$L$7:$L$38,"b")*POWER(('vehicles specifications'!$Q142/1000),(1/SUMIFS('abrasion emissions'!$M$7:$M$38,'abrasion emissions'!$I$7:$I$38,"PM 2.5",'abrasion emissions'!$K$7:$K$38,"Re-susp.",'abrasion emissions'!$L$7:$L$38,"c"))))+
(SUMIFS('abrasion emissions'!$M$7:$M$38,'abrasion emissions'!$I$7:$I$38,"PM 10",'abrasion emissions'!$K$7:$K$38,"Re-susp.",'abrasion emissions'!$L$7:$L$38,"b")*POWER(('vehicles specifications'!$Q142/1000),(1/SUMIFS('abrasion emissions'!$M$7:$M$38,'abrasion emissions'!$I$7:$I$38,"PM 10",'abrasion emissions'!$K$7:$K$38,"Re-susp.",'abrasion emissions'!$L$7:$L$38,"c")))))/1000000</f>
        <v>4.4421318107806732E-6</v>
      </c>
      <c r="CU142" s="7">
        <f>((SUMIFS('abrasion emissions'!$M$7:$M$38,'abrasion emissions'!$I$7:$I$38,"PM 2.5",'abrasion emissions'!$K$7:$K$38,"Road",'abrasion emissions'!$L$7:$L$38,"b")*POWER(('vehicles specifications'!$Q142/1000),(1/SUMIFS('abrasion emissions'!$M$7:$M$38,'abrasion emissions'!$I$7:$I$38,"PM 2.5",'abrasion emissions'!$K$7:$K$38,"Road",'abrasion emissions'!$L$7:$L$38,"c"))))+
(SUMIFS('abrasion emissions'!$M$7:$M$38,'abrasion emissions'!$I$7:$I$38,"PM 10",'abrasion emissions'!$K$7:$K$38,"Road",'abrasion emissions'!$L$7:$L$38,"b")*POWER(('vehicles specifications'!$Q142/1000),(1/SUMIFS('abrasion emissions'!$M$7:$M$38,'abrasion emissions'!$I$7:$I$38,"PM 10",'abrasion emissions'!$K$7:$K$38,"Road",'abrasion emissions'!$L$7:$L$38,"c")))))/1000000+CT142</f>
        <v>8.3560800088568897E-6</v>
      </c>
      <c r="CV142" s="7">
        <f t="shared" si="131"/>
        <v>5.586214921891139E-6</v>
      </c>
      <c r="CW142" s="7">
        <f t="shared" si="132"/>
        <v>3.0900661875984907E-6</v>
      </c>
    </row>
    <row r="143" spans="1:101" x14ac:dyDescent="0.2">
      <c r="A143" t="str">
        <f t="shared" si="117"/>
        <v>Motorbike, electric, 11-35kW - 2020 - LFP - CH</v>
      </c>
      <c r="B143" t="s">
        <v>269</v>
      </c>
      <c r="D143" s="18">
        <v>2020</v>
      </c>
      <c r="E143" t="s">
        <v>37</v>
      </c>
      <c r="F143" t="s">
        <v>138</v>
      </c>
      <c r="G143" t="s">
        <v>39</v>
      </c>
      <c r="H143" t="s">
        <v>32</v>
      </c>
      <c r="I143" t="s">
        <v>44</v>
      </c>
      <c r="J143">
        <v>38500</v>
      </c>
      <c r="K143">
        <v>2405</v>
      </c>
      <c r="L143" s="2">
        <f t="shared" si="118"/>
        <v>16.008316008316008</v>
      </c>
      <c r="M143">
        <v>1.1000000000000001</v>
      </c>
      <c r="N143">
        <v>75</v>
      </c>
      <c r="O143">
        <v>6</v>
      </c>
      <c r="P143" s="2">
        <f t="shared" si="119"/>
        <v>177.8</v>
      </c>
      <c r="Q143" s="2">
        <f t="shared" si="120"/>
        <v>266.3</v>
      </c>
      <c r="R143">
        <v>14</v>
      </c>
      <c r="S143" s="2">
        <v>81</v>
      </c>
      <c r="T143" s="1">
        <v>0</v>
      </c>
      <c r="U143" s="2">
        <f t="shared" si="105"/>
        <v>81</v>
      </c>
      <c r="V143" s="2">
        <v>13</v>
      </c>
      <c r="W143" s="2">
        <v>19</v>
      </c>
      <c r="X143" s="3">
        <v>8.1</v>
      </c>
      <c r="Y143" s="1">
        <v>0.8</v>
      </c>
      <c r="Z143" s="3">
        <f t="shared" si="121"/>
        <v>6.48</v>
      </c>
      <c r="AA143" s="3">
        <f>IF(I143&lt;&gt;"",X143/INDEX('energy battery'!$B$3:$D$6,MATCH('vehicles specifications'!$D143,'energy battery'!$A$3:$A$6,0),MATCH('vehicles specifications'!$I143,'energy battery'!$B$2:$D$2,0)),"")</f>
        <v>54</v>
      </c>
      <c r="AB143" s="3">
        <f>IF(AA143&lt;&gt;"",0.2*AA143,"")</f>
        <v>10.8</v>
      </c>
      <c r="AC143" s="3">
        <f t="shared" si="122"/>
        <v>64.8</v>
      </c>
      <c r="AD143" s="3">
        <v>1</v>
      </c>
      <c r="AE143" s="3">
        <v>0</v>
      </c>
      <c r="AF143">
        <f>AE143*'fuels and tailpipe emissions'!$B$3</f>
        <v>0</v>
      </c>
      <c r="AG143">
        <v>0</v>
      </c>
      <c r="AH143" s="3">
        <v>0</v>
      </c>
      <c r="AI143" s="3">
        <v>5</v>
      </c>
      <c r="AJ143" s="3">
        <v>1</v>
      </c>
      <c r="AK143">
        <f t="shared" si="129"/>
        <v>1.54</v>
      </c>
      <c r="AL143">
        <f t="shared" si="123"/>
        <v>1.4300310000000001E-4</v>
      </c>
      <c r="AM143">
        <v>1.2899999999999999E-3</v>
      </c>
      <c r="AN143" s="2">
        <f t="shared" si="124"/>
        <v>81</v>
      </c>
      <c r="AO143" s="2">
        <f t="shared" si="125"/>
        <v>32</v>
      </c>
      <c r="AP143" s="2">
        <f t="shared" si="126"/>
        <v>64.8</v>
      </c>
      <c r="AQ143" s="6" t="s">
        <v>85</v>
      </c>
      <c r="AR143" s="20"/>
      <c r="AS143" s="6">
        <v>0.24635579913730349</v>
      </c>
      <c r="AT143" s="2">
        <f t="shared" si="130"/>
        <v>94.692311208791224</v>
      </c>
      <c r="AU143" s="5">
        <v>0</v>
      </c>
      <c r="AV143" s="5">
        <v>0</v>
      </c>
      <c r="AW143" s="7">
        <v>0</v>
      </c>
      <c r="AX143" s="7">
        <v>0</v>
      </c>
      <c r="AY143" s="7">
        <v>0</v>
      </c>
      <c r="AZ143" s="7">
        <v>0</v>
      </c>
      <c r="BA143" s="7">
        <v>0</v>
      </c>
      <c r="BB143" s="7">
        <v>0</v>
      </c>
      <c r="BC143" s="7">
        <v>0</v>
      </c>
      <c r="BD143" s="7">
        <v>0</v>
      </c>
      <c r="BE143" s="7">
        <v>0</v>
      </c>
      <c r="BF143" s="7">
        <v>0</v>
      </c>
      <c r="BG143" s="7">
        <v>0</v>
      </c>
      <c r="BH143" s="7">
        <v>0</v>
      </c>
      <c r="BI143" s="7">
        <v>0</v>
      </c>
      <c r="BJ143" s="7">
        <v>0</v>
      </c>
      <c r="BK143" s="7">
        <v>0</v>
      </c>
      <c r="BL143" s="7">
        <v>0</v>
      </c>
      <c r="BM143" s="7">
        <v>0</v>
      </c>
      <c r="BN143" s="7">
        <v>0</v>
      </c>
      <c r="BO143" s="7">
        <v>0</v>
      </c>
      <c r="BP143" s="7">
        <v>0</v>
      </c>
      <c r="BQ143" s="7">
        <v>0</v>
      </c>
      <c r="BR143" s="7">
        <v>0</v>
      </c>
      <c r="BS143" s="7">
        <v>0</v>
      </c>
      <c r="BT143" s="7">
        <v>0</v>
      </c>
      <c r="BU143" s="7">
        <v>0</v>
      </c>
      <c r="BV143" s="7">
        <v>0</v>
      </c>
      <c r="BW143" s="7">
        <v>0</v>
      </c>
      <c r="BX143" s="7">
        <v>0</v>
      </c>
      <c r="BY143" s="7">
        <v>0</v>
      </c>
      <c r="BZ143" s="7">
        <v>0</v>
      </c>
      <c r="CA143" s="7">
        <v>0</v>
      </c>
      <c r="CB143" s="7">
        <v>0</v>
      </c>
      <c r="CC143" s="7">
        <v>0</v>
      </c>
      <c r="CD143" s="7">
        <v>0</v>
      </c>
      <c r="CE143" s="7">
        <v>0</v>
      </c>
      <c r="CF143" s="7">
        <v>0</v>
      </c>
      <c r="CG143" s="7">
        <v>0</v>
      </c>
      <c r="CH143" s="7">
        <v>0</v>
      </c>
      <c r="CI143" s="7">
        <v>0</v>
      </c>
      <c r="CJ143" s="7">
        <v>0</v>
      </c>
      <c r="CK143" s="38">
        <f>VLOOKUP($B143,'abrasion emissions'!$O$7:$R$36,2,FALSE)</f>
        <v>0.33</v>
      </c>
      <c r="CL143" s="38">
        <f>VLOOKUP($B143,'abrasion emissions'!$O$7:$R$36,3,FALSE)</f>
        <v>0.33</v>
      </c>
      <c r="CM143" s="38">
        <f>VLOOKUP($B143,'abrasion emissions'!$O$7:$R$36,4,FALSE)</f>
        <v>0.33</v>
      </c>
      <c r="CN143" s="7">
        <f>((SUMIFS('abrasion emissions'!$M$7:$M$34,'abrasion emissions'!$I$7:$I$34,"PM 2.5",'abrasion emissions'!$J$7:$J$34,"urban",'abrasion emissions'!$K$7:$K$34,"Tyre",'abrasion emissions'!$L$7:$L$34,"b")*POWER(('vehicles specifications'!$Q143/1000),(1/SUMIFS('abrasion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specifications'!$P143/1000),(1/SUMIFS('abrasion emissions'!$M$7:$M$34,'abrasion emissions'!$I$7:$I$34,"PM 10",'abrasion emissions'!$J$7:$J$34,"urban",'abrasion emissions'!$K$7:$K$34,"Tyre",'abrasion emissions'!$L$7:$L$34,"c")))))/1000000</f>
        <v>7.3501431023282778E-6</v>
      </c>
      <c r="CO143" s="7">
        <f>((SUMIFS('abrasion emissions'!$M$7:$M$34,'abrasion emissions'!$I$7:$I$34,"PM 2.5",'abrasion emissions'!$J$7:$J$34,"rural",'abrasion emissions'!$K$7:$K$34,"Tyre",'abrasion emissions'!$L$7:$L$34,"b")*POWER(('vehicles specifications'!$Q143/1000),(1/SUMIFS('abrasion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specifications'!$P143/1000),(1/SUMIFS('abrasion emissions'!$M$7:$M$34,'abrasion emissions'!$I$7:$I$34,"PM 10",'abrasion emissions'!$J$7:$J$34,"rural",'abrasion emissions'!$K$7:$K$34,"Tyre",'abrasion emissions'!$L$7:$L$34,"c")))))/1000000</f>
        <v>5.7240353501830687E-6</v>
      </c>
      <c r="CP143" s="7">
        <f>((SUMIFS('abrasion emissions'!$M$7:$M$34,'abrasion emissions'!$I$7:$I$34,"PM 2.5",'abrasion emissions'!$J$7:$J$34,"motorway",'abrasion emissions'!$K$7:$K$34,"Tyre",'abrasion emissions'!$L$7:$L$34,"b")*POWER(('vehicles specifications'!$Q143/1000),(1/SUMIFS('abrasion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specifications'!$P143/1000),(1/SUMIFS('abrasion emissions'!$M$7:$M$34,'abrasion emissions'!$I$7:$I$34,"PM 10",'abrasion emissions'!$J$7:$J$34,"motorway",'abrasion emissions'!$K$7:$K$34,"Tyre",'abrasion emissions'!$L$7:$L$34,"c")))))/1000000</f>
        <v>4.8873846597014122E-6</v>
      </c>
      <c r="CQ143" s="7">
        <f>((SUMIFS('abrasion emissions'!$M$7:$M$34,'abrasion emissions'!$I$7:$I$34,"PM 2.5",'abrasion emissions'!$J$7:$J$34,"urban",'abrasion emissions'!$K$7:$K$34,"Brake",'abrasion emissions'!$L$7:$L$34,"b")*POWER(('vehicles specifications'!$Q143/1000),(1/SUMIFS('abrasion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specifications'!$P143/1000),(1/SUMIFS('abrasion emissions'!$M$7:$M$34,'abrasion emissions'!$I$7:$I$34,"PM 10",'abrasion emissions'!$J$7:$J$34,"urban",'abrasion emissions'!$K$7:$K$34,"Brake",'abrasion emissions'!$L$7:$L$34,"c")))))/1000000</f>
        <v>7.1745167561270049E-6</v>
      </c>
      <c r="CR143" s="7">
        <f>((SUMIFS('abrasion emissions'!$M$7:$M$34,'abrasion emissions'!$I$7:$I$34,"PM 2.5",'abrasion emissions'!$J$7:$J$34,"rural",'abrasion emissions'!$K$7:$K$34,"Brake",'abrasion emissions'!$L$7:$L$34,"b")*POWER(('vehicles specifications'!$Q143/1000),(1/SUMIFS('abrasion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specifications'!$P143/1000),(1/SUMIFS('abrasion emissions'!$M$7:$M$34,'abrasion emissions'!$I$7:$I$34,"PM 10",'abrasion emissions'!$J$7:$J$34,"rural",'abrasion emissions'!$K$7:$K$34,"Brake",'abrasion emissions'!$L$7:$L$34,"c")))))/1000000</f>
        <v>2.4317804867882479E-6</v>
      </c>
      <c r="CS143" s="7">
        <f>((SUMIFS('abrasion emissions'!$M$7:$M$34,'abrasion emissions'!$I$7:$I$34,"PM 2.5",'abrasion emissions'!$J$7:$J$34,"motorway",'abrasion emissions'!$K$7:$K$34,"Brake",'abrasion emissions'!$L$7:$L$34,"b")*POWER(('vehicles specifications'!$Q143/1000),(1/SUMIFS('abrasion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specifications'!$P143/1000),(1/SUMIFS('abrasion emissions'!$M$7:$M$34,'abrasion emissions'!$I$7:$I$34,"PM 10",'abrasion emissions'!$J$7:$J$34,"motorway",'abrasion emissions'!$K$7:$K$34,"Brake",'abrasion emissions'!$L$7:$L$34,"c")))))/1000000</f>
        <v>4.6733737032830191E-7</v>
      </c>
      <c r="CT143" s="7">
        <f>((SUMIFS('abrasion emissions'!$M$7:$M$38,'abrasion emissions'!$I$7:$I$38,"PM 2.5",'abrasion emissions'!$K$7:$K$38,"Re-susp.",'abrasion emissions'!$L$7:$L$38,"b")*POWER(('vehicles specifications'!$Q143/1000),(1/SUMIFS('abrasion emissions'!$M$7:$M$38,'abrasion emissions'!$I$7:$I$38,"PM 2.5",'abrasion emissions'!$K$7:$K$38,"Re-susp.",'abrasion emissions'!$L$7:$L$38,"c"))))+
(SUMIFS('abrasion emissions'!$M$7:$M$38,'abrasion emissions'!$I$7:$I$38,"PM 10",'abrasion emissions'!$K$7:$K$38,"Re-susp.",'abrasion emissions'!$L$7:$L$38,"b")*POWER(('vehicles specifications'!$Q143/1000),(1/SUMIFS('abrasion emissions'!$M$7:$M$38,'abrasion emissions'!$I$7:$I$38,"PM 10",'abrasion emissions'!$K$7:$K$38,"Re-susp.",'abrasion emissions'!$L$7:$L$38,"c")))))/1000000</f>
        <v>4.9255416905306754E-6</v>
      </c>
      <c r="CU143" s="7">
        <f>((SUMIFS('abrasion emissions'!$M$7:$M$38,'abrasion emissions'!$I$7:$I$38,"PM 2.5",'abrasion emissions'!$K$7:$K$38,"Road",'abrasion emissions'!$L$7:$L$38,"b")*POWER(('vehicles specifications'!$Q143/1000),(1/SUMIFS('abrasion emissions'!$M$7:$M$38,'abrasion emissions'!$I$7:$I$38,"PM 2.5",'abrasion emissions'!$K$7:$K$38,"Road",'abrasion emissions'!$L$7:$L$38,"c"))))+
(SUMIFS('abrasion emissions'!$M$7:$M$38,'abrasion emissions'!$I$7:$I$38,"PM 10",'abrasion emissions'!$K$7:$K$38,"Road",'abrasion emissions'!$L$7:$L$38,"b")*POWER(('vehicles specifications'!$Q143/1000),(1/SUMIFS('abrasion emissions'!$M$7:$M$38,'abrasion emissions'!$I$7:$I$38,"PM 10",'abrasion emissions'!$K$7:$K$38,"Road",'abrasion emissions'!$L$7:$L$38,"c")))))/1000000+CT143</f>
        <v>9.1475033271751732E-6</v>
      </c>
      <c r="CV143" s="7">
        <f t="shared" si="131"/>
        <v>5.927315827030211E-6</v>
      </c>
      <c r="CW143" s="7">
        <f t="shared" si="132"/>
        <v>3.3242994223703735E-6</v>
      </c>
    </row>
    <row r="144" spans="1:101" x14ac:dyDescent="0.2">
      <c r="A144" t="str">
        <f t="shared" si="117"/>
        <v>Motorbike, electric, 11-35kW - 2030 - LFP - CH</v>
      </c>
      <c r="B144" t="s">
        <v>269</v>
      </c>
      <c r="D144" s="18">
        <v>2030</v>
      </c>
      <c r="E144" t="s">
        <v>37</v>
      </c>
      <c r="F144" t="s">
        <v>138</v>
      </c>
      <c r="G144" t="s">
        <v>39</v>
      </c>
      <c r="H144" t="s">
        <v>32</v>
      </c>
      <c r="I144" t="s">
        <v>44</v>
      </c>
      <c r="J144">
        <v>38500</v>
      </c>
      <c r="K144">
        <v>2405</v>
      </c>
      <c r="L144" s="2">
        <f t="shared" si="118"/>
        <v>16.008316008316008</v>
      </c>
      <c r="M144">
        <v>1.1000000000000001</v>
      </c>
      <c r="N144">
        <v>75</v>
      </c>
      <c r="O144">
        <v>6</v>
      </c>
      <c r="P144" s="2">
        <f t="shared" si="119"/>
        <v>195.90333333333334</v>
      </c>
      <c r="Q144" s="2">
        <f t="shared" si="120"/>
        <v>284.40333333333331</v>
      </c>
      <c r="R144">
        <v>14</v>
      </c>
      <c r="S144" s="2">
        <v>81</v>
      </c>
      <c r="T144" s="1">
        <v>0.03</v>
      </c>
      <c r="U144" s="2">
        <f t="shared" si="105"/>
        <v>78.569999999999993</v>
      </c>
      <c r="V144" s="2">
        <v>13</v>
      </c>
      <c r="W144" s="2">
        <v>19</v>
      </c>
      <c r="X144" s="3">
        <v>12.8</v>
      </c>
      <c r="Y144" s="1">
        <v>0.8</v>
      </c>
      <c r="Z144" s="3">
        <f t="shared" si="121"/>
        <v>10.240000000000002</v>
      </c>
      <c r="AA144" s="3">
        <f>IF(I144&lt;&gt;"",X144/INDEX('energy battery'!$B$3:$D$6,MATCH('vehicles specifications'!$D144,'energy battery'!$A$3:$A$6,0),MATCH('vehicles specifications'!$I144,'energy battery'!$B$2:$D$2,0)),"")</f>
        <v>71.111111111111114</v>
      </c>
      <c r="AB144" s="3">
        <f t="shared" ref="AB144:AB146" si="137">IF(AA144&lt;&gt;"",0.2*AA144,"")</f>
        <v>14.222222222222223</v>
      </c>
      <c r="AC144" s="3">
        <f t="shared" si="122"/>
        <v>85.333333333333343</v>
      </c>
      <c r="AD144" s="3">
        <v>0.5</v>
      </c>
      <c r="AE144" s="3">
        <v>0</v>
      </c>
      <c r="AF144">
        <f>AE144*'fuels and tailpipe emissions'!$B$3</f>
        <v>0</v>
      </c>
      <c r="AG144">
        <v>0</v>
      </c>
      <c r="AH144" s="3">
        <v>0</v>
      </c>
      <c r="AI144" s="3">
        <v>5</v>
      </c>
      <c r="AJ144" s="3">
        <v>1</v>
      </c>
      <c r="AK144">
        <f t="shared" si="129"/>
        <v>1.54</v>
      </c>
      <c r="AL144">
        <f t="shared" si="123"/>
        <v>1.5272459E-4</v>
      </c>
      <c r="AM144">
        <v>1.2899999999999999E-3</v>
      </c>
      <c r="AN144" s="2">
        <f t="shared" si="124"/>
        <v>78.569999999999993</v>
      </c>
      <c r="AO144" s="2">
        <f t="shared" si="125"/>
        <v>32</v>
      </c>
      <c r="AP144" s="2">
        <f t="shared" si="126"/>
        <v>85.333333333333343</v>
      </c>
      <c r="AQ144" s="6" t="s">
        <v>85</v>
      </c>
      <c r="AR144" s="20"/>
      <c r="AS144" s="6">
        <v>0.24635579913730349</v>
      </c>
      <c r="AT144" s="2">
        <f t="shared" si="130"/>
        <v>149.63723252747255</v>
      </c>
      <c r="AU144" s="5">
        <v>0</v>
      </c>
      <c r="AV144" s="5">
        <v>0</v>
      </c>
      <c r="AW144" s="7">
        <v>0</v>
      </c>
      <c r="AX144" s="7">
        <v>0</v>
      </c>
      <c r="AY144" s="7">
        <v>0</v>
      </c>
      <c r="AZ144" s="7">
        <v>0</v>
      </c>
      <c r="BA144" s="7">
        <v>0</v>
      </c>
      <c r="BB144" s="7">
        <v>0</v>
      </c>
      <c r="BC144" s="7">
        <v>0</v>
      </c>
      <c r="BD144" s="7">
        <v>0</v>
      </c>
      <c r="BE144" s="7">
        <v>0</v>
      </c>
      <c r="BF144" s="7">
        <v>0</v>
      </c>
      <c r="BG144" s="7">
        <v>0</v>
      </c>
      <c r="BH144" s="7">
        <v>0</v>
      </c>
      <c r="BI144" s="7">
        <v>0</v>
      </c>
      <c r="BJ144" s="7">
        <v>0</v>
      </c>
      <c r="BK144" s="7">
        <v>0</v>
      </c>
      <c r="BL144" s="7">
        <v>0</v>
      </c>
      <c r="BM144" s="7">
        <v>0</v>
      </c>
      <c r="BN144" s="7">
        <v>0</v>
      </c>
      <c r="BO144" s="7">
        <v>0</v>
      </c>
      <c r="BP144" s="7">
        <v>0</v>
      </c>
      <c r="BQ144" s="7">
        <v>0</v>
      </c>
      <c r="BR144" s="7">
        <v>0</v>
      </c>
      <c r="BS144" s="7">
        <v>0</v>
      </c>
      <c r="BT144" s="7">
        <v>0</v>
      </c>
      <c r="BU144" s="7">
        <v>0</v>
      </c>
      <c r="BV144" s="7">
        <v>0</v>
      </c>
      <c r="BW144" s="7">
        <v>0</v>
      </c>
      <c r="BX144" s="7">
        <v>0</v>
      </c>
      <c r="BY144" s="7">
        <v>0</v>
      </c>
      <c r="BZ144" s="7">
        <v>0</v>
      </c>
      <c r="CA144" s="7">
        <v>0</v>
      </c>
      <c r="CB144" s="7">
        <v>0</v>
      </c>
      <c r="CC144" s="7">
        <v>0</v>
      </c>
      <c r="CD144" s="7">
        <v>0</v>
      </c>
      <c r="CE144" s="7">
        <v>0</v>
      </c>
      <c r="CF144" s="7">
        <v>0</v>
      </c>
      <c r="CG144" s="7">
        <v>0</v>
      </c>
      <c r="CH144" s="7">
        <v>0</v>
      </c>
      <c r="CI144" s="7">
        <v>0</v>
      </c>
      <c r="CJ144" s="7">
        <v>0</v>
      </c>
      <c r="CK144" s="38">
        <f>VLOOKUP($B144,'abrasion emissions'!$O$7:$R$36,2,FALSE)</f>
        <v>0.33</v>
      </c>
      <c r="CL144" s="38">
        <f>VLOOKUP($B144,'abrasion emissions'!$O$7:$R$36,3,FALSE)</f>
        <v>0.33</v>
      </c>
      <c r="CM144" s="38">
        <f>VLOOKUP($B144,'abrasion emissions'!$O$7:$R$36,4,FALSE)</f>
        <v>0.33</v>
      </c>
      <c r="CN144" s="7">
        <f>((SUMIFS('abrasion emissions'!$M$7:$M$34,'abrasion emissions'!$I$7:$I$34,"PM 2.5",'abrasion emissions'!$J$7:$J$34,"urban",'abrasion emissions'!$K$7:$K$34,"Tyre",'abrasion emissions'!$L$7:$L$34,"b")*POWER(('vehicles specifications'!$Q144/1000),(1/SUMIFS('abrasion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specifications'!$P144/1000),(1/SUMIFS('abrasion emissions'!$M$7:$M$34,'abrasion emissions'!$I$7:$I$34,"PM 10",'abrasion emissions'!$J$7:$J$34,"urban",'abrasion emissions'!$K$7:$K$34,"Tyre",'abrasion emissions'!$L$7:$L$34,"c")))))/1000000</f>
        <v>7.6018177428415086E-6</v>
      </c>
      <c r="CO144" s="7">
        <f>((SUMIFS('abrasion emissions'!$M$7:$M$34,'abrasion emissions'!$I$7:$I$34,"PM 2.5",'abrasion emissions'!$J$7:$J$34,"rural",'abrasion emissions'!$K$7:$K$34,"Tyre",'abrasion emissions'!$L$7:$L$34,"b")*POWER(('vehicles specifications'!$Q144/1000),(1/SUMIFS('abrasion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specifications'!$P144/1000),(1/SUMIFS('abrasion emissions'!$M$7:$M$34,'abrasion emissions'!$I$7:$I$34,"PM 10",'abrasion emissions'!$J$7:$J$34,"rural",'abrasion emissions'!$K$7:$K$34,"Tyre",'abrasion emissions'!$L$7:$L$34,"c")))))/1000000</f>
        <v>5.9199191420654579E-6</v>
      </c>
      <c r="CP144" s="7">
        <f>((SUMIFS('abrasion emissions'!$M$7:$M$34,'abrasion emissions'!$I$7:$I$34,"PM 2.5",'abrasion emissions'!$J$7:$J$34,"motorway",'abrasion emissions'!$K$7:$K$34,"Tyre",'abrasion emissions'!$L$7:$L$34,"b")*POWER(('vehicles specifications'!$Q144/1000),(1/SUMIFS('abrasion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specifications'!$P144/1000),(1/SUMIFS('abrasion emissions'!$M$7:$M$34,'abrasion emissions'!$I$7:$I$34,"PM 10",'abrasion emissions'!$J$7:$J$34,"motorway",'abrasion emissions'!$K$7:$K$34,"Tyre",'abrasion emissions'!$L$7:$L$34,"c")))))/1000000</f>
        <v>5.0543569804844999E-6</v>
      </c>
      <c r="CQ144" s="7">
        <f>((SUMIFS('abrasion emissions'!$M$7:$M$34,'abrasion emissions'!$I$7:$I$34,"PM 2.5",'abrasion emissions'!$J$7:$J$34,"urban",'abrasion emissions'!$K$7:$K$34,"Brake",'abrasion emissions'!$L$7:$L$34,"b")*POWER(('vehicles specifications'!$Q144/1000),(1/SUMIFS('abrasion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specifications'!$P144/1000),(1/SUMIFS('abrasion emissions'!$M$7:$M$34,'abrasion emissions'!$I$7:$I$34,"PM 10",'abrasion emissions'!$J$7:$J$34,"urban",'abrasion emissions'!$K$7:$K$34,"Brake",'abrasion emissions'!$L$7:$L$34,"c")))))/1000000</f>
        <v>7.4562146715026262E-6</v>
      </c>
      <c r="CR144" s="7">
        <f>((SUMIFS('abrasion emissions'!$M$7:$M$34,'abrasion emissions'!$I$7:$I$34,"PM 2.5",'abrasion emissions'!$J$7:$J$34,"rural",'abrasion emissions'!$K$7:$K$34,"Brake",'abrasion emissions'!$L$7:$L$34,"b")*POWER(('vehicles specifications'!$Q144/1000),(1/SUMIFS('abrasion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specifications'!$P144/1000),(1/SUMIFS('abrasion emissions'!$M$7:$M$34,'abrasion emissions'!$I$7:$I$34,"PM 10",'abrasion emissions'!$J$7:$J$34,"rural",'abrasion emissions'!$K$7:$K$34,"Brake",'abrasion emissions'!$L$7:$L$34,"c")))))/1000000</f>
        <v>2.5532732361558597E-6</v>
      </c>
      <c r="CS144" s="7">
        <f>((SUMIFS('abrasion emissions'!$M$7:$M$34,'abrasion emissions'!$I$7:$I$34,"PM 2.5",'abrasion emissions'!$J$7:$J$34,"motorway",'abrasion emissions'!$K$7:$K$34,"Brake",'abrasion emissions'!$L$7:$L$34,"b")*POWER(('vehicles specifications'!$Q144/1000),(1/SUMIFS('abrasion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specifications'!$P144/1000),(1/SUMIFS('abrasion emissions'!$M$7:$M$34,'abrasion emissions'!$I$7:$I$34,"PM 10",'abrasion emissions'!$J$7:$J$34,"motorway",'abrasion emissions'!$K$7:$K$34,"Brake",'abrasion emissions'!$L$7:$L$34,"c")))))/1000000</f>
        <v>4.9429564116312747E-7</v>
      </c>
      <c r="CT144" s="7">
        <f>((SUMIFS('abrasion emissions'!$M$7:$M$38,'abrasion emissions'!$I$7:$I$38,"PM 2.5",'abrasion emissions'!$K$7:$K$38,"Re-susp.",'abrasion emissions'!$L$7:$L$38,"b")*POWER(('vehicles specifications'!$Q144/1000),(1/SUMIFS('abrasion emissions'!$M$7:$M$38,'abrasion emissions'!$I$7:$I$38,"PM 2.5",'abrasion emissions'!$K$7:$K$38,"Re-susp.",'abrasion emissions'!$L$7:$L$38,"c"))))+
(SUMIFS('abrasion emissions'!$M$7:$M$38,'abrasion emissions'!$I$7:$I$38,"PM 10",'abrasion emissions'!$K$7:$K$38,"Re-susp.",'abrasion emissions'!$L$7:$L$38,"b")*POWER(('vehicles specifications'!$Q144/1000),(1/SUMIFS('abrasion emissions'!$M$7:$M$38,'abrasion emissions'!$I$7:$I$38,"PM 10",'abrasion emissions'!$K$7:$K$38,"Re-susp.",'abrasion emissions'!$L$7:$L$38,"c")))))/1000000</f>
        <v>5.2290263687069136E-6</v>
      </c>
      <c r="CU144" s="7">
        <f>((SUMIFS('abrasion emissions'!$M$7:$M$38,'abrasion emissions'!$I$7:$I$38,"PM 2.5",'abrasion emissions'!$K$7:$K$38,"Road",'abrasion emissions'!$L$7:$L$38,"b")*POWER(('vehicles specifications'!$Q144/1000),(1/SUMIFS('abrasion emissions'!$M$7:$M$38,'abrasion emissions'!$I$7:$I$38,"PM 2.5",'abrasion emissions'!$K$7:$K$38,"Road",'abrasion emissions'!$L$7:$L$38,"c"))))+
(SUMIFS('abrasion emissions'!$M$7:$M$38,'abrasion emissions'!$I$7:$I$38,"PM 10",'abrasion emissions'!$K$7:$K$38,"Road",'abrasion emissions'!$L$7:$L$38,"b")*POWER(('vehicles specifications'!$Q144/1000),(1/SUMIFS('abrasion emissions'!$M$7:$M$38,'abrasion emissions'!$I$7:$I$38,"PM 10",'abrasion emissions'!$K$7:$K$38,"Road",'abrasion emissions'!$L$7:$L$38,"c")))))/1000000+CT144</f>
        <v>9.6402251275831752E-6</v>
      </c>
      <c r="CV144" s="7">
        <f t="shared" si="131"/>
        <v>6.1301109755791838E-6</v>
      </c>
      <c r="CW144" s="7">
        <f t="shared" si="132"/>
        <v>3.4662485711111325E-6</v>
      </c>
    </row>
    <row r="145" spans="1:101" x14ac:dyDescent="0.2">
      <c r="A145" t="str">
        <f t="shared" si="117"/>
        <v>Motorbike, electric, 11-35kW - 2040 - LFP - CH</v>
      </c>
      <c r="B145" t="s">
        <v>269</v>
      </c>
      <c r="D145" s="18">
        <v>2040</v>
      </c>
      <c r="E145" t="s">
        <v>37</v>
      </c>
      <c r="F145" t="s">
        <v>138</v>
      </c>
      <c r="G145" t="s">
        <v>39</v>
      </c>
      <c r="H145" t="s">
        <v>32</v>
      </c>
      <c r="I145" t="s">
        <v>44</v>
      </c>
      <c r="J145">
        <v>38500</v>
      </c>
      <c r="K145">
        <v>2405</v>
      </c>
      <c r="L145" s="2">
        <f t="shared" si="118"/>
        <v>16.008316008316008</v>
      </c>
      <c r="M145">
        <v>1.1000000000000001</v>
      </c>
      <c r="N145">
        <v>75</v>
      </c>
      <c r="O145">
        <v>6</v>
      </c>
      <c r="P145" s="2">
        <f t="shared" si="119"/>
        <v>227.61666666666667</v>
      </c>
      <c r="Q145" s="2">
        <f t="shared" si="120"/>
        <v>316.11666666666667</v>
      </c>
      <c r="R145">
        <v>14</v>
      </c>
      <c r="S145" s="2">
        <v>81</v>
      </c>
      <c r="T145" s="1">
        <v>0.05</v>
      </c>
      <c r="U145" s="2">
        <f t="shared" si="105"/>
        <v>76.95</v>
      </c>
      <c r="V145" s="2">
        <v>13</v>
      </c>
      <c r="W145" s="2">
        <v>19</v>
      </c>
      <c r="X145" s="3">
        <v>17.8</v>
      </c>
      <c r="Y145" s="1">
        <v>0.8</v>
      </c>
      <c r="Z145" s="3">
        <f t="shared" si="121"/>
        <v>14.240000000000002</v>
      </c>
      <c r="AA145" s="3">
        <f>IF(I145&lt;&gt;"",X145/INDEX('energy battery'!$B$3:$D$6,MATCH('vehicles specifications'!$D145,'energy battery'!$A$3:$A$6,0),MATCH('vehicles specifications'!$I145,'energy battery'!$B$2:$D$2,0)),"")</f>
        <v>98.8888888888889</v>
      </c>
      <c r="AB145" s="3">
        <f t="shared" si="137"/>
        <v>19.777777777777782</v>
      </c>
      <c r="AC145" s="3">
        <f t="shared" si="122"/>
        <v>118.66666666666669</v>
      </c>
      <c r="AD145" s="3">
        <v>0.25</v>
      </c>
      <c r="AE145" s="3">
        <v>0</v>
      </c>
      <c r="AF145">
        <f>AE145*'fuels and tailpipe emissions'!$B$3</f>
        <v>0</v>
      </c>
      <c r="AG145">
        <v>0</v>
      </c>
      <c r="AH145" s="3">
        <v>0</v>
      </c>
      <c r="AI145" s="3">
        <v>5</v>
      </c>
      <c r="AJ145" s="3">
        <v>1</v>
      </c>
      <c r="AK145">
        <f t="shared" si="129"/>
        <v>1.54</v>
      </c>
      <c r="AL145">
        <f t="shared" si="123"/>
        <v>1.6975464999999999E-4</v>
      </c>
      <c r="AM145">
        <v>1.2899999999999999E-3</v>
      </c>
      <c r="AN145" s="2">
        <f t="shared" si="124"/>
        <v>76.95</v>
      </c>
      <c r="AO145" s="2">
        <f t="shared" si="125"/>
        <v>32</v>
      </c>
      <c r="AP145" s="2">
        <f t="shared" si="126"/>
        <v>118.66666666666669</v>
      </c>
      <c r="AQ145" s="6" t="s">
        <v>85</v>
      </c>
      <c r="AR145" s="20"/>
      <c r="AS145" s="6">
        <v>0.24635579913730349</v>
      </c>
      <c r="AT145" s="2">
        <f t="shared" si="130"/>
        <v>208.08927648351653</v>
      </c>
      <c r="AU145" s="5">
        <v>0</v>
      </c>
      <c r="AV145" s="5">
        <v>0</v>
      </c>
      <c r="AW145" s="7">
        <v>0</v>
      </c>
      <c r="AX145" s="7">
        <v>0</v>
      </c>
      <c r="AY145" s="7">
        <v>0</v>
      </c>
      <c r="AZ145" s="7">
        <v>0</v>
      </c>
      <c r="BA145" s="7">
        <v>0</v>
      </c>
      <c r="BB145" s="7">
        <v>0</v>
      </c>
      <c r="BC145" s="7">
        <v>0</v>
      </c>
      <c r="BD145" s="7">
        <v>0</v>
      </c>
      <c r="BE145" s="7">
        <v>0</v>
      </c>
      <c r="BF145" s="7">
        <v>0</v>
      </c>
      <c r="BG145" s="7">
        <v>0</v>
      </c>
      <c r="BH145" s="7">
        <v>0</v>
      </c>
      <c r="BI145" s="7">
        <v>0</v>
      </c>
      <c r="BJ145" s="7">
        <v>0</v>
      </c>
      <c r="BK145" s="7">
        <v>0</v>
      </c>
      <c r="BL145" s="7">
        <v>0</v>
      </c>
      <c r="BM145" s="7">
        <v>0</v>
      </c>
      <c r="BN145" s="7">
        <v>0</v>
      </c>
      <c r="BO145" s="7">
        <v>0</v>
      </c>
      <c r="BP145" s="7">
        <v>0</v>
      </c>
      <c r="BQ145" s="7">
        <v>0</v>
      </c>
      <c r="BR145" s="7">
        <v>0</v>
      </c>
      <c r="BS145" s="7">
        <v>0</v>
      </c>
      <c r="BT145" s="7">
        <v>0</v>
      </c>
      <c r="BU145" s="7">
        <v>0</v>
      </c>
      <c r="BV145" s="7">
        <v>0</v>
      </c>
      <c r="BW145" s="7">
        <v>0</v>
      </c>
      <c r="BX145" s="7">
        <v>0</v>
      </c>
      <c r="BY145" s="7">
        <v>0</v>
      </c>
      <c r="BZ145" s="7">
        <v>0</v>
      </c>
      <c r="CA145" s="7">
        <v>0</v>
      </c>
      <c r="CB145" s="7">
        <v>0</v>
      </c>
      <c r="CC145" s="7">
        <v>0</v>
      </c>
      <c r="CD145" s="7">
        <v>0</v>
      </c>
      <c r="CE145" s="7">
        <v>0</v>
      </c>
      <c r="CF145" s="7">
        <v>0</v>
      </c>
      <c r="CG145" s="7">
        <v>0</v>
      </c>
      <c r="CH145" s="7">
        <v>0</v>
      </c>
      <c r="CI145" s="7">
        <v>0</v>
      </c>
      <c r="CJ145" s="7">
        <v>0</v>
      </c>
      <c r="CK145" s="38">
        <f>VLOOKUP($B145,'abrasion emissions'!$O$7:$R$36,2,FALSE)</f>
        <v>0.33</v>
      </c>
      <c r="CL145" s="38">
        <f>VLOOKUP($B145,'abrasion emissions'!$O$7:$R$36,3,FALSE)</f>
        <v>0.33</v>
      </c>
      <c r="CM145" s="38">
        <f>VLOOKUP($B145,'abrasion emissions'!$O$7:$R$36,4,FALSE)</f>
        <v>0.33</v>
      </c>
      <c r="CN145" s="7">
        <f>((SUMIFS('abrasion emissions'!$M$7:$M$34,'abrasion emissions'!$I$7:$I$34,"PM 2.5",'abrasion emissions'!$J$7:$J$34,"urban",'abrasion emissions'!$K$7:$K$34,"Tyre",'abrasion emissions'!$L$7:$L$34,"b")*POWER(('vehicles specifications'!$Q145/1000),(1/SUMIFS('abrasion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specifications'!$P145/1000),(1/SUMIFS('abrasion emissions'!$M$7:$M$34,'abrasion emissions'!$I$7:$I$34,"PM 10",'abrasion emissions'!$J$7:$J$34,"urban",'abrasion emissions'!$K$7:$K$34,"Tyre",'abrasion emissions'!$L$7:$L$34,"c")))))/1000000</f>
        <v>8.0175524279760323E-6</v>
      </c>
      <c r="CO145" s="7">
        <f>((SUMIFS('abrasion emissions'!$M$7:$M$34,'abrasion emissions'!$I$7:$I$34,"PM 2.5",'abrasion emissions'!$J$7:$J$34,"rural",'abrasion emissions'!$K$7:$K$34,"Tyre",'abrasion emissions'!$L$7:$L$34,"b")*POWER(('vehicles specifications'!$Q145/1000),(1/SUMIFS('abrasion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specifications'!$P145/1000),(1/SUMIFS('abrasion emissions'!$M$7:$M$34,'abrasion emissions'!$I$7:$I$34,"PM 10",'abrasion emissions'!$J$7:$J$34,"rural",'abrasion emissions'!$K$7:$K$34,"Tyre",'abrasion emissions'!$L$7:$L$34,"c")))))/1000000</f>
        <v>6.243504712172238E-6</v>
      </c>
      <c r="CP145" s="7">
        <f>((SUMIFS('abrasion emissions'!$M$7:$M$34,'abrasion emissions'!$I$7:$I$34,"PM 2.5",'abrasion emissions'!$J$7:$J$34,"motorway",'abrasion emissions'!$K$7:$K$34,"Tyre",'abrasion emissions'!$L$7:$L$34,"b")*POWER(('vehicles specifications'!$Q145/1000),(1/SUMIFS('abrasion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specifications'!$P145/1000),(1/SUMIFS('abrasion emissions'!$M$7:$M$34,'abrasion emissions'!$I$7:$I$34,"PM 10",'abrasion emissions'!$J$7:$J$34,"motorway",'abrasion emissions'!$K$7:$K$34,"Tyre",'abrasion emissions'!$L$7:$L$34,"c")))))/1000000</f>
        <v>5.3302088317170995E-6</v>
      </c>
      <c r="CQ145" s="7">
        <f>((SUMIFS('abrasion emissions'!$M$7:$M$34,'abrasion emissions'!$I$7:$I$34,"PM 2.5",'abrasion emissions'!$J$7:$J$34,"urban",'abrasion emissions'!$K$7:$K$34,"Brake",'abrasion emissions'!$L$7:$L$34,"b")*POWER(('vehicles specifications'!$Q145/1000),(1/SUMIFS('abrasion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specifications'!$P145/1000),(1/SUMIFS('abrasion emissions'!$M$7:$M$34,'abrasion emissions'!$I$7:$I$34,"PM 10",'abrasion emissions'!$J$7:$J$34,"urban",'abrasion emissions'!$K$7:$K$34,"Brake",'abrasion emissions'!$L$7:$L$34,"c")))))/1000000</f>
        <v>7.9272837736534357E-6</v>
      </c>
      <c r="CR145" s="7">
        <f>((SUMIFS('abrasion emissions'!$M$7:$M$34,'abrasion emissions'!$I$7:$I$34,"PM 2.5",'abrasion emissions'!$J$7:$J$34,"rural",'abrasion emissions'!$K$7:$K$34,"Brake",'abrasion emissions'!$L$7:$L$34,"b")*POWER(('vehicles specifications'!$Q145/1000),(1/SUMIFS('abrasion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specifications'!$P145/1000),(1/SUMIFS('abrasion emissions'!$M$7:$M$34,'abrasion emissions'!$I$7:$I$34,"PM 10",'abrasion emissions'!$J$7:$J$34,"rural",'abrasion emissions'!$K$7:$K$34,"Brake",'abrasion emissions'!$L$7:$L$34,"c")))))/1000000</f>
        <v>2.7592556406967909E-6</v>
      </c>
      <c r="CS145" s="7">
        <f>((SUMIFS('abrasion emissions'!$M$7:$M$34,'abrasion emissions'!$I$7:$I$34,"PM 2.5",'abrasion emissions'!$J$7:$J$34,"motorway",'abrasion emissions'!$K$7:$K$34,"Brake",'abrasion emissions'!$L$7:$L$34,"b")*POWER(('vehicles specifications'!$Q145/1000),(1/SUMIFS('abrasion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specifications'!$P145/1000),(1/SUMIFS('abrasion emissions'!$M$7:$M$34,'abrasion emissions'!$I$7:$I$34,"PM 10",'abrasion emissions'!$J$7:$J$34,"motorway",'abrasion emissions'!$K$7:$K$34,"Brake",'abrasion emissions'!$L$7:$L$34,"c")))))/1000000</f>
        <v>5.4046663541440858E-7</v>
      </c>
      <c r="CT145" s="7">
        <f>((SUMIFS('abrasion emissions'!$M$7:$M$38,'abrasion emissions'!$I$7:$I$38,"PM 2.5",'abrasion emissions'!$K$7:$K$38,"Re-susp.",'abrasion emissions'!$L$7:$L$38,"b")*POWER(('vehicles specifications'!$Q145/1000),(1/SUMIFS('abrasion emissions'!$M$7:$M$38,'abrasion emissions'!$I$7:$I$38,"PM 2.5",'abrasion emissions'!$K$7:$K$38,"Re-susp.",'abrasion emissions'!$L$7:$L$38,"c"))))+
(SUMIFS('abrasion emissions'!$M$7:$M$38,'abrasion emissions'!$I$7:$I$38,"PM 10",'abrasion emissions'!$K$7:$K$38,"Re-susp.",'abrasion emissions'!$L$7:$L$38,"b")*POWER(('vehicles specifications'!$Q145/1000),(1/SUMIFS('abrasion emissions'!$M$7:$M$38,'abrasion emissions'!$I$7:$I$38,"PM 10",'abrasion emissions'!$K$7:$K$38,"Re-susp.",'abrasion emissions'!$L$7:$L$38,"c")))))/1000000</f>
        <v>5.7565152644188385E-6</v>
      </c>
      <c r="CU145" s="7">
        <f>((SUMIFS('abrasion emissions'!$M$7:$M$38,'abrasion emissions'!$I$7:$I$38,"PM 2.5",'abrasion emissions'!$K$7:$K$38,"Road",'abrasion emissions'!$L$7:$L$38,"b")*POWER(('vehicles specifications'!$Q145/1000),(1/SUMIFS('abrasion emissions'!$M$7:$M$38,'abrasion emissions'!$I$7:$I$38,"PM 2.5",'abrasion emissions'!$K$7:$K$38,"Road",'abrasion emissions'!$L$7:$L$38,"c"))))+
(SUMIFS('abrasion emissions'!$M$7:$M$38,'abrasion emissions'!$I$7:$I$38,"PM 10",'abrasion emissions'!$K$7:$K$38,"Road",'abrasion emissions'!$L$7:$L$38,"b")*POWER(('vehicles specifications'!$Q145/1000),(1/SUMIFS('abrasion emissions'!$M$7:$M$38,'abrasion emissions'!$I$7:$I$38,"PM 10",'abrasion emissions'!$K$7:$K$38,"Road",'abrasion emissions'!$L$7:$L$38,"c")))))/1000000+CT145</f>
        <v>1.0489826923258698E-5</v>
      </c>
      <c r="CV145" s="7">
        <f t="shared" si="131"/>
        <v>6.4651177707155718E-6</v>
      </c>
      <c r="CW145" s="7">
        <f t="shared" si="132"/>
        <v>3.70491199642233E-6</v>
      </c>
    </row>
    <row r="146" spans="1:101" x14ac:dyDescent="0.2">
      <c r="A146" t="str">
        <f t="shared" si="117"/>
        <v>Motorbike, electric, 11-35kW - 2050 - LFP - CH</v>
      </c>
      <c r="B146" t="s">
        <v>269</v>
      </c>
      <c r="D146" s="18">
        <v>2050</v>
      </c>
      <c r="E146" t="s">
        <v>37</v>
      </c>
      <c r="F146" t="s">
        <v>138</v>
      </c>
      <c r="G146" t="s">
        <v>39</v>
      </c>
      <c r="H146" t="s">
        <v>32</v>
      </c>
      <c r="I146" t="s">
        <v>44</v>
      </c>
      <c r="J146">
        <v>38500</v>
      </c>
      <c r="K146">
        <v>2405</v>
      </c>
      <c r="L146" s="2">
        <f t="shared" si="118"/>
        <v>16.008316008316008</v>
      </c>
      <c r="M146">
        <v>1.1000000000000001</v>
      </c>
      <c r="N146">
        <v>75</v>
      </c>
      <c r="O146">
        <v>6</v>
      </c>
      <c r="P146" s="2">
        <f t="shared" si="119"/>
        <v>244.13</v>
      </c>
      <c r="Q146" s="2">
        <f t="shared" si="120"/>
        <v>332.63</v>
      </c>
      <c r="R146">
        <v>14</v>
      </c>
      <c r="S146" s="2">
        <v>81</v>
      </c>
      <c r="T146" s="1">
        <v>7.0000000000000007E-2</v>
      </c>
      <c r="U146" s="2">
        <f t="shared" si="105"/>
        <v>75.33</v>
      </c>
      <c r="V146" s="2">
        <v>13</v>
      </c>
      <c r="W146" s="2">
        <v>19</v>
      </c>
      <c r="X146" s="3">
        <v>22.8</v>
      </c>
      <c r="Y146" s="1">
        <v>0.8</v>
      </c>
      <c r="Z146" s="3">
        <f t="shared" si="121"/>
        <v>18.240000000000002</v>
      </c>
      <c r="AA146" s="3">
        <f>IF(I146&lt;&gt;"",X146/INDEX('energy battery'!$B$3:$D$6,MATCH('vehicles specifications'!$D146,'energy battery'!$A$3:$A$6,0),MATCH('vehicles specifications'!$I146,'energy battery'!$B$2:$D$2,0)),"")</f>
        <v>114</v>
      </c>
      <c r="AB146" s="3">
        <f t="shared" si="137"/>
        <v>22.8</v>
      </c>
      <c r="AC146" s="3">
        <f t="shared" si="122"/>
        <v>136.80000000000001</v>
      </c>
      <c r="AD146" s="3">
        <v>0</v>
      </c>
      <c r="AE146" s="3">
        <v>0</v>
      </c>
      <c r="AF146">
        <f>AE146*'fuels and tailpipe emissions'!$B$3</f>
        <v>0</v>
      </c>
      <c r="AG146">
        <v>0</v>
      </c>
      <c r="AH146" s="3">
        <v>0</v>
      </c>
      <c r="AI146" s="3">
        <v>5</v>
      </c>
      <c r="AJ146" s="3">
        <v>1</v>
      </c>
      <c r="AK146">
        <f t="shared" si="129"/>
        <v>1.54</v>
      </c>
      <c r="AL146">
        <f t="shared" si="123"/>
        <v>1.7862231000000001E-4</v>
      </c>
      <c r="AM146">
        <v>1.2899999999999999E-3</v>
      </c>
      <c r="AN146" s="2">
        <f t="shared" si="124"/>
        <v>75.33</v>
      </c>
      <c r="AO146" s="2">
        <f t="shared" si="125"/>
        <v>32</v>
      </c>
      <c r="AP146" s="2">
        <f t="shared" si="126"/>
        <v>136.80000000000001</v>
      </c>
      <c r="AQ146" s="6" t="s">
        <v>85</v>
      </c>
      <c r="AR146" s="20"/>
      <c r="AS146" s="6">
        <v>0.24635579913730349</v>
      </c>
      <c r="AT146" s="2">
        <f t="shared" si="130"/>
        <v>266.54132043956048</v>
      </c>
      <c r="AU146" s="5">
        <v>0</v>
      </c>
      <c r="AV146" s="5">
        <v>0</v>
      </c>
      <c r="AW146" s="7">
        <v>0</v>
      </c>
      <c r="AX146" s="7">
        <v>0</v>
      </c>
      <c r="AY146" s="7">
        <v>0</v>
      </c>
      <c r="AZ146" s="7">
        <v>0</v>
      </c>
      <c r="BA146" s="7">
        <v>0</v>
      </c>
      <c r="BB146" s="7">
        <v>0</v>
      </c>
      <c r="BC146" s="7">
        <v>0</v>
      </c>
      <c r="BD146" s="7">
        <v>0</v>
      </c>
      <c r="BE146" s="7">
        <v>0</v>
      </c>
      <c r="BF146" s="7">
        <v>0</v>
      </c>
      <c r="BG146" s="7">
        <v>0</v>
      </c>
      <c r="BH146" s="7">
        <v>0</v>
      </c>
      <c r="BI146" s="7">
        <v>0</v>
      </c>
      <c r="BJ146" s="7">
        <v>0</v>
      </c>
      <c r="BK146" s="7">
        <v>0</v>
      </c>
      <c r="BL146" s="7">
        <v>0</v>
      </c>
      <c r="BM146" s="7">
        <v>0</v>
      </c>
      <c r="BN146" s="7">
        <v>0</v>
      </c>
      <c r="BO146" s="7">
        <v>0</v>
      </c>
      <c r="BP146" s="7">
        <v>0</v>
      </c>
      <c r="BQ146" s="7">
        <v>0</v>
      </c>
      <c r="BR146" s="7">
        <v>0</v>
      </c>
      <c r="BS146" s="7">
        <v>0</v>
      </c>
      <c r="BT146" s="7">
        <v>0</v>
      </c>
      <c r="BU146" s="7">
        <v>0</v>
      </c>
      <c r="BV146" s="7">
        <v>0</v>
      </c>
      <c r="BW146" s="7">
        <v>0</v>
      </c>
      <c r="BX146" s="7">
        <v>0</v>
      </c>
      <c r="BY146" s="7">
        <v>0</v>
      </c>
      <c r="BZ146" s="7">
        <v>0</v>
      </c>
      <c r="CA146" s="7">
        <v>0</v>
      </c>
      <c r="CB146" s="7">
        <v>0</v>
      </c>
      <c r="CC146" s="7">
        <v>0</v>
      </c>
      <c r="CD146" s="7">
        <v>0</v>
      </c>
      <c r="CE146" s="7">
        <v>0</v>
      </c>
      <c r="CF146" s="7">
        <v>0</v>
      </c>
      <c r="CG146" s="7">
        <v>0</v>
      </c>
      <c r="CH146" s="7">
        <v>0</v>
      </c>
      <c r="CI146" s="7">
        <v>0</v>
      </c>
      <c r="CJ146" s="7">
        <v>0</v>
      </c>
      <c r="CK146" s="38">
        <f>VLOOKUP($B146,'abrasion emissions'!$O$7:$R$36,2,FALSE)</f>
        <v>0.33</v>
      </c>
      <c r="CL146" s="38">
        <f>VLOOKUP($B146,'abrasion emissions'!$O$7:$R$36,3,FALSE)</f>
        <v>0.33</v>
      </c>
      <c r="CM146" s="38">
        <f>VLOOKUP($B146,'abrasion emissions'!$O$7:$R$36,4,FALSE)</f>
        <v>0.33</v>
      </c>
      <c r="CN146" s="7">
        <f>((SUMIFS('abrasion emissions'!$M$7:$M$34,'abrasion emissions'!$I$7:$I$34,"PM 2.5",'abrasion emissions'!$J$7:$J$34,"urban",'abrasion emissions'!$K$7:$K$34,"Tyre",'abrasion emissions'!$L$7:$L$34,"b")*POWER(('vehicles specifications'!$Q146/1000),(1/SUMIFS('abrasion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specifications'!$P146/1000),(1/SUMIFS('abrasion emissions'!$M$7:$M$34,'abrasion emissions'!$I$7:$I$34,"PM 10",'abrasion emissions'!$J$7:$J$34,"urban",'abrasion emissions'!$K$7:$K$34,"Tyre",'abrasion emissions'!$L$7:$L$34,"c")))))/1000000</f>
        <v>8.223038967512235E-6</v>
      </c>
      <c r="CO146" s="7">
        <f>((SUMIFS('abrasion emissions'!$M$7:$M$34,'abrasion emissions'!$I$7:$I$34,"PM 2.5",'abrasion emissions'!$J$7:$J$34,"rural",'abrasion emissions'!$K$7:$K$34,"Tyre",'abrasion emissions'!$L$7:$L$34,"b")*POWER(('vehicles specifications'!$Q146/1000),(1/SUMIFS('abrasion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specifications'!$P146/1000),(1/SUMIFS('abrasion emissions'!$M$7:$M$34,'abrasion emissions'!$I$7:$I$34,"PM 10",'abrasion emissions'!$J$7:$J$34,"rural",'abrasion emissions'!$K$7:$K$34,"Tyre",'abrasion emissions'!$L$7:$L$34,"c")))))/1000000</f>
        <v>6.4034485702198815E-6</v>
      </c>
      <c r="CP146" s="7">
        <f>((SUMIFS('abrasion emissions'!$M$7:$M$34,'abrasion emissions'!$I$7:$I$34,"PM 2.5",'abrasion emissions'!$J$7:$J$34,"motorway",'abrasion emissions'!$K$7:$K$34,"Tyre",'abrasion emissions'!$L$7:$L$34,"b")*POWER(('vehicles specifications'!$Q146/1000),(1/SUMIFS('abrasion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specifications'!$P146/1000),(1/SUMIFS('abrasion emissions'!$M$7:$M$34,'abrasion emissions'!$I$7:$I$34,"PM 10",'abrasion emissions'!$J$7:$J$34,"motorway",'abrasion emissions'!$K$7:$K$34,"Tyre",'abrasion emissions'!$L$7:$L$34,"c")))))/1000000</f>
        <v>5.4665690269656866E-6</v>
      </c>
      <c r="CQ146" s="7">
        <f>((SUMIFS('abrasion emissions'!$M$7:$M$34,'abrasion emissions'!$I$7:$I$34,"PM 2.5",'abrasion emissions'!$J$7:$J$34,"urban",'abrasion emissions'!$K$7:$K$34,"Brake",'abrasion emissions'!$L$7:$L$34,"b")*POWER(('vehicles specifications'!$Q146/1000),(1/SUMIFS('abrasion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specifications'!$P146/1000),(1/SUMIFS('abrasion emissions'!$M$7:$M$34,'abrasion emissions'!$I$7:$I$34,"PM 10",'abrasion emissions'!$J$7:$J$34,"urban",'abrasion emissions'!$K$7:$K$34,"Brake",'abrasion emissions'!$L$7:$L$34,"c")))))/1000000</f>
        <v>8.1626248466404993E-6</v>
      </c>
      <c r="CR146" s="7">
        <f>((SUMIFS('abrasion emissions'!$M$7:$M$34,'abrasion emissions'!$I$7:$I$34,"PM 2.5",'abrasion emissions'!$J$7:$J$34,"rural",'abrasion emissions'!$K$7:$K$34,"Brake",'abrasion emissions'!$L$7:$L$34,"b")*POWER(('vehicles specifications'!$Q146/1000),(1/SUMIFS('abrasion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specifications'!$P146/1000),(1/SUMIFS('abrasion emissions'!$M$7:$M$34,'abrasion emissions'!$I$7:$I$34,"PM 10",'abrasion emissions'!$J$7:$J$34,"rural",'abrasion emissions'!$K$7:$K$34,"Brake",'abrasion emissions'!$L$7:$L$34,"c")))))/1000000</f>
        <v>2.8634347375417522E-6</v>
      </c>
      <c r="CS146" s="7">
        <f>((SUMIFS('abrasion emissions'!$M$7:$M$34,'abrasion emissions'!$I$7:$I$34,"PM 2.5",'abrasion emissions'!$J$7:$J$34,"motorway",'abrasion emissions'!$K$7:$K$34,"Brake",'abrasion emissions'!$L$7:$L$34,"b")*POWER(('vehicles specifications'!$Q146/1000),(1/SUMIFS('abrasion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specifications'!$P146/1000),(1/SUMIFS('abrasion emissions'!$M$7:$M$34,'abrasion emissions'!$I$7:$I$34,"PM 10",'abrasion emissions'!$J$7:$J$34,"motorway",'abrasion emissions'!$K$7:$K$34,"Brake",'abrasion emissions'!$L$7:$L$34,"c")))))/1000000</f>
        <v>5.6402999244894088E-7</v>
      </c>
      <c r="CT146" s="7">
        <f>((SUMIFS('abrasion emissions'!$M$7:$M$38,'abrasion emissions'!$I$7:$I$38,"PM 2.5",'abrasion emissions'!$K$7:$K$38,"Re-susp.",'abrasion emissions'!$L$7:$L$38,"b")*POWER(('vehicles specifications'!$Q146/1000),(1/SUMIFS('abrasion emissions'!$M$7:$M$38,'abrasion emissions'!$I$7:$I$38,"PM 2.5",'abrasion emissions'!$K$7:$K$38,"Re-susp.",'abrasion emissions'!$L$7:$L$38,"c"))))+
(SUMIFS('abrasion emissions'!$M$7:$M$38,'abrasion emissions'!$I$7:$I$38,"PM 10",'abrasion emissions'!$K$7:$K$38,"Re-susp.",'abrasion emissions'!$L$7:$L$38,"b")*POWER(('vehicles specifications'!$Q146/1000),(1/SUMIFS('abrasion emissions'!$M$7:$M$38,'abrasion emissions'!$I$7:$I$38,"PM 10",'abrasion emissions'!$K$7:$K$38,"Re-susp.",'abrasion emissions'!$L$7:$L$38,"c")))))/1000000</f>
        <v>6.0292503457245331E-6</v>
      </c>
      <c r="CU146" s="7">
        <f>((SUMIFS('abrasion emissions'!$M$7:$M$38,'abrasion emissions'!$I$7:$I$38,"PM 2.5",'abrasion emissions'!$K$7:$K$38,"Road",'abrasion emissions'!$L$7:$L$38,"b")*POWER(('vehicles specifications'!$Q146/1000),(1/SUMIFS('abrasion emissions'!$M$7:$M$38,'abrasion emissions'!$I$7:$I$38,"PM 2.5",'abrasion emissions'!$K$7:$K$38,"Road",'abrasion emissions'!$L$7:$L$38,"c"))))+
(SUMIFS('abrasion emissions'!$M$7:$M$38,'abrasion emissions'!$I$7:$I$38,"PM 10",'abrasion emissions'!$K$7:$K$38,"Road",'abrasion emissions'!$L$7:$L$38,"b")*POWER(('vehicles specifications'!$Q146/1000),(1/SUMIFS('abrasion emissions'!$M$7:$M$38,'abrasion emissions'!$I$7:$I$38,"PM 10",'abrasion emissions'!$K$7:$K$38,"Road",'abrasion emissions'!$L$7:$L$38,"c")))))/1000000+CT146</f>
        <v>1.092599865782124E-5</v>
      </c>
      <c r="CV146" s="7">
        <f t="shared" si="131"/>
        <v>6.630708666350275E-6</v>
      </c>
      <c r="CW146" s="7">
        <f t="shared" si="132"/>
        <v>3.8247295602882941E-6</v>
      </c>
    </row>
    <row r="147" spans="1:101" x14ac:dyDescent="0.2">
      <c r="A147" t="str">
        <f t="shared" si="117"/>
        <v>Motorbike, electric, &gt;35kW - 2020 - LFP - CH</v>
      </c>
      <c r="B147" t="s">
        <v>270</v>
      </c>
      <c r="D147" s="18">
        <v>2020</v>
      </c>
      <c r="E147" t="s">
        <v>37</v>
      </c>
      <c r="F147" t="s">
        <v>138</v>
      </c>
      <c r="G147" t="s">
        <v>39</v>
      </c>
      <c r="H147" t="s">
        <v>32</v>
      </c>
      <c r="I147" t="s">
        <v>44</v>
      </c>
      <c r="J147">
        <v>40500</v>
      </c>
      <c r="K147">
        <v>2896</v>
      </c>
      <c r="L147" s="2">
        <f t="shared" si="118"/>
        <v>13.984806629834255</v>
      </c>
      <c r="M147">
        <v>1.1000000000000001</v>
      </c>
      <c r="N147">
        <v>75</v>
      </c>
      <c r="O147">
        <v>6</v>
      </c>
      <c r="P147" s="2">
        <f t="shared" si="119"/>
        <v>279.64</v>
      </c>
      <c r="Q147" s="2">
        <f t="shared" si="120"/>
        <v>368.14</v>
      </c>
      <c r="R147">
        <v>49</v>
      </c>
      <c r="S147" s="2">
        <v>111</v>
      </c>
      <c r="T147" s="1">
        <v>0</v>
      </c>
      <c r="U147" s="2">
        <f t="shared" si="105"/>
        <v>111</v>
      </c>
      <c r="V147" s="2">
        <v>13.74</v>
      </c>
      <c r="W147" s="2">
        <v>22.900000000000002</v>
      </c>
      <c r="X147" s="3">
        <v>16.5</v>
      </c>
      <c r="Y147" s="1">
        <v>0.8</v>
      </c>
      <c r="Z147" s="3">
        <f t="shared" si="121"/>
        <v>13.200000000000001</v>
      </c>
      <c r="AA147" s="3">
        <f>IF(I147&lt;&gt;"",X147/INDEX('energy battery'!$B$3:$D$6,MATCH('vehicles specifications'!$D147,'energy battery'!$A$3:$A$6,0),MATCH('vehicles specifications'!$I147,'energy battery'!$B$2:$D$2,0)),"")</f>
        <v>110</v>
      </c>
      <c r="AB147" s="3">
        <f>IF(AA147&lt;&gt;"",0.2*AA147,"")</f>
        <v>22</v>
      </c>
      <c r="AC147" s="3">
        <f t="shared" si="122"/>
        <v>132</v>
      </c>
      <c r="AD147" s="3">
        <v>1</v>
      </c>
      <c r="AE147" s="3">
        <v>0</v>
      </c>
      <c r="AF147">
        <f>AE147*'fuels and tailpipe emissions'!$B$3</f>
        <v>0</v>
      </c>
      <c r="AG147">
        <v>0</v>
      </c>
      <c r="AH147" s="3">
        <v>0</v>
      </c>
      <c r="AI147" s="3">
        <v>5</v>
      </c>
      <c r="AJ147" s="3">
        <v>1</v>
      </c>
      <c r="AK147">
        <f t="shared" si="129"/>
        <v>1.62</v>
      </c>
      <c r="AL147">
        <f t="shared" si="123"/>
        <v>1.9769117999999999E-4</v>
      </c>
      <c r="AM147">
        <v>1.2899999999999999E-3</v>
      </c>
      <c r="AN147" s="2">
        <f t="shared" si="124"/>
        <v>111</v>
      </c>
      <c r="AO147" s="2">
        <f t="shared" si="125"/>
        <v>36.64</v>
      </c>
      <c r="AP147" s="2">
        <f t="shared" si="126"/>
        <v>132</v>
      </c>
      <c r="AQ147" s="6" t="s">
        <v>85</v>
      </c>
      <c r="AR147" s="20"/>
      <c r="AS147" s="6">
        <v>0.27473182101357863</v>
      </c>
      <c r="AT147" s="2">
        <f t="shared" si="130"/>
        <v>172.96867841767528</v>
      </c>
      <c r="AU147" s="5">
        <v>0</v>
      </c>
      <c r="AV147" s="5">
        <v>0</v>
      </c>
      <c r="AW147" s="7">
        <v>0</v>
      </c>
      <c r="AX147" s="7">
        <v>0</v>
      </c>
      <c r="AY147" s="7">
        <v>0</v>
      </c>
      <c r="AZ147" s="7">
        <v>0</v>
      </c>
      <c r="BA147" s="7">
        <v>0</v>
      </c>
      <c r="BB147" s="7">
        <v>0</v>
      </c>
      <c r="BC147" s="7">
        <v>0</v>
      </c>
      <c r="BD147" s="7">
        <v>0</v>
      </c>
      <c r="BE147" s="7">
        <v>0</v>
      </c>
      <c r="BF147" s="7">
        <v>0</v>
      </c>
      <c r="BG147" s="7">
        <v>0</v>
      </c>
      <c r="BH147" s="7">
        <v>0</v>
      </c>
      <c r="BI147" s="7">
        <v>0</v>
      </c>
      <c r="BJ147" s="7">
        <v>0</v>
      </c>
      <c r="BK147" s="7">
        <v>0</v>
      </c>
      <c r="BL147" s="7">
        <v>0</v>
      </c>
      <c r="BM147" s="7">
        <v>0</v>
      </c>
      <c r="BN147" s="7">
        <v>0</v>
      </c>
      <c r="BO147" s="7">
        <v>0</v>
      </c>
      <c r="BP147" s="7">
        <v>0</v>
      </c>
      <c r="BQ147" s="7">
        <v>0</v>
      </c>
      <c r="BR147" s="7">
        <v>0</v>
      </c>
      <c r="BS147" s="7">
        <v>0</v>
      </c>
      <c r="BT147" s="7">
        <v>0</v>
      </c>
      <c r="BU147" s="7">
        <v>0</v>
      </c>
      <c r="BV147" s="7">
        <v>0</v>
      </c>
      <c r="BW147" s="7">
        <v>0</v>
      </c>
      <c r="BX147" s="7">
        <v>0</v>
      </c>
      <c r="BY147" s="7">
        <v>0</v>
      </c>
      <c r="BZ147" s="7">
        <v>0</v>
      </c>
      <c r="CA147" s="7">
        <v>0</v>
      </c>
      <c r="CB147" s="7">
        <v>0</v>
      </c>
      <c r="CC147" s="7">
        <v>0</v>
      </c>
      <c r="CD147" s="7">
        <v>0</v>
      </c>
      <c r="CE147" s="7">
        <v>0</v>
      </c>
      <c r="CF147" s="7">
        <v>0</v>
      </c>
      <c r="CG147" s="7">
        <v>0</v>
      </c>
      <c r="CH147" s="7">
        <v>0</v>
      </c>
      <c r="CI147" s="7">
        <v>0</v>
      </c>
      <c r="CJ147" s="7">
        <v>0</v>
      </c>
      <c r="CK147" s="38">
        <f>VLOOKUP($B147,'abrasion emissions'!$O$7:$R$36,2,FALSE)</f>
        <v>0.33</v>
      </c>
      <c r="CL147" s="38">
        <f>VLOOKUP($B147,'abrasion emissions'!$O$7:$R$36,3,FALSE)</f>
        <v>0.33</v>
      </c>
      <c r="CM147" s="38">
        <f>VLOOKUP($B147,'abrasion emissions'!$O$7:$R$36,4,FALSE)</f>
        <v>0.33</v>
      </c>
      <c r="CN147" s="7">
        <f>((SUMIFS('abrasion emissions'!$M$7:$M$34,'abrasion emissions'!$I$7:$I$34,"PM 2.5",'abrasion emissions'!$J$7:$J$34,"urban",'abrasion emissions'!$K$7:$K$34,"Tyre",'abrasion emissions'!$L$7:$L$34,"b")*POWER(('vehicles specifications'!$Q147/1000),(1/SUMIFS('abrasion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specifications'!$P147/1000),(1/SUMIFS('abrasion emissions'!$M$7:$M$34,'abrasion emissions'!$I$7:$I$34,"PM 10",'abrasion emissions'!$J$7:$J$34,"urban",'abrasion emissions'!$K$7:$K$34,"Tyre",'abrasion emissions'!$L$7:$L$34,"c")))))/1000000</f>
        <v>8.6432334120275838E-6</v>
      </c>
      <c r="CO147" s="7">
        <f>((SUMIFS('abrasion emissions'!$M$7:$M$34,'abrasion emissions'!$I$7:$I$34,"PM 2.5",'abrasion emissions'!$J$7:$J$34,"rural",'abrasion emissions'!$K$7:$K$34,"Tyre",'abrasion emissions'!$L$7:$L$34,"b")*POWER(('vehicles specifications'!$Q147/1000),(1/SUMIFS('abrasion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specifications'!$P147/1000),(1/SUMIFS('abrasion emissions'!$M$7:$M$34,'abrasion emissions'!$I$7:$I$34,"PM 10",'abrasion emissions'!$J$7:$J$34,"rural",'abrasion emissions'!$K$7:$K$34,"Tyre",'abrasion emissions'!$L$7:$L$34,"c")))))/1000000</f>
        <v>6.7305212744637633E-6</v>
      </c>
      <c r="CP147" s="7">
        <f>((SUMIFS('abrasion emissions'!$M$7:$M$34,'abrasion emissions'!$I$7:$I$34,"PM 2.5",'abrasion emissions'!$J$7:$J$34,"motorway",'abrasion emissions'!$K$7:$K$34,"Tyre",'abrasion emissions'!$L$7:$L$34,"b")*POWER(('vehicles specifications'!$Q147/1000),(1/SUMIFS('abrasion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specifications'!$P147/1000),(1/SUMIFS('abrasion emissions'!$M$7:$M$34,'abrasion emissions'!$I$7:$I$34,"PM 10",'abrasion emissions'!$J$7:$J$34,"motorway",'abrasion emissions'!$K$7:$K$34,"Tyre",'abrasion emissions'!$L$7:$L$34,"c")))))/1000000</f>
        <v>5.7454335269605624E-6</v>
      </c>
      <c r="CQ147" s="7">
        <f>((SUMIFS('abrasion emissions'!$M$7:$M$34,'abrasion emissions'!$I$7:$I$34,"PM 2.5",'abrasion emissions'!$J$7:$J$34,"urban",'abrasion emissions'!$K$7:$K$34,"Brake",'abrasion emissions'!$L$7:$L$34,"b")*POWER(('vehicles specifications'!$Q147/1000),(1/SUMIFS('abrasion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specifications'!$P147/1000),(1/SUMIFS('abrasion emissions'!$M$7:$M$34,'abrasion emissions'!$I$7:$I$34,"PM 10",'abrasion emissions'!$J$7:$J$34,"urban",'abrasion emissions'!$K$7:$K$34,"Brake",'abrasion emissions'!$L$7:$L$34,"c")))))/1000000</f>
        <v>8.6487347976973476E-6</v>
      </c>
      <c r="CR147" s="7">
        <f>((SUMIFS('abrasion emissions'!$M$7:$M$34,'abrasion emissions'!$I$7:$I$34,"PM 2.5",'abrasion emissions'!$J$7:$J$34,"rural",'abrasion emissions'!$K$7:$K$34,"Brake",'abrasion emissions'!$L$7:$L$34,"b")*POWER(('vehicles specifications'!$Q147/1000),(1/SUMIFS('abrasion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specifications'!$P147/1000),(1/SUMIFS('abrasion emissions'!$M$7:$M$34,'abrasion emissions'!$I$7:$I$34,"PM 10",'abrasion emissions'!$J$7:$J$34,"rural",'abrasion emissions'!$K$7:$K$34,"Brake",'abrasion emissions'!$L$7:$L$34,"c")))))/1000000</f>
        <v>3.0811983336199091E-6</v>
      </c>
      <c r="CS147" s="7">
        <f>((SUMIFS('abrasion emissions'!$M$7:$M$34,'abrasion emissions'!$I$7:$I$34,"PM 2.5",'abrasion emissions'!$J$7:$J$34,"motorway",'abrasion emissions'!$K$7:$K$34,"Brake",'abrasion emissions'!$L$7:$L$34,"b")*POWER(('vehicles specifications'!$Q147/1000),(1/SUMIFS('abrasion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specifications'!$P147/1000),(1/SUMIFS('abrasion emissions'!$M$7:$M$34,'abrasion emissions'!$I$7:$I$34,"PM 10",'abrasion emissions'!$J$7:$J$34,"motorway",'abrasion emissions'!$K$7:$K$34,"Brake",'abrasion emissions'!$L$7:$L$34,"c")))))/1000000</f>
        <v>6.1371711998349789E-7</v>
      </c>
      <c r="CT147" s="7">
        <f>((SUMIFS('abrasion emissions'!$M$7:$M$38,'abrasion emissions'!$I$7:$I$38,"PM 2.5",'abrasion emissions'!$K$7:$K$38,"Re-susp.",'abrasion emissions'!$L$7:$L$38,"b")*POWER(('vehicles specifications'!$Q147/1000),(1/SUMIFS('abrasion emissions'!$M$7:$M$38,'abrasion emissions'!$I$7:$I$38,"PM 2.5",'abrasion emissions'!$K$7:$K$38,"Re-susp.",'abrasion emissions'!$L$7:$L$38,"c"))))+
(SUMIFS('abrasion emissions'!$M$7:$M$38,'abrasion emissions'!$I$7:$I$38,"PM 10",'abrasion emissions'!$K$7:$K$38,"Re-susp.",'abrasion emissions'!$L$7:$L$38,"b")*POWER(('vehicles specifications'!$Q147/1000),(1/SUMIFS('abrasion emissions'!$M$7:$M$38,'abrasion emissions'!$I$7:$I$38,"PM 10",'abrasion emissions'!$K$7:$K$38,"Re-susp.",'abrasion emissions'!$L$7:$L$38,"c")))))/1000000</f>
        <v>6.6116555356803817E-6</v>
      </c>
      <c r="CU147" s="7">
        <f>((SUMIFS('abrasion emissions'!$M$7:$M$38,'abrasion emissions'!$I$7:$I$38,"PM 2.5",'abrasion emissions'!$K$7:$K$38,"Road",'abrasion emissions'!$L$7:$L$38,"b")*POWER(('vehicles specifications'!$Q147/1000),(1/SUMIFS('abrasion emissions'!$M$7:$M$38,'abrasion emissions'!$I$7:$I$38,"PM 2.5",'abrasion emissions'!$K$7:$K$38,"Road",'abrasion emissions'!$L$7:$L$38,"c"))))+
(SUMIFS('abrasion emissions'!$M$7:$M$38,'abrasion emissions'!$I$7:$I$38,"PM 10",'abrasion emissions'!$K$7:$K$38,"Road",'abrasion emissions'!$L$7:$L$38,"b")*POWER(('vehicles specifications'!$Q147/1000),(1/SUMIFS('abrasion emissions'!$M$7:$M$38,'abrasion emissions'!$I$7:$I$38,"PM 10",'abrasion emissions'!$K$7:$K$38,"Road",'abrasion emissions'!$L$7:$L$38,"c")))))/1000000+CT147</f>
        <v>1.1850982604150876E-5</v>
      </c>
      <c r="CV147" s="7">
        <f t="shared" si="131"/>
        <v>6.96933211043913E-6</v>
      </c>
      <c r="CW147" s="7">
        <f t="shared" si="132"/>
        <v>4.0734045829292491E-6</v>
      </c>
    </row>
    <row r="148" spans="1:101" x14ac:dyDescent="0.2">
      <c r="A148" t="str">
        <f t="shared" si="117"/>
        <v>Motorbike, electric, &gt;35kW - 2030 - LFP - CH</v>
      </c>
      <c r="B148" t="s">
        <v>270</v>
      </c>
      <c r="D148" s="18">
        <v>2030</v>
      </c>
      <c r="E148" t="s">
        <v>37</v>
      </c>
      <c r="F148" t="s">
        <v>138</v>
      </c>
      <c r="G148" t="s">
        <v>39</v>
      </c>
      <c r="H148" t="s">
        <v>32</v>
      </c>
      <c r="I148" t="s">
        <v>44</v>
      </c>
      <c r="J148">
        <v>40500</v>
      </c>
      <c r="K148">
        <v>2896</v>
      </c>
      <c r="L148" s="2">
        <f t="shared" si="118"/>
        <v>13.984806629834255</v>
      </c>
      <c r="M148">
        <v>1.1000000000000001</v>
      </c>
      <c r="N148">
        <v>75</v>
      </c>
      <c r="O148">
        <v>6</v>
      </c>
      <c r="P148" s="2">
        <f t="shared" si="119"/>
        <v>314.97666666666669</v>
      </c>
      <c r="Q148" s="2">
        <f t="shared" si="120"/>
        <v>403.47666666666669</v>
      </c>
      <c r="R148">
        <v>49</v>
      </c>
      <c r="S148" s="2">
        <v>111</v>
      </c>
      <c r="T148" s="1">
        <v>0.03</v>
      </c>
      <c r="U148" s="2">
        <f t="shared" si="105"/>
        <v>107.67</v>
      </c>
      <c r="V148" s="2">
        <v>13.74</v>
      </c>
      <c r="W148" s="2">
        <v>22.900000000000002</v>
      </c>
      <c r="X148" s="3">
        <v>25.6</v>
      </c>
      <c r="Y148" s="1">
        <v>0.8</v>
      </c>
      <c r="Z148" s="3">
        <f t="shared" si="121"/>
        <v>20.480000000000004</v>
      </c>
      <c r="AA148" s="3">
        <f>IF(I148&lt;&gt;"",X148/INDEX('energy battery'!$B$3:$D$6,MATCH('vehicles specifications'!$D148,'energy battery'!$A$3:$A$6,0),MATCH('vehicles specifications'!$I148,'energy battery'!$B$2:$D$2,0)),"")</f>
        <v>142.22222222222223</v>
      </c>
      <c r="AB148" s="3">
        <f t="shared" ref="AB148:AB150" si="138">IF(AA148&lt;&gt;"",0.2*AA148,"")</f>
        <v>28.444444444444446</v>
      </c>
      <c r="AC148" s="3">
        <f t="shared" si="122"/>
        <v>170.66666666666669</v>
      </c>
      <c r="AD148" s="3">
        <v>0.5</v>
      </c>
      <c r="AE148" s="3">
        <v>0</v>
      </c>
      <c r="AF148">
        <f>AE148*'fuels and tailpipe emissions'!$B$3</f>
        <v>0</v>
      </c>
      <c r="AG148">
        <v>0</v>
      </c>
      <c r="AH148" s="3">
        <v>0</v>
      </c>
      <c r="AI148" s="3">
        <v>5</v>
      </c>
      <c r="AJ148" s="3">
        <v>1</v>
      </c>
      <c r="AK148">
        <f t="shared" si="129"/>
        <v>1.62</v>
      </c>
      <c r="AL148">
        <f t="shared" si="123"/>
        <v>2.1666697000000002E-4</v>
      </c>
      <c r="AM148">
        <v>1.2899999999999999E-3</v>
      </c>
      <c r="AN148" s="2">
        <f t="shared" si="124"/>
        <v>107.67</v>
      </c>
      <c r="AO148" s="2">
        <f t="shared" si="125"/>
        <v>36.64</v>
      </c>
      <c r="AP148" s="2">
        <f t="shared" si="126"/>
        <v>170.66666666666669</v>
      </c>
      <c r="AQ148" s="6" t="s">
        <v>85</v>
      </c>
      <c r="AR148" s="20"/>
      <c r="AS148" s="6">
        <v>0.27473182101357863</v>
      </c>
      <c r="AT148" s="2">
        <f t="shared" si="130"/>
        <v>268.363525302575</v>
      </c>
      <c r="AU148" s="5">
        <v>0</v>
      </c>
      <c r="AV148" s="5">
        <v>0</v>
      </c>
      <c r="AW148" s="7">
        <v>0</v>
      </c>
      <c r="AX148" s="7">
        <v>0</v>
      </c>
      <c r="AY148" s="7">
        <v>0</v>
      </c>
      <c r="AZ148" s="7">
        <v>0</v>
      </c>
      <c r="BA148" s="7">
        <v>0</v>
      </c>
      <c r="BB148" s="7">
        <v>0</v>
      </c>
      <c r="BC148" s="7">
        <v>0</v>
      </c>
      <c r="BD148" s="7">
        <v>0</v>
      </c>
      <c r="BE148" s="7">
        <v>0</v>
      </c>
      <c r="BF148" s="7">
        <v>0</v>
      </c>
      <c r="BG148" s="7">
        <v>0</v>
      </c>
      <c r="BH148" s="7">
        <v>0</v>
      </c>
      <c r="BI148" s="7">
        <v>0</v>
      </c>
      <c r="BJ148" s="7">
        <v>0</v>
      </c>
      <c r="BK148" s="7">
        <v>0</v>
      </c>
      <c r="BL148" s="7">
        <v>0</v>
      </c>
      <c r="BM148" s="7">
        <v>0</v>
      </c>
      <c r="BN148" s="7">
        <v>0</v>
      </c>
      <c r="BO148" s="7">
        <v>0</v>
      </c>
      <c r="BP148" s="7">
        <v>0</v>
      </c>
      <c r="BQ148" s="7">
        <v>0</v>
      </c>
      <c r="BR148" s="7">
        <v>0</v>
      </c>
      <c r="BS148" s="7">
        <v>0</v>
      </c>
      <c r="BT148" s="7">
        <v>0</v>
      </c>
      <c r="BU148" s="7">
        <v>0</v>
      </c>
      <c r="BV148" s="7">
        <v>0</v>
      </c>
      <c r="BW148" s="7">
        <v>0</v>
      </c>
      <c r="BX148" s="7">
        <v>0</v>
      </c>
      <c r="BY148" s="7">
        <v>0</v>
      </c>
      <c r="BZ148" s="7">
        <v>0</v>
      </c>
      <c r="CA148" s="7">
        <v>0</v>
      </c>
      <c r="CB148" s="7">
        <v>0</v>
      </c>
      <c r="CC148" s="7">
        <v>0</v>
      </c>
      <c r="CD148" s="7">
        <v>0</v>
      </c>
      <c r="CE148" s="7">
        <v>0</v>
      </c>
      <c r="CF148" s="7">
        <v>0</v>
      </c>
      <c r="CG148" s="7">
        <v>0</v>
      </c>
      <c r="CH148" s="7">
        <v>0</v>
      </c>
      <c r="CI148" s="7">
        <v>0</v>
      </c>
      <c r="CJ148" s="7">
        <v>0</v>
      </c>
      <c r="CK148" s="38">
        <f>VLOOKUP($B148,'abrasion emissions'!$O$7:$R$36,2,FALSE)</f>
        <v>0.33</v>
      </c>
      <c r="CL148" s="38">
        <f>VLOOKUP($B148,'abrasion emissions'!$O$7:$R$36,3,FALSE)</f>
        <v>0.33</v>
      </c>
      <c r="CM148" s="38">
        <f>VLOOKUP($B148,'abrasion emissions'!$O$7:$R$36,4,FALSE)</f>
        <v>0.33</v>
      </c>
      <c r="CN148" s="7">
        <f>((SUMIFS('abrasion emissions'!$M$7:$M$34,'abrasion emissions'!$I$7:$I$34,"PM 2.5",'abrasion emissions'!$J$7:$J$34,"urban",'abrasion emissions'!$K$7:$K$34,"Tyre",'abrasion emissions'!$L$7:$L$34,"b")*POWER(('vehicles specifications'!$Q148/1000),(1/SUMIFS('abrasion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specifications'!$P148/1000),(1/SUMIFS('abrasion emissions'!$M$7:$M$34,'abrasion emissions'!$I$7:$I$34,"PM 10",'abrasion emissions'!$J$7:$J$34,"urban",'abrasion emissions'!$K$7:$K$34,"Tyre",'abrasion emissions'!$L$7:$L$34,"c")))))/1000000</f>
        <v>9.0360971853240613E-6</v>
      </c>
      <c r="CO148" s="7">
        <f>((SUMIFS('abrasion emissions'!$M$7:$M$34,'abrasion emissions'!$I$7:$I$34,"PM 2.5",'abrasion emissions'!$J$7:$J$34,"rural",'abrasion emissions'!$K$7:$K$34,"Tyre",'abrasion emissions'!$L$7:$L$34,"b")*POWER(('vehicles specifications'!$Q148/1000),(1/SUMIFS('abrasion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specifications'!$P148/1000),(1/SUMIFS('abrasion emissions'!$M$7:$M$34,'abrasion emissions'!$I$7:$I$34,"PM 10",'abrasion emissions'!$J$7:$J$34,"rural",'abrasion emissions'!$K$7:$K$34,"Tyre",'abrasion emissions'!$L$7:$L$34,"c")))))/1000000</f>
        <v>7.0363280324702667E-6</v>
      </c>
      <c r="CP148" s="7">
        <f>((SUMIFS('abrasion emissions'!$M$7:$M$34,'abrasion emissions'!$I$7:$I$34,"PM 2.5",'abrasion emissions'!$J$7:$J$34,"motorway",'abrasion emissions'!$K$7:$K$34,"Tyre",'abrasion emissions'!$L$7:$L$34,"b")*POWER(('vehicles specifications'!$Q148/1000),(1/SUMIFS('abrasion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specifications'!$P148/1000),(1/SUMIFS('abrasion emissions'!$M$7:$M$34,'abrasion emissions'!$I$7:$I$34,"PM 10",'abrasion emissions'!$J$7:$J$34,"motorway",'abrasion emissions'!$K$7:$K$34,"Tyre",'abrasion emissions'!$L$7:$L$34,"c")))))/1000000</f>
        <v>6.0061861560847731E-6</v>
      </c>
      <c r="CQ148" s="7">
        <f>((SUMIFS('abrasion emissions'!$M$7:$M$34,'abrasion emissions'!$I$7:$I$34,"PM 2.5",'abrasion emissions'!$J$7:$J$34,"urban",'abrasion emissions'!$K$7:$K$34,"Brake",'abrasion emissions'!$L$7:$L$34,"b")*POWER(('vehicles specifications'!$Q148/1000),(1/SUMIFS('abrasion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specifications'!$P148/1000),(1/SUMIFS('abrasion emissions'!$M$7:$M$34,'abrasion emissions'!$I$7:$I$34,"PM 10",'abrasion emissions'!$J$7:$J$34,"urban",'abrasion emissions'!$K$7:$K$34,"Brake",'abrasion emissions'!$L$7:$L$34,"c")))))/1000000</f>
        <v>9.1088408826764166E-6</v>
      </c>
      <c r="CR148" s="7">
        <f>((SUMIFS('abrasion emissions'!$M$7:$M$34,'abrasion emissions'!$I$7:$I$34,"PM 2.5",'abrasion emissions'!$J$7:$J$34,"rural",'abrasion emissions'!$K$7:$K$34,"Brake",'abrasion emissions'!$L$7:$L$34,"b")*POWER(('vehicles specifications'!$Q148/1000),(1/SUMIFS('abrasion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specifications'!$P148/1000),(1/SUMIFS('abrasion emissions'!$M$7:$M$34,'abrasion emissions'!$I$7:$I$34,"PM 10",'abrasion emissions'!$J$7:$J$34,"rural",'abrasion emissions'!$K$7:$K$34,"Brake",'abrasion emissions'!$L$7:$L$34,"c")))))/1000000</f>
        <v>3.2903920147226761E-6</v>
      </c>
      <c r="CS148" s="7">
        <f>((SUMIFS('abrasion emissions'!$M$7:$M$34,'abrasion emissions'!$I$7:$I$34,"PM 2.5",'abrasion emissions'!$J$7:$J$34,"motorway",'abrasion emissions'!$K$7:$K$34,"Brake",'abrasion emissions'!$L$7:$L$34,"b")*POWER(('vehicles specifications'!$Q148/1000),(1/SUMIFS('abrasion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specifications'!$P148/1000),(1/SUMIFS('abrasion emissions'!$M$7:$M$34,'abrasion emissions'!$I$7:$I$34,"PM 10",'abrasion emissions'!$J$7:$J$34,"motorway",'abrasion emissions'!$K$7:$K$34,"Brake",'abrasion emissions'!$L$7:$L$34,"c")))))/1000000</f>
        <v>6.6197163170522606E-7</v>
      </c>
      <c r="CT148" s="7">
        <f>((SUMIFS('abrasion emissions'!$M$7:$M$38,'abrasion emissions'!$I$7:$I$38,"PM 2.5",'abrasion emissions'!$K$7:$K$38,"Re-susp.",'abrasion emissions'!$L$7:$L$38,"b")*POWER(('vehicles specifications'!$Q148/1000),(1/SUMIFS('abrasion emissions'!$M$7:$M$38,'abrasion emissions'!$I$7:$I$38,"PM 2.5",'abrasion emissions'!$K$7:$K$38,"Re-susp.",'abrasion emissions'!$L$7:$L$38,"c"))))+
(SUMIFS('abrasion emissions'!$M$7:$M$38,'abrasion emissions'!$I$7:$I$38,"PM 10",'abrasion emissions'!$K$7:$K$38,"Re-susp.",'abrasion emissions'!$L$7:$L$38,"b")*POWER(('vehicles specifications'!$Q148/1000),(1/SUMIFS('abrasion emissions'!$M$7:$M$38,'abrasion emissions'!$I$7:$I$38,"PM 10",'abrasion emissions'!$K$7:$K$38,"Re-susp.",'abrasion emissions'!$L$7:$L$38,"c")))))/1000000</f>
        <v>7.1861612978806318E-6</v>
      </c>
      <c r="CU148" s="7">
        <f>((SUMIFS('abrasion emissions'!$M$7:$M$38,'abrasion emissions'!$I$7:$I$38,"PM 2.5",'abrasion emissions'!$K$7:$K$38,"Road",'abrasion emissions'!$L$7:$L$38,"b")*POWER(('vehicles specifications'!$Q148/1000),(1/SUMIFS('abrasion emissions'!$M$7:$M$38,'abrasion emissions'!$I$7:$I$38,"PM 2.5",'abrasion emissions'!$K$7:$K$38,"Road",'abrasion emissions'!$L$7:$L$38,"c"))))+
(SUMIFS('abrasion emissions'!$M$7:$M$38,'abrasion emissions'!$I$7:$I$38,"PM 10",'abrasion emissions'!$K$7:$K$38,"Road",'abrasion emissions'!$L$7:$L$38,"b")*POWER(('vehicles specifications'!$Q148/1000),(1/SUMIFS('abrasion emissions'!$M$7:$M$38,'abrasion emissions'!$I$7:$I$38,"PM 10",'abrasion emissions'!$K$7:$K$38,"Road",'abrasion emissions'!$L$7:$L$38,"c")))))/1000000+CT148</f>
        <v>1.2755613159758067E-5</v>
      </c>
      <c r="CV148" s="7">
        <f t="shared" si="131"/>
        <v>7.2859417533801036E-6</v>
      </c>
      <c r="CW148" s="7">
        <f t="shared" si="132"/>
        <v>4.3101974946044252E-6</v>
      </c>
    </row>
    <row r="149" spans="1:101" x14ac:dyDescent="0.2">
      <c r="A149" t="str">
        <f t="shared" si="117"/>
        <v>Motorbike, electric, &gt;35kW - 2040 - LFP - CH</v>
      </c>
      <c r="B149" t="s">
        <v>270</v>
      </c>
      <c r="D149" s="18">
        <v>2040</v>
      </c>
      <c r="E149" t="s">
        <v>37</v>
      </c>
      <c r="F149" t="s">
        <v>138</v>
      </c>
      <c r="G149" t="s">
        <v>39</v>
      </c>
      <c r="H149" t="s">
        <v>32</v>
      </c>
      <c r="I149" t="s">
        <v>44</v>
      </c>
      <c r="J149">
        <v>40500</v>
      </c>
      <c r="K149">
        <v>2896</v>
      </c>
      <c r="L149" s="2">
        <f t="shared" si="118"/>
        <v>13.984806629834255</v>
      </c>
      <c r="M149">
        <v>1.1000000000000001</v>
      </c>
      <c r="N149">
        <v>75</v>
      </c>
      <c r="O149">
        <v>6</v>
      </c>
      <c r="P149" s="2">
        <f t="shared" si="119"/>
        <v>375.42333333333329</v>
      </c>
      <c r="Q149" s="2">
        <f t="shared" si="120"/>
        <v>463.92333333333329</v>
      </c>
      <c r="R149">
        <v>49</v>
      </c>
      <c r="S149" s="2">
        <v>111</v>
      </c>
      <c r="T149" s="1">
        <v>0.05</v>
      </c>
      <c r="U149" s="2">
        <f t="shared" si="105"/>
        <v>105.44999999999999</v>
      </c>
      <c r="V149" s="2">
        <v>13.74</v>
      </c>
      <c r="W149" s="2">
        <v>22.900000000000002</v>
      </c>
      <c r="X149" s="3">
        <v>35</v>
      </c>
      <c r="Y149" s="1">
        <v>0.8</v>
      </c>
      <c r="Z149" s="3">
        <f t="shared" si="121"/>
        <v>28</v>
      </c>
      <c r="AA149" s="3">
        <f>IF(I149&lt;&gt;"",X149/INDEX('energy battery'!$B$3:$D$6,MATCH('vehicles specifications'!$D149,'energy battery'!$A$3:$A$6,0),MATCH('vehicles specifications'!$I149,'energy battery'!$B$2:$D$2,0)),"")</f>
        <v>194.44444444444446</v>
      </c>
      <c r="AB149" s="3">
        <f t="shared" si="138"/>
        <v>38.888888888888893</v>
      </c>
      <c r="AC149" s="3">
        <f t="shared" si="122"/>
        <v>233.33333333333334</v>
      </c>
      <c r="AD149" s="3">
        <v>0.25</v>
      </c>
      <c r="AE149" s="3">
        <v>0</v>
      </c>
      <c r="AF149">
        <f>AE149*'fuels and tailpipe emissions'!$B$3</f>
        <v>0</v>
      </c>
      <c r="AG149">
        <v>0</v>
      </c>
      <c r="AH149" s="3">
        <v>0</v>
      </c>
      <c r="AI149" s="3">
        <v>5</v>
      </c>
      <c r="AJ149" s="3">
        <v>1</v>
      </c>
      <c r="AK149">
        <f t="shared" si="129"/>
        <v>1.62</v>
      </c>
      <c r="AL149">
        <f t="shared" si="123"/>
        <v>2.4912683E-4</v>
      </c>
      <c r="AM149">
        <v>1.2899999999999999E-3</v>
      </c>
      <c r="AN149" s="2">
        <f t="shared" si="124"/>
        <v>105.44999999999999</v>
      </c>
      <c r="AO149" s="2">
        <f t="shared" si="125"/>
        <v>36.64</v>
      </c>
      <c r="AP149" s="2">
        <f t="shared" si="126"/>
        <v>233.33333333333334</v>
      </c>
      <c r="AQ149" s="6" t="s">
        <v>85</v>
      </c>
      <c r="AR149" s="20"/>
      <c r="AS149" s="6">
        <v>0.27473182101357863</v>
      </c>
      <c r="AT149" s="2">
        <f t="shared" si="130"/>
        <v>366.90325724961417</v>
      </c>
      <c r="AU149" s="5">
        <v>0</v>
      </c>
      <c r="AV149" s="5">
        <v>0</v>
      </c>
      <c r="AW149" s="7">
        <v>0</v>
      </c>
      <c r="AX149" s="7">
        <v>0</v>
      </c>
      <c r="AY149" s="7">
        <v>0</v>
      </c>
      <c r="AZ149" s="7">
        <v>0</v>
      </c>
      <c r="BA149" s="7">
        <v>0</v>
      </c>
      <c r="BB149" s="7">
        <v>0</v>
      </c>
      <c r="BC149" s="7">
        <v>0</v>
      </c>
      <c r="BD149" s="7">
        <v>0</v>
      </c>
      <c r="BE149" s="7">
        <v>0</v>
      </c>
      <c r="BF149" s="7">
        <v>0</v>
      </c>
      <c r="BG149" s="7">
        <v>0</v>
      </c>
      <c r="BH149" s="7">
        <v>0</v>
      </c>
      <c r="BI149" s="7">
        <v>0</v>
      </c>
      <c r="BJ149" s="7">
        <v>0</v>
      </c>
      <c r="BK149" s="7">
        <v>0</v>
      </c>
      <c r="BL149" s="7">
        <v>0</v>
      </c>
      <c r="BM149" s="7">
        <v>0</v>
      </c>
      <c r="BN149" s="7">
        <v>0</v>
      </c>
      <c r="BO149" s="7">
        <v>0</v>
      </c>
      <c r="BP149" s="7">
        <v>0</v>
      </c>
      <c r="BQ149" s="7">
        <v>0</v>
      </c>
      <c r="BR149" s="7">
        <v>0</v>
      </c>
      <c r="BS149" s="7">
        <v>0</v>
      </c>
      <c r="BT149" s="7">
        <v>0</v>
      </c>
      <c r="BU149" s="7">
        <v>0</v>
      </c>
      <c r="BV149" s="7">
        <v>0</v>
      </c>
      <c r="BW149" s="7">
        <v>0</v>
      </c>
      <c r="BX149" s="7">
        <v>0</v>
      </c>
      <c r="BY149" s="7">
        <v>0</v>
      </c>
      <c r="BZ149" s="7">
        <v>0</v>
      </c>
      <c r="CA149" s="7">
        <v>0</v>
      </c>
      <c r="CB149" s="7">
        <v>0</v>
      </c>
      <c r="CC149" s="7">
        <v>0</v>
      </c>
      <c r="CD149" s="7">
        <v>0</v>
      </c>
      <c r="CE149" s="7">
        <v>0</v>
      </c>
      <c r="CF149" s="7">
        <v>0</v>
      </c>
      <c r="CG149" s="7">
        <v>0</v>
      </c>
      <c r="CH149" s="7">
        <v>0</v>
      </c>
      <c r="CI149" s="7">
        <v>0</v>
      </c>
      <c r="CJ149" s="7">
        <v>0</v>
      </c>
      <c r="CK149" s="38">
        <f>VLOOKUP($B149,'abrasion emissions'!$O$7:$R$36,2,FALSE)</f>
        <v>0.33</v>
      </c>
      <c r="CL149" s="38">
        <f>VLOOKUP($B149,'abrasion emissions'!$O$7:$R$36,3,FALSE)</f>
        <v>0.33</v>
      </c>
      <c r="CM149" s="38">
        <f>VLOOKUP($B149,'abrasion emissions'!$O$7:$R$36,4,FALSE)</f>
        <v>0.33</v>
      </c>
      <c r="CN149" s="7">
        <f>((SUMIFS('abrasion emissions'!$M$7:$M$34,'abrasion emissions'!$I$7:$I$34,"PM 2.5",'abrasion emissions'!$J$7:$J$34,"urban",'abrasion emissions'!$K$7:$K$34,"Tyre",'abrasion emissions'!$L$7:$L$34,"b")*POWER(('vehicles specifications'!$Q149/1000),(1/SUMIFS('abrasion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specifications'!$P149/1000),(1/SUMIFS('abrasion emissions'!$M$7:$M$34,'abrasion emissions'!$I$7:$I$34,"PM 10",'abrasion emissions'!$J$7:$J$34,"urban",'abrasion emissions'!$K$7:$K$34,"Tyre",'abrasion emissions'!$L$7:$L$34,"c")))))/1000000</f>
        <v>9.6602976169098399E-6</v>
      </c>
      <c r="CO149" s="7">
        <f>((SUMIFS('abrasion emissions'!$M$7:$M$34,'abrasion emissions'!$I$7:$I$34,"PM 2.5",'abrasion emissions'!$J$7:$J$34,"rural",'abrasion emissions'!$K$7:$K$34,"Tyre",'abrasion emissions'!$L$7:$L$34,"b")*POWER(('vehicles specifications'!$Q149/1000),(1/SUMIFS('abrasion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specifications'!$P149/1000),(1/SUMIFS('abrasion emissions'!$M$7:$M$34,'abrasion emissions'!$I$7:$I$34,"PM 10",'abrasion emissions'!$J$7:$J$34,"rural",'abrasion emissions'!$K$7:$K$34,"Tyre",'abrasion emissions'!$L$7:$L$34,"c")))))/1000000</f>
        <v>7.5222210936765768E-6</v>
      </c>
      <c r="CP149" s="7">
        <f>((SUMIFS('abrasion emissions'!$M$7:$M$34,'abrasion emissions'!$I$7:$I$34,"PM 2.5",'abrasion emissions'!$J$7:$J$34,"motorway",'abrasion emissions'!$K$7:$K$34,"Tyre",'abrasion emissions'!$L$7:$L$34,"b")*POWER(('vehicles specifications'!$Q149/1000),(1/SUMIFS('abrasion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specifications'!$P149/1000),(1/SUMIFS('abrasion emissions'!$M$7:$M$34,'abrasion emissions'!$I$7:$I$34,"PM 10",'abrasion emissions'!$J$7:$J$34,"motorway",'abrasion emissions'!$K$7:$K$34,"Tyre",'abrasion emissions'!$L$7:$L$34,"c")))))/1000000</f>
        <v>6.4205256093156144E-6</v>
      </c>
      <c r="CQ149" s="7">
        <f>((SUMIFS('abrasion emissions'!$M$7:$M$34,'abrasion emissions'!$I$7:$I$34,"PM 2.5",'abrasion emissions'!$J$7:$J$34,"urban",'abrasion emissions'!$K$7:$K$34,"Brake",'abrasion emissions'!$L$7:$L$34,"b")*POWER(('vehicles specifications'!$Q149/1000),(1/SUMIFS('abrasion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specifications'!$P149/1000),(1/SUMIFS('abrasion emissions'!$M$7:$M$34,'abrasion emissions'!$I$7:$I$34,"PM 10",'abrasion emissions'!$J$7:$J$34,"urban",'abrasion emissions'!$K$7:$K$34,"Brake",'abrasion emissions'!$L$7:$L$34,"c")))))/1000000</f>
        <v>9.8503170955805575E-6</v>
      </c>
      <c r="CR149" s="7">
        <f>((SUMIFS('abrasion emissions'!$M$7:$M$34,'abrasion emissions'!$I$7:$I$34,"PM 2.5",'abrasion emissions'!$J$7:$J$34,"rural",'abrasion emissions'!$K$7:$K$34,"Brake",'abrasion emissions'!$L$7:$L$34,"b")*POWER(('vehicles specifications'!$Q149/1000),(1/SUMIFS('abrasion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specifications'!$P149/1000),(1/SUMIFS('abrasion emissions'!$M$7:$M$34,'abrasion emissions'!$I$7:$I$34,"PM 10",'abrasion emissions'!$J$7:$J$34,"rural",'abrasion emissions'!$K$7:$K$34,"Brake",'abrasion emissions'!$L$7:$L$34,"c")))))/1000000</f>
        <v>3.633508418497893E-6</v>
      </c>
      <c r="CS149" s="7">
        <f>((SUMIFS('abrasion emissions'!$M$7:$M$34,'abrasion emissions'!$I$7:$I$34,"PM 2.5",'abrasion emissions'!$J$7:$J$34,"motorway",'abrasion emissions'!$K$7:$K$34,"Brake",'abrasion emissions'!$L$7:$L$34,"b")*POWER(('vehicles specifications'!$Q149/1000),(1/SUMIFS('abrasion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specifications'!$P149/1000),(1/SUMIFS('abrasion emissions'!$M$7:$M$34,'abrasion emissions'!$I$7:$I$34,"PM 10",'abrasion emissions'!$J$7:$J$34,"motorway",'abrasion emissions'!$K$7:$K$34,"Brake",'abrasion emissions'!$L$7:$L$34,"c")))))/1000000</f>
        <v>7.4215031198572626E-7</v>
      </c>
      <c r="CT149" s="7">
        <f>((SUMIFS('abrasion emissions'!$M$7:$M$38,'abrasion emissions'!$I$7:$I$38,"PM 2.5",'abrasion emissions'!$K$7:$K$38,"Re-susp.",'abrasion emissions'!$L$7:$L$38,"b")*POWER(('vehicles specifications'!$Q149/1000),(1/SUMIFS('abrasion emissions'!$M$7:$M$38,'abrasion emissions'!$I$7:$I$38,"PM 2.5",'abrasion emissions'!$K$7:$K$38,"Re-susp.",'abrasion emissions'!$L$7:$L$38,"c"))))+
(SUMIFS('abrasion emissions'!$M$7:$M$38,'abrasion emissions'!$I$7:$I$38,"PM 10",'abrasion emissions'!$K$7:$K$38,"Re-susp.",'abrasion emissions'!$L$7:$L$38,"b")*POWER(('vehicles specifications'!$Q149/1000),(1/SUMIFS('abrasion emissions'!$M$7:$M$38,'abrasion emissions'!$I$7:$I$38,"PM 10",'abrasion emissions'!$K$7:$K$38,"Re-susp.",'abrasion emissions'!$L$7:$L$38,"c")))))/1000000</f>
        <v>8.1585529311578308E-6</v>
      </c>
      <c r="CU149" s="7">
        <f>((SUMIFS('abrasion emissions'!$M$7:$M$38,'abrasion emissions'!$I$7:$I$38,"PM 2.5",'abrasion emissions'!$K$7:$K$38,"Road",'abrasion emissions'!$L$7:$L$38,"b")*POWER(('vehicles specifications'!$Q149/1000),(1/SUMIFS('abrasion emissions'!$M$7:$M$38,'abrasion emissions'!$I$7:$I$38,"PM 2.5",'abrasion emissions'!$K$7:$K$38,"Road",'abrasion emissions'!$L$7:$L$38,"c"))))+
(SUMIFS('abrasion emissions'!$M$7:$M$38,'abrasion emissions'!$I$7:$I$38,"PM 10",'abrasion emissions'!$K$7:$K$38,"Road",'abrasion emissions'!$L$7:$L$38,"b")*POWER(('vehicles specifications'!$Q149/1000),(1/SUMIFS('abrasion emissions'!$M$7:$M$38,'abrasion emissions'!$I$7:$I$38,"PM 10",'abrasion emissions'!$K$7:$K$38,"Road",'abrasion emissions'!$L$7:$L$38,"c")))))/1000000+CT149</f>
        <v>1.4271223382393738E-5</v>
      </c>
      <c r="CV149" s="7">
        <f t="shared" si="131"/>
        <v>7.7890046255676709E-6</v>
      </c>
      <c r="CW149" s="7">
        <f t="shared" si="132"/>
        <v>4.6945720226011785E-6</v>
      </c>
    </row>
    <row r="150" spans="1:101" x14ac:dyDescent="0.2">
      <c r="A150" t="str">
        <f t="shared" si="117"/>
        <v>Motorbike, electric, &gt;35kW - 2050 - LFP - CH</v>
      </c>
      <c r="B150" t="s">
        <v>270</v>
      </c>
      <c r="D150" s="18">
        <v>2050</v>
      </c>
      <c r="E150" t="s">
        <v>37</v>
      </c>
      <c r="F150" t="s">
        <v>138</v>
      </c>
      <c r="G150" t="s">
        <v>39</v>
      </c>
      <c r="H150" t="s">
        <v>32</v>
      </c>
      <c r="I150" t="s">
        <v>44</v>
      </c>
      <c r="J150">
        <v>40500</v>
      </c>
      <c r="K150">
        <v>2896</v>
      </c>
      <c r="L150" s="2">
        <f t="shared" si="118"/>
        <v>13.984806629834255</v>
      </c>
      <c r="M150">
        <v>1.1000000000000001</v>
      </c>
      <c r="N150">
        <v>75</v>
      </c>
      <c r="O150">
        <v>6</v>
      </c>
      <c r="P150" s="2">
        <f t="shared" si="119"/>
        <v>406.87</v>
      </c>
      <c r="Q150" s="2">
        <f t="shared" si="120"/>
        <v>495.37</v>
      </c>
      <c r="R150">
        <v>49</v>
      </c>
      <c r="S150" s="2">
        <v>111</v>
      </c>
      <c r="T150" s="1">
        <v>7.0000000000000007E-2</v>
      </c>
      <c r="U150" s="2">
        <f t="shared" si="105"/>
        <v>103.22999999999999</v>
      </c>
      <c r="V150" s="2">
        <v>13.74</v>
      </c>
      <c r="W150" s="2">
        <v>22.900000000000002</v>
      </c>
      <c r="X150" s="3">
        <v>44.5</v>
      </c>
      <c r="Y150" s="1">
        <v>0.8</v>
      </c>
      <c r="Z150" s="3">
        <f t="shared" si="121"/>
        <v>35.6</v>
      </c>
      <c r="AA150" s="3">
        <f>IF(I150&lt;&gt;"",X150/INDEX('energy battery'!$B$3:$D$6,MATCH('vehicles specifications'!$D150,'energy battery'!$A$3:$A$6,0),MATCH('vehicles specifications'!$I150,'energy battery'!$B$2:$D$2,0)),"")</f>
        <v>222.5</v>
      </c>
      <c r="AB150" s="3">
        <f t="shared" si="138"/>
        <v>44.5</v>
      </c>
      <c r="AC150" s="3">
        <f t="shared" si="122"/>
        <v>267</v>
      </c>
      <c r="AD150" s="3">
        <v>0</v>
      </c>
      <c r="AE150" s="3">
        <v>0</v>
      </c>
      <c r="AF150">
        <f>AE150*'fuels and tailpipe emissions'!$B$3</f>
        <v>0</v>
      </c>
      <c r="AG150">
        <v>0</v>
      </c>
      <c r="AH150" s="3">
        <v>0</v>
      </c>
      <c r="AI150" s="3">
        <v>5</v>
      </c>
      <c r="AJ150" s="3">
        <v>1</v>
      </c>
      <c r="AK150">
        <f t="shared" si="129"/>
        <v>1.62</v>
      </c>
      <c r="AL150">
        <f t="shared" si="123"/>
        <v>2.6601369000000001E-4</v>
      </c>
      <c r="AM150">
        <v>1.2899999999999999E-3</v>
      </c>
      <c r="AN150" s="2">
        <f t="shared" si="124"/>
        <v>103.22999999999999</v>
      </c>
      <c r="AO150" s="2">
        <f t="shared" si="125"/>
        <v>36.64</v>
      </c>
      <c r="AP150" s="2">
        <f t="shared" si="126"/>
        <v>267</v>
      </c>
      <c r="AQ150" s="6" t="s">
        <v>85</v>
      </c>
      <c r="AR150" s="20"/>
      <c r="AS150" s="6">
        <v>0.27473182101357863</v>
      </c>
      <c r="AT150" s="2">
        <f t="shared" si="130"/>
        <v>466.49128421736663</v>
      </c>
      <c r="AU150" s="5">
        <v>0</v>
      </c>
      <c r="AV150" s="5">
        <v>0</v>
      </c>
      <c r="AW150" s="7">
        <v>0</v>
      </c>
      <c r="AX150" s="7">
        <v>0</v>
      </c>
      <c r="AY150" s="7">
        <v>0</v>
      </c>
      <c r="AZ150" s="7">
        <v>0</v>
      </c>
      <c r="BA150" s="7">
        <v>0</v>
      </c>
      <c r="BB150" s="7">
        <v>0</v>
      </c>
      <c r="BC150" s="7">
        <v>0</v>
      </c>
      <c r="BD150" s="7">
        <v>0</v>
      </c>
      <c r="BE150" s="7">
        <v>0</v>
      </c>
      <c r="BF150" s="7">
        <v>0</v>
      </c>
      <c r="BG150" s="7">
        <v>0</v>
      </c>
      <c r="BH150" s="7">
        <v>0</v>
      </c>
      <c r="BI150" s="7">
        <v>0</v>
      </c>
      <c r="BJ150" s="7">
        <v>0</v>
      </c>
      <c r="BK150" s="7">
        <v>0</v>
      </c>
      <c r="BL150" s="7">
        <v>0</v>
      </c>
      <c r="BM150" s="7">
        <v>0</v>
      </c>
      <c r="BN150" s="7">
        <v>0</v>
      </c>
      <c r="BO150" s="7">
        <v>0</v>
      </c>
      <c r="BP150" s="7">
        <v>0</v>
      </c>
      <c r="BQ150" s="7">
        <v>0</v>
      </c>
      <c r="BR150" s="7">
        <v>0</v>
      </c>
      <c r="BS150" s="7">
        <v>0</v>
      </c>
      <c r="BT150" s="7">
        <v>0</v>
      </c>
      <c r="BU150" s="7">
        <v>0</v>
      </c>
      <c r="BV150" s="7">
        <v>0</v>
      </c>
      <c r="BW150" s="7">
        <v>0</v>
      </c>
      <c r="BX150" s="7">
        <v>0</v>
      </c>
      <c r="BY150" s="7">
        <v>0</v>
      </c>
      <c r="BZ150" s="7">
        <v>0</v>
      </c>
      <c r="CA150" s="7">
        <v>0</v>
      </c>
      <c r="CB150" s="7">
        <v>0</v>
      </c>
      <c r="CC150" s="7">
        <v>0</v>
      </c>
      <c r="CD150" s="7">
        <v>0</v>
      </c>
      <c r="CE150" s="7">
        <v>0</v>
      </c>
      <c r="CF150" s="7">
        <v>0</v>
      </c>
      <c r="CG150" s="7">
        <v>0</v>
      </c>
      <c r="CH150" s="7">
        <v>0</v>
      </c>
      <c r="CI150" s="7">
        <v>0</v>
      </c>
      <c r="CJ150" s="7">
        <v>0</v>
      </c>
      <c r="CK150" s="38">
        <f>VLOOKUP($B150,'abrasion emissions'!$O$7:$R$36,2,FALSE)</f>
        <v>0.33</v>
      </c>
      <c r="CL150" s="38">
        <f>VLOOKUP($B150,'abrasion emissions'!$O$7:$R$36,3,FALSE)</f>
        <v>0.33</v>
      </c>
      <c r="CM150" s="38">
        <f>VLOOKUP($B150,'abrasion emissions'!$O$7:$R$36,4,FALSE)</f>
        <v>0.33</v>
      </c>
      <c r="CN150" s="7">
        <f>((SUMIFS('abrasion emissions'!$M$7:$M$34,'abrasion emissions'!$I$7:$I$34,"PM 2.5",'abrasion emissions'!$J$7:$J$34,"urban",'abrasion emissions'!$K$7:$K$34,"Tyre",'abrasion emissions'!$L$7:$L$34,"b")*POWER(('vehicles specifications'!$Q150/1000),(1/SUMIFS('abrasion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specifications'!$P150/1000),(1/SUMIFS('abrasion emissions'!$M$7:$M$34,'abrasion emissions'!$I$7:$I$34,"PM 10",'abrasion emissions'!$J$7:$J$34,"urban",'abrasion emissions'!$K$7:$K$34,"Tyre",'abrasion emissions'!$L$7:$L$34,"c")))))/1000000</f>
        <v>9.9649852174395537E-6</v>
      </c>
      <c r="CO150" s="7">
        <f>((SUMIFS('abrasion emissions'!$M$7:$M$34,'abrasion emissions'!$I$7:$I$34,"PM 2.5",'abrasion emissions'!$J$7:$J$34,"rural",'abrasion emissions'!$K$7:$K$34,"Tyre",'abrasion emissions'!$L$7:$L$34,"b")*POWER(('vehicles specifications'!$Q150/1000),(1/SUMIFS('abrasion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specifications'!$P150/1000),(1/SUMIFS('abrasion emissions'!$M$7:$M$34,'abrasion emissions'!$I$7:$I$34,"PM 10",'abrasion emissions'!$J$7:$J$34,"rural",'abrasion emissions'!$K$7:$K$34,"Tyre",'abrasion emissions'!$L$7:$L$34,"c")))))/1000000</f>
        <v>7.7594023499964561E-6</v>
      </c>
      <c r="CP150" s="7">
        <f>((SUMIFS('abrasion emissions'!$M$7:$M$34,'abrasion emissions'!$I$7:$I$34,"PM 2.5",'abrasion emissions'!$J$7:$J$34,"motorway",'abrasion emissions'!$K$7:$K$34,"Tyre",'abrasion emissions'!$L$7:$L$34,"b")*POWER(('vehicles specifications'!$Q150/1000),(1/SUMIFS('abrasion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specifications'!$P150/1000),(1/SUMIFS('abrasion emissions'!$M$7:$M$34,'abrasion emissions'!$I$7:$I$34,"PM 10",'abrasion emissions'!$J$7:$J$34,"motorway",'abrasion emissions'!$K$7:$K$34,"Tyre",'abrasion emissions'!$L$7:$L$34,"c")))))/1000000</f>
        <v>6.6227913431744041E-6</v>
      </c>
      <c r="CQ150" s="7">
        <f>((SUMIFS('abrasion emissions'!$M$7:$M$34,'abrasion emissions'!$I$7:$I$34,"PM 2.5",'abrasion emissions'!$J$7:$J$34,"urban",'abrasion emissions'!$K$7:$K$34,"Brake",'abrasion emissions'!$L$7:$L$34,"b")*POWER(('vehicles specifications'!$Q150/1000),(1/SUMIFS('abrasion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specifications'!$P150/1000),(1/SUMIFS('abrasion emissions'!$M$7:$M$34,'abrasion emissions'!$I$7:$I$34,"PM 10",'abrasion emissions'!$J$7:$J$34,"urban",'abrasion emissions'!$K$7:$K$34,"Brake",'abrasion emissions'!$L$7:$L$34,"c")))))/1000000</f>
        <v>1.0216649017360471E-5</v>
      </c>
      <c r="CR150" s="7">
        <f>((SUMIFS('abrasion emissions'!$M$7:$M$34,'abrasion emissions'!$I$7:$I$34,"PM 2.5",'abrasion emissions'!$J$7:$J$34,"rural",'abrasion emissions'!$K$7:$K$34,"Brake",'abrasion emissions'!$L$7:$L$34,"b")*POWER(('vehicles specifications'!$Q150/1000),(1/SUMIFS('abrasion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specifications'!$P150/1000),(1/SUMIFS('abrasion emissions'!$M$7:$M$34,'abrasion emissions'!$I$7:$I$34,"PM 10",'abrasion emissions'!$J$7:$J$34,"rural",'abrasion emissions'!$K$7:$K$34,"Brake",'abrasion emissions'!$L$7:$L$34,"c")))))/1000000</f>
        <v>3.805642323742952E-6</v>
      </c>
      <c r="CS150" s="7">
        <f>((SUMIFS('abrasion emissions'!$M$7:$M$34,'abrasion emissions'!$I$7:$I$34,"PM 2.5",'abrasion emissions'!$J$7:$J$34,"motorway",'abrasion emissions'!$K$7:$K$34,"Brake",'abrasion emissions'!$L$7:$L$34,"b")*POWER(('vehicles specifications'!$Q150/1000),(1/SUMIFS('abrasion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specifications'!$P150/1000),(1/SUMIFS('abrasion emissions'!$M$7:$M$34,'abrasion emissions'!$I$7:$I$34,"PM 10",'abrasion emissions'!$J$7:$J$34,"motorway",'abrasion emissions'!$K$7:$K$34,"Brake",'abrasion emissions'!$L$7:$L$34,"c")))))/1000000</f>
        <v>7.8282812573796634E-7</v>
      </c>
      <c r="CT150" s="7">
        <f>((SUMIFS('abrasion emissions'!$M$7:$M$38,'abrasion emissions'!$I$7:$I$38,"PM 2.5",'abrasion emissions'!$K$7:$K$38,"Re-susp.",'abrasion emissions'!$L$7:$L$38,"b")*POWER(('vehicles specifications'!$Q150/1000),(1/SUMIFS('abrasion emissions'!$M$7:$M$38,'abrasion emissions'!$I$7:$I$38,"PM 2.5",'abrasion emissions'!$K$7:$K$38,"Re-susp.",'abrasion emissions'!$L$7:$L$38,"c"))))+
(SUMIFS('abrasion emissions'!$M$7:$M$38,'abrasion emissions'!$I$7:$I$38,"PM 10",'abrasion emissions'!$K$7:$K$38,"Re-susp.",'abrasion emissions'!$L$7:$L$38,"b")*POWER(('vehicles specifications'!$Q150/1000),(1/SUMIFS('abrasion emissions'!$M$7:$M$38,'abrasion emissions'!$I$7:$I$38,"PM 10",'abrasion emissions'!$K$7:$K$38,"Re-susp.",'abrasion emissions'!$L$7:$L$38,"c")))))/1000000</f>
        <v>8.6597870657772438E-6</v>
      </c>
      <c r="CU150" s="7">
        <f>((SUMIFS('abrasion emissions'!$M$7:$M$38,'abrasion emissions'!$I$7:$I$38,"PM 2.5",'abrasion emissions'!$K$7:$K$38,"Road",'abrasion emissions'!$L$7:$L$38,"b")*POWER(('vehicles specifications'!$Q150/1000),(1/SUMIFS('abrasion emissions'!$M$7:$M$38,'abrasion emissions'!$I$7:$I$38,"PM 2.5",'abrasion emissions'!$K$7:$K$38,"Road",'abrasion emissions'!$L$7:$L$38,"c"))))+
(SUMIFS('abrasion emissions'!$M$7:$M$38,'abrasion emissions'!$I$7:$I$38,"PM 10",'abrasion emissions'!$K$7:$K$38,"Road",'abrasion emissions'!$L$7:$L$38,"b")*POWER(('vehicles specifications'!$Q150/1000),(1/SUMIFS('abrasion emissions'!$M$7:$M$38,'abrasion emissions'!$I$7:$I$38,"PM 10",'abrasion emissions'!$K$7:$K$38,"Road",'abrasion emissions'!$L$7:$L$38,"c")))))/1000000+CT150</f>
        <v>1.5045655592632479E-5</v>
      </c>
      <c r="CV150" s="7">
        <f t="shared" si="131"/>
        <v>8.0345690405014372E-6</v>
      </c>
      <c r="CW150" s="7">
        <f t="shared" si="132"/>
        <v>4.8856894240576595E-6</v>
      </c>
    </row>
    <row r="151" spans="1:101" x14ac:dyDescent="0.2">
      <c r="A151" t="str">
        <f t="shared" si="114"/>
        <v>Motorbike, electric, &lt;4kW - 2020 - NCA - CH</v>
      </c>
      <c r="B151" t="s">
        <v>267</v>
      </c>
      <c r="D151" s="18">
        <v>2020</v>
      </c>
      <c r="E151" t="s">
        <v>37</v>
      </c>
      <c r="F151" t="s">
        <v>138</v>
      </c>
      <c r="G151" t="s">
        <v>39</v>
      </c>
      <c r="H151" t="s">
        <v>32</v>
      </c>
      <c r="I151" t="s">
        <v>45</v>
      </c>
      <c r="J151">
        <v>25000</v>
      </c>
      <c r="K151">
        <v>1776</v>
      </c>
      <c r="L151" s="2">
        <f t="shared" si="108"/>
        <v>14.076576576576576</v>
      </c>
      <c r="M151">
        <v>1.1000000000000001</v>
      </c>
      <c r="N151">
        <v>75</v>
      </c>
      <c r="O151">
        <v>6</v>
      </c>
      <c r="P151" s="2">
        <f t="shared" si="64"/>
        <v>75.173913043478265</v>
      </c>
      <c r="Q151" s="2">
        <f t="shared" si="109"/>
        <v>163.67391304347825</v>
      </c>
      <c r="R151">
        <v>2.5</v>
      </c>
      <c r="S151" s="2">
        <v>53</v>
      </c>
      <c r="T151" s="1">
        <v>0</v>
      </c>
      <c r="U151" s="2">
        <f t="shared" ref="U151:U166" si="139">S151*(1-T151)</f>
        <v>53</v>
      </c>
      <c r="V151" s="2">
        <v>4.5</v>
      </c>
      <c r="W151" s="2">
        <v>7.5</v>
      </c>
      <c r="X151" s="3">
        <v>1.8</v>
      </c>
      <c r="Y151" s="1">
        <v>0.8</v>
      </c>
      <c r="Z151" s="3">
        <f t="shared" si="110"/>
        <v>1.4400000000000002</v>
      </c>
      <c r="AA151" s="3">
        <f>IF(I151&lt;&gt;"",X151/INDEX('energy battery'!$B$3:$D$6,MATCH('vehicles specifications'!$D151,'energy battery'!$A$3:$A$6,0),MATCH('vehicles specifications'!$I151,'energy battery'!$B$2:$D$2,0)),"")</f>
        <v>7.8260869565217392</v>
      </c>
      <c r="AB151" s="3">
        <f t="shared" si="115"/>
        <v>2.3478260869565215</v>
      </c>
      <c r="AC151" s="3">
        <f t="shared" si="116"/>
        <v>10.173913043478262</v>
      </c>
      <c r="AD151" s="3">
        <v>1</v>
      </c>
      <c r="AE151" s="3">
        <v>0</v>
      </c>
      <c r="AF151">
        <f>AE151*'fuels and tailpipe emissions'!$B$3</f>
        <v>0</v>
      </c>
      <c r="AG151">
        <v>0</v>
      </c>
      <c r="AH151" s="3">
        <v>0</v>
      </c>
      <c r="AI151" s="3">
        <v>3</v>
      </c>
      <c r="AJ151" s="3">
        <v>1</v>
      </c>
      <c r="AK151">
        <f t="shared" si="129"/>
        <v>1</v>
      </c>
      <c r="AL151">
        <f t="shared" si="65"/>
        <v>8.7892891304347824E-5</v>
      </c>
      <c r="AM151">
        <v>1.2899999999999999E-3</v>
      </c>
      <c r="AN151" s="2">
        <f t="shared" si="111"/>
        <v>53</v>
      </c>
      <c r="AO151" s="2">
        <f t="shared" si="112"/>
        <v>12</v>
      </c>
      <c r="AP151" s="2">
        <f t="shared" si="113"/>
        <v>10.173913043478262</v>
      </c>
      <c r="AQ151" s="6" t="s">
        <v>85</v>
      </c>
      <c r="AR151" s="20"/>
      <c r="AS151" s="6">
        <v>0.121</v>
      </c>
      <c r="AT151" s="2">
        <f t="shared" si="130"/>
        <v>42.842975206611577</v>
      </c>
      <c r="AU151" s="5">
        <v>0</v>
      </c>
      <c r="AV151" s="5">
        <v>0</v>
      </c>
      <c r="AW151" s="7">
        <v>0</v>
      </c>
      <c r="AX151" s="7">
        <v>0</v>
      </c>
      <c r="AY151" s="7">
        <v>0</v>
      </c>
      <c r="AZ151" s="7">
        <v>0</v>
      </c>
      <c r="BA151" s="7">
        <v>0</v>
      </c>
      <c r="BB151" s="7">
        <v>0</v>
      </c>
      <c r="BC151" s="7">
        <v>0</v>
      </c>
      <c r="BD151" s="7">
        <v>0</v>
      </c>
      <c r="BE151" s="7">
        <v>0</v>
      </c>
      <c r="BF151" s="7">
        <v>0</v>
      </c>
      <c r="BG151" s="7">
        <v>0</v>
      </c>
      <c r="BH151" s="7">
        <v>0</v>
      </c>
      <c r="BI151" s="7">
        <v>0</v>
      </c>
      <c r="BJ151" s="7">
        <v>0</v>
      </c>
      <c r="BK151" s="7">
        <v>0</v>
      </c>
      <c r="BL151" s="7">
        <v>0</v>
      </c>
      <c r="BM151" s="7">
        <v>0</v>
      </c>
      <c r="BN151" s="7">
        <v>0</v>
      </c>
      <c r="BO151" s="7">
        <v>0</v>
      </c>
      <c r="BP151" s="7">
        <v>0</v>
      </c>
      <c r="BQ151" s="7">
        <v>0</v>
      </c>
      <c r="BR151" s="7">
        <v>0</v>
      </c>
      <c r="BS151" s="7">
        <v>0</v>
      </c>
      <c r="BT151" s="7">
        <v>0</v>
      </c>
      <c r="BU151" s="7">
        <v>0</v>
      </c>
      <c r="BV151" s="7">
        <v>0</v>
      </c>
      <c r="BW151" s="7">
        <v>0</v>
      </c>
      <c r="BX151" s="7">
        <v>0</v>
      </c>
      <c r="BY151" s="7">
        <v>0</v>
      </c>
      <c r="BZ151" s="7">
        <v>0</v>
      </c>
      <c r="CA151" s="7">
        <v>0</v>
      </c>
      <c r="CB151" s="7">
        <v>0</v>
      </c>
      <c r="CC151" s="7">
        <v>0</v>
      </c>
      <c r="CD151" s="7">
        <v>0</v>
      </c>
      <c r="CE151" s="7">
        <v>0</v>
      </c>
      <c r="CF151" s="7">
        <v>0</v>
      </c>
      <c r="CG151" s="7">
        <v>0</v>
      </c>
      <c r="CH151" s="7">
        <v>0</v>
      </c>
      <c r="CI151" s="7">
        <v>0</v>
      </c>
      <c r="CJ151" s="7">
        <v>0</v>
      </c>
      <c r="CK151" s="38">
        <f>VLOOKUP($B151,'abrasion emissions'!$O$7:$R$36,2,FALSE)</f>
        <v>0.33</v>
      </c>
      <c r="CL151" s="38">
        <f>VLOOKUP($B151,'abrasion emissions'!$O$7:$R$36,3,FALSE)</f>
        <v>0.33</v>
      </c>
      <c r="CM151" s="38">
        <f>VLOOKUP($B151,'abrasion emissions'!$O$7:$R$36,4,FALSE)</f>
        <v>0.33</v>
      </c>
      <c r="CN151" s="7">
        <f>((SUMIFS('abrasion emissions'!$M$7:$M$34,'abrasion emissions'!$I$7:$I$34,"PM 2.5",'abrasion emissions'!$J$7:$J$34,"urban",'abrasion emissions'!$K$7:$K$34,"Tyre",'abrasion emissions'!$L$7:$L$34,"b")*POWER(('vehicles specifications'!$Q151/1000),(1/SUMIFS('abrasion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specifications'!$P151/1000),(1/SUMIFS('abrasion emissions'!$M$7:$M$34,'abrasion emissions'!$I$7:$I$34,"PM 10",'abrasion emissions'!$J$7:$J$34,"urban",'abrasion emissions'!$K$7:$K$34,"Tyre",'abrasion emissions'!$L$7:$L$34,"c")))))/1000000</f>
        <v>5.6156821906044701E-6</v>
      </c>
      <c r="CO151" s="7">
        <f>((SUMIFS('abrasion emissions'!$M$7:$M$34,'abrasion emissions'!$I$7:$I$34,"PM 2.5",'abrasion emissions'!$J$7:$J$34,"rural",'abrasion emissions'!$K$7:$K$34,"Tyre",'abrasion emissions'!$L$7:$L$34,"b")*POWER(('vehicles specifications'!$Q151/1000),(1/SUMIFS('abrasion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specifications'!$P151/1000),(1/SUMIFS('abrasion emissions'!$M$7:$M$34,'abrasion emissions'!$I$7:$I$34,"PM 10",'abrasion emissions'!$J$7:$J$34,"rural",'abrasion emissions'!$K$7:$K$34,"Tyre",'abrasion emissions'!$L$7:$L$34,"c")))))/1000000</f>
        <v>4.3742629855107792E-6</v>
      </c>
      <c r="CP151" s="7">
        <f>((SUMIFS('abrasion emissions'!$M$7:$M$34,'abrasion emissions'!$I$7:$I$34,"PM 2.5",'abrasion emissions'!$J$7:$J$34,"motorway",'abrasion emissions'!$K$7:$K$34,"Tyre",'abrasion emissions'!$L$7:$L$34,"b")*POWER(('vehicles specifications'!$Q151/1000),(1/SUMIFS('abrasion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specifications'!$P151/1000),(1/SUMIFS('abrasion emissions'!$M$7:$M$34,'abrasion emissions'!$I$7:$I$34,"PM 10",'abrasion emissions'!$J$7:$J$34,"motorway",'abrasion emissions'!$K$7:$K$34,"Tyre",'abrasion emissions'!$L$7:$L$34,"c")))))/1000000</f>
        <v>3.7373239423547912E-6</v>
      </c>
      <c r="CQ151" s="7">
        <f>((SUMIFS('abrasion emissions'!$M$7:$M$34,'abrasion emissions'!$I$7:$I$34,"PM 2.5",'abrasion emissions'!$J$7:$J$34,"urban",'abrasion emissions'!$K$7:$K$34,"Brake",'abrasion emissions'!$L$7:$L$34,"b")*POWER(('vehicles specifications'!$Q151/1000),(1/SUMIFS('abrasion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specifications'!$P151/1000),(1/SUMIFS('abrasion emissions'!$M$7:$M$34,'abrasion emissions'!$I$7:$I$34,"PM 10",'abrasion emissions'!$J$7:$J$34,"urban",'abrasion emissions'!$K$7:$K$34,"Brake",'abrasion emissions'!$L$7:$L$34,"c")))))/1000000</f>
        <v>5.3189766554808063E-6</v>
      </c>
      <c r="CR151" s="7">
        <f>((SUMIFS('abrasion emissions'!$M$7:$M$34,'abrasion emissions'!$I$7:$I$34,"PM 2.5",'abrasion emissions'!$J$7:$J$34,"rural",'abrasion emissions'!$K$7:$K$34,"Brake",'abrasion emissions'!$L$7:$L$34,"b")*POWER(('vehicles specifications'!$Q151/1000),(1/SUMIFS('abrasion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specifications'!$P151/1000),(1/SUMIFS('abrasion emissions'!$M$7:$M$34,'abrasion emissions'!$I$7:$I$34,"PM 10",'abrasion emissions'!$J$7:$J$34,"rural",'abrasion emissions'!$K$7:$K$34,"Brake",'abrasion emissions'!$L$7:$L$34,"c")))))/1000000</f>
        <v>1.6670917210498422E-6</v>
      </c>
      <c r="CS151" s="7">
        <f>((SUMIFS('abrasion emissions'!$M$7:$M$34,'abrasion emissions'!$I$7:$I$34,"PM 2.5",'abrasion emissions'!$J$7:$J$34,"motorway",'abrasion emissions'!$K$7:$K$34,"Brake",'abrasion emissions'!$L$7:$L$34,"b")*POWER(('vehicles specifications'!$Q151/1000),(1/SUMIFS('abrasion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specifications'!$P151/1000),(1/SUMIFS('abrasion emissions'!$M$7:$M$34,'abrasion emissions'!$I$7:$I$34,"PM 10",'abrasion emissions'!$J$7:$J$34,"motorway",'abrasion emissions'!$K$7:$K$34,"Brake",'abrasion emissions'!$L$7:$L$34,"c")))))/1000000</f>
        <v>3.0316246254759511E-7</v>
      </c>
      <c r="CT151" s="7">
        <f>((SUMIFS('abrasion emissions'!$M$7:$M$38,'abrasion emissions'!$I$7:$I$38,"PM 2.5",'abrasion emissions'!$K$7:$K$38,"Re-susp.",'abrasion emissions'!$L$7:$L$38,"b")*POWER(('vehicles specifications'!$Q151/1000),(1/SUMIFS('abrasion emissions'!$M$7:$M$38,'abrasion emissions'!$I$7:$I$38,"PM 2.5",'abrasion emissions'!$K$7:$K$38,"Re-susp.",'abrasion emissions'!$L$7:$L$38,"c"))))+
(SUMIFS('abrasion emissions'!$M$7:$M$38,'abrasion emissions'!$I$7:$I$38,"PM 10",'abrasion emissions'!$K$7:$K$38,"Re-susp.",'abrasion emissions'!$L$7:$L$38,"b")*POWER(('vehicles specifications'!$Q151/1000),(1/SUMIFS('abrasion emissions'!$M$7:$M$38,'abrasion emissions'!$I$7:$I$38,"PM 10",'abrasion emissions'!$K$7:$K$38,"Re-susp.",'abrasion emissions'!$L$7:$L$38,"c")))))/1000000</f>
        <v>3.1643151149878927E-6</v>
      </c>
      <c r="CU151" s="7">
        <f>((SUMIFS('abrasion emissions'!$M$7:$M$38,'abrasion emissions'!$I$7:$I$38,"PM 2.5",'abrasion emissions'!$K$7:$K$38,"Road",'abrasion emissions'!$L$7:$L$38,"b")*POWER(('vehicles specifications'!$Q151/1000),(1/SUMIFS('abrasion emissions'!$M$7:$M$38,'abrasion emissions'!$I$7:$I$38,"PM 2.5",'abrasion emissions'!$K$7:$K$38,"Road",'abrasion emissions'!$L$7:$L$38,"c"))))+
(SUMIFS('abrasion emissions'!$M$7:$M$38,'abrasion emissions'!$I$7:$I$38,"PM 10",'abrasion emissions'!$K$7:$K$38,"Road",'abrasion emissions'!$L$7:$L$38,"b")*POWER(('vehicles specifications'!$Q151/1000),(1/SUMIFS('abrasion emissions'!$M$7:$M$38,'abrasion emissions'!$I$7:$I$38,"PM 10",'abrasion emissions'!$K$7:$K$38,"Road",'abrasion emissions'!$L$7:$L$38,"c")))))/1000000+CT151</f>
        <v>6.2163288381961753E-6</v>
      </c>
      <c r="CV151" s="7">
        <f t="shared" si="131"/>
        <v>4.5299988090951134E-6</v>
      </c>
      <c r="CW151" s="7">
        <f t="shared" si="132"/>
        <v>2.4054461768958204E-6</v>
      </c>
    </row>
    <row r="152" spans="1:101" x14ac:dyDescent="0.2">
      <c r="A152" t="str">
        <f t="shared" si="114"/>
        <v>Motorbike, electric, &lt;4kW - 2030 - NCA - CH</v>
      </c>
      <c r="B152" t="s">
        <v>267</v>
      </c>
      <c r="D152" s="18">
        <v>2030</v>
      </c>
      <c r="E152" t="s">
        <v>37</v>
      </c>
      <c r="F152" t="s">
        <v>138</v>
      </c>
      <c r="G152" t="s">
        <v>39</v>
      </c>
      <c r="H152" t="s">
        <v>32</v>
      </c>
      <c r="I152" t="s">
        <v>45</v>
      </c>
      <c r="J152">
        <v>25000</v>
      </c>
      <c r="K152">
        <v>1776</v>
      </c>
      <c r="L152" s="2">
        <f t="shared" si="108"/>
        <v>14.076576576576576</v>
      </c>
      <c r="M152">
        <v>1.1000000000000001</v>
      </c>
      <c r="N152">
        <v>75</v>
      </c>
      <c r="O152">
        <v>6</v>
      </c>
      <c r="P152" s="2">
        <f t="shared" si="64"/>
        <v>77.276666666666671</v>
      </c>
      <c r="Q152" s="2">
        <f t="shared" si="109"/>
        <v>165.77666666666667</v>
      </c>
      <c r="R152">
        <v>2.5</v>
      </c>
      <c r="S152" s="2">
        <v>53</v>
      </c>
      <c r="T152" s="1">
        <v>0.03</v>
      </c>
      <c r="U152" s="2">
        <f t="shared" si="139"/>
        <v>51.41</v>
      </c>
      <c r="V152" s="2">
        <v>4.5</v>
      </c>
      <c r="W152" s="2">
        <v>7.5</v>
      </c>
      <c r="X152" s="3">
        <v>3.2</v>
      </c>
      <c r="Y152" s="1">
        <v>0.8</v>
      </c>
      <c r="Z152" s="3">
        <f t="shared" si="110"/>
        <v>2.5600000000000005</v>
      </c>
      <c r="AA152" s="3">
        <f>IF(I152&lt;&gt;"",X152/INDEX('energy battery'!$B$3:$D$6,MATCH('vehicles specifications'!$D152,'energy battery'!$A$3:$A$6,0),MATCH('vehicles specifications'!$I152,'energy battery'!$B$2:$D$2,0)),"")</f>
        <v>10.666666666666668</v>
      </c>
      <c r="AB152" s="3">
        <f t="shared" si="115"/>
        <v>3.2</v>
      </c>
      <c r="AC152" s="3">
        <f t="shared" si="116"/>
        <v>13.866666666666667</v>
      </c>
      <c r="AD152" s="3">
        <v>0.5</v>
      </c>
      <c r="AE152" s="3">
        <v>0</v>
      </c>
      <c r="AF152">
        <f>AE152*'fuels and tailpipe emissions'!$B$3</f>
        <v>0</v>
      </c>
      <c r="AG152">
        <v>0</v>
      </c>
      <c r="AH152" s="3">
        <v>0</v>
      </c>
      <c r="AI152" s="3">
        <v>3</v>
      </c>
      <c r="AJ152" s="3">
        <v>1</v>
      </c>
      <c r="AK152">
        <f t="shared" si="129"/>
        <v>1</v>
      </c>
      <c r="AL152">
        <f t="shared" si="65"/>
        <v>8.9022070000000007E-5</v>
      </c>
      <c r="AM152">
        <v>1.2899999999999999E-3</v>
      </c>
      <c r="AN152" s="2">
        <f t="shared" si="111"/>
        <v>51.41</v>
      </c>
      <c r="AO152" s="2">
        <f t="shared" si="112"/>
        <v>12</v>
      </c>
      <c r="AP152" s="2">
        <f t="shared" si="113"/>
        <v>13.866666666666667</v>
      </c>
      <c r="AQ152" s="6" t="s">
        <v>85</v>
      </c>
      <c r="AR152" s="20"/>
      <c r="AS152" s="6">
        <v>0.121</v>
      </c>
      <c r="AT152" s="2">
        <f t="shared" si="130"/>
        <v>76.165289256198363</v>
      </c>
      <c r="AU152" s="5">
        <v>0</v>
      </c>
      <c r="AV152" s="5">
        <v>0</v>
      </c>
      <c r="AW152" s="7">
        <v>0</v>
      </c>
      <c r="AX152" s="7">
        <v>0</v>
      </c>
      <c r="AY152" s="7">
        <v>0</v>
      </c>
      <c r="AZ152" s="7">
        <v>0</v>
      </c>
      <c r="BA152" s="7">
        <v>0</v>
      </c>
      <c r="BB152" s="7">
        <v>0</v>
      </c>
      <c r="BC152" s="7">
        <v>0</v>
      </c>
      <c r="BD152" s="7">
        <v>0</v>
      </c>
      <c r="BE152" s="7">
        <v>0</v>
      </c>
      <c r="BF152" s="7">
        <v>0</v>
      </c>
      <c r="BG152" s="7">
        <v>0</v>
      </c>
      <c r="BH152" s="7">
        <v>0</v>
      </c>
      <c r="BI152" s="7">
        <v>0</v>
      </c>
      <c r="BJ152" s="7">
        <v>0</v>
      </c>
      <c r="BK152" s="7">
        <v>0</v>
      </c>
      <c r="BL152" s="7">
        <v>0</v>
      </c>
      <c r="BM152" s="7">
        <v>0</v>
      </c>
      <c r="BN152" s="7">
        <v>0</v>
      </c>
      <c r="BO152" s="7">
        <v>0</v>
      </c>
      <c r="BP152" s="7">
        <v>0</v>
      </c>
      <c r="BQ152" s="7">
        <v>0</v>
      </c>
      <c r="BR152" s="7">
        <v>0</v>
      </c>
      <c r="BS152" s="7">
        <v>0</v>
      </c>
      <c r="BT152" s="7">
        <v>0</v>
      </c>
      <c r="BU152" s="7">
        <v>0</v>
      </c>
      <c r="BV152" s="7">
        <v>0</v>
      </c>
      <c r="BW152" s="7">
        <v>0</v>
      </c>
      <c r="BX152" s="7">
        <v>0</v>
      </c>
      <c r="BY152" s="7">
        <v>0</v>
      </c>
      <c r="BZ152" s="7">
        <v>0</v>
      </c>
      <c r="CA152" s="7">
        <v>0</v>
      </c>
      <c r="CB152" s="7">
        <v>0</v>
      </c>
      <c r="CC152" s="7">
        <v>0</v>
      </c>
      <c r="CD152" s="7">
        <v>0</v>
      </c>
      <c r="CE152" s="7">
        <v>0</v>
      </c>
      <c r="CF152" s="7">
        <v>0</v>
      </c>
      <c r="CG152" s="7">
        <v>0</v>
      </c>
      <c r="CH152" s="7">
        <v>0</v>
      </c>
      <c r="CI152" s="7">
        <v>0</v>
      </c>
      <c r="CJ152" s="7">
        <v>0</v>
      </c>
      <c r="CK152" s="38">
        <f>VLOOKUP($B152,'abrasion emissions'!$O$7:$R$36,2,FALSE)</f>
        <v>0.33</v>
      </c>
      <c r="CL152" s="38">
        <f>VLOOKUP($B152,'abrasion emissions'!$O$7:$R$36,3,FALSE)</f>
        <v>0.33</v>
      </c>
      <c r="CM152" s="38">
        <f>VLOOKUP($B152,'abrasion emissions'!$O$7:$R$36,4,FALSE)</f>
        <v>0.33</v>
      </c>
      <c r="CN152" s="7">
        <f>((SUMIFS('abrasion emissions'!$M$7:$M$34,'abrasion emissions'!$I$7:$I$34,"PM 2.5",'abrasion emissions'!$J$7:$J$34,"urban",'abrasion emissions'!$K$7:$K$34,"Tyre",'abrasion emissions'!$L$7:$L$34,"b")*POWER(('vehicles specifications'!$Q152/1000),(1/SUMIFS('abrasion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specifications'!$P152/1000),(1/SUMIFS('abrasion emissions'!$M$7:$M$34,'abrasion emissions'!$I$7:$I$34,"PM 10",'abrasion emissions'!$J$7:$J$34,"urban",'abrasion emissions'!$K$7:$K$34,"Tyre",'abrasion emissions'!$L$7:$L$34,"c")))))/1000000</f>
        <v>5.659176301253236E-6</v>
      </c>
      <c r="CO152" s="7">
        <f>((SUMIFS('abrasion emissions'!$M$7:$M$34,'abrasion emissions'!$I$7:$I$34,"PM 2.5",'abrasion emissions'!$J$7:$J$34,"rural",'abrasion emissions'!$K$7:$K$34,"Tyre",'abrasion emissions'!$L$7:$L$34,"b")*POWER(('vehicles specifications'!$Q152/1000),(1/SUMIFS('abrasion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specifications'!$P152/1000),(1/SUMIFS('abrasion emissions'!$M$7:$M$34,'abrasion emissions'!$I$7:$I$34,"PM 10",'abrasion emissions'!$J$7:$J$34,"rural",'abrasion emissions'!$K$7:$K$34,"Tyre",'abrasion emissions'!$L$7:$L$34,"c")))))/1000000</f>
        <v>4.4081045239699584E-6</v>
      </c>
      <c r="CP152" s="7">
        <f>((SUMIFS('abrasion emissions'!$M$7:$M$34,'abrasion emissions'!$I$7:$I$34,"PM 2.5",'abrasion emissions'!$J$7:$J$34,"motorway",'abrasion emissions'!$K$7:$K$34,"Tyre",'abrasion emissions'!$L$7:$L$34,"b")*POWER(('vehicles specifications'!$Q152/1000),(1/SUMIFS('abrasion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specifications'!$P152/1000),(1/SUMIFS('abrasion emissions'!$M$7:$M$34,'abrasion emissions'!$I$7:$I$34,"PM 10",'abrasion emissions'!$J$7:$J$34,"motorway",'abrasion emissions'!$K$7:$K$34,"Tyre",'abrasion emissions'!$L$7:$L$34,"c")))))/1000000</f>
        <v>3.7661433554494425E-6</v>
      </c>
      <c r="CQ152" s="7">
        <f>((SUMIFS('abrasion emissions'!$M$7:$M$34,'abrasion emissions'!$I$7:$I$34,"PM 2.5",'abrasion emissions'!$J$7:$J$34,"urban",'abrasion emissions'!$K$7:$K$34,"Brake",'abrasion emissions'!$L$7:$L$34,"b")*POWER(('vehicles specifications'!$Q152/1000),(1/SUMIFS('abrasion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specifications'!$P152/1000),(1/SUMIFS('abrasion emissions'!$M$7:$M$34,'abrasion emissions'!$I$7:$I$34,"PM 10",'abrasion emissions'!$J$7:$J$34,"urban",'abrasion emissions'!$K$7:$K$34,"Brake",'abrasion emissions'!$L$7:$L$34,"c")))))/1000000</f>
        <v>5.363314896447151E-6</v>
      </c>
      <c r="CR152" s="7">
        <f>((SUMIFS('abrasion emissions'!$M$7:$M$34,'abrasion emissions'!$I$7:$I$34,"PM 2.5",'abrasion emissions'!$J$7:$J$34,"rural",'abrasion emissions'!$K$7:$K$34,"Brake",'abrasion emissions'!$L$7:$L$34,"b")*POWER(('vehicles specifications'!$Q152/1000),(1/SUMIFS('abrasion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specifications'!$P152/1000),(1/SUMIFS('abrasion emissions'!$M$7:$M$34,'abrasion emissions'!$I$7:$I$34,"PM 10",'abrasion emissions'!$J$7:$J$34,"rural",'abrasion emissions'!$K$7:$K$34,"Brake",'abrasion emissions'!$L$7:$L$34,"c")))))/1000000</f>
        <v>1.6845507492488338E-6</v>
      </c>
      <c r="CS152" s="7">
        <f>((SUMIFS('abrasion emissions'!$M$7:$M$34,'abrasion emissions'!$I$7:$I$34,"PM 2.5",'abrasion emissions'!$J$7:$J$34,"motorway",'abrasion emissions'!$K$7:$K$34,"Brake",'abrasion emissions'!$L$7:$L$34,"b")*POWER(('vehicles specifications'!$Q152/1000),(1/SUMIFS('abrasion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specifications'!$P152/1000),(1/SUMIFS('abrasion emissions'!$M$7:$M$34,'abrasion emissions'!$I$7:$I$34,"PM 10",'abrasion emissions'!$J$7:$J$34,"motorway",'abrasion emissions'!$K$7:$K$34,"Brake",'abrasion emissions'!$L$7:$L$34,"c")))))/1000000</f>
        <v>3.0678676285680688E-7</v>
      </c>
      <c r="CT152" s="7">
        <f>((SUMIFS('abrasion emissions'!$M$7:$M$38,'abrasion emissions'!$I$7:$I$38,"PM 2.5",'abrasion emissions'!$K$7:$K$38,"Re-susp.",'abrasion emissions'!$L$7:$L$38,"b")*POWER(('vehicles specifications'!$Q152/1000),(1/SUMIFS('abrasion emissions'!$M$7:$M$38,'abrasion emissions'!$I$7:$I$38,"PM 2.5",'abrasion emissions'!$K$7:$K$38,"Re-susp.",'abrasion emissions'!$L$7:$L$38,"c"))))+
(SUMIFS('abrasion emissions'!$M$7:$M$38,'abrasion emissions'!$I$7:$I$38,"PM 10",'abrasion emissions'!$K$7:$K$38,"Re-susp.",'abrasion emissions'!$L$7:$L$38,"b")*POWER(('vehicles specifications'!$Q152/1000),(1/SUMIFS('abrasion emissions'!$M$7:$M$38,'abrasion emissions'!$I$7:$I$38,"PM 10",'abrasion emissions'!$K$7:$K$38,"Re-susp.",'abrasion emissions'!$L$7:$L$38,"c")))))/1000000</f>
        <v>3.2012505702254139E-6</v>
      </c>
      <c r="CU152" s="7">
        <f>((SUMIFS('abrasion emissions'!$M$7:$M$38,'abrasion emissions'!$I$7:$I$38,"PM 2.5",'abrasion emissions'!$K$7:$K$38,"Road",'abrasion emissions'!$L$7:$L$38,"b")*POWER(('vehicles specifications'!$Q152/1000),(1/SUMIFS('abrasion emissions'!$M$7:$M$38,'abrasion emissions'!$I$7:$I$38,"PM 2.5",'abrasion emissions'!$K$7:$K$38,"Road",'abrasion emissions'!$L$7:$L$38,"c"))))+
(SUMIFS('abrasion emissions'!$M$7:$M$38,'abrasion emissions'!$I$7:$I$38,"PM 10",'abrasion emissions'!$K$7:$K$38,"Road",'abrasion emissions'!$L$7:$L$38,"b")*POWER(('vehicles specifications'!$Q152/1000),(1/SUMIFS('abrasion emissions'!$M$7:$M$38,'abrasion emissions'!$I$7:$I$38,"PM 10",'abrasion emissions'!$K$7:$K$38,"Road",'abrasion emissions'!$L$7:$L$38,"c")))))/1000000+CT152</f>
        <v>6.279348553390259E-6</v>
      </c>
      <c r="CV152" s="7">
        <f t="shared" si="131"/>
        <v>4.5650299796219703E-6</v>
      </c>
      <c r="CW152" s="7">
        <f t="shared" si="132"/>
        <v>2.4270352948224213E-6</v>
      </c>
    </row>
    <row r="153" spans="1:101" x14ac:dyDescent="0.2">
      <c r="A153" t="str">
        <f t="shared" si="114"/>
        <v>Motorbike, electric, &lt;4kW - 2040 - NCA - CH</v>
      </c>
      <c r="B153" t="s">
        <v>267</v>
      </c>
      <c r="D153" s="18">
        <v>2040</v>
      </c>
      <c r="E153" t="s">
        <v>37</v>
      </c>
      <c r="F153" t="s">
        <v>138</v>
      </c>
      <c r="G153" t="s">
        <v>39</v>
      </c>
      <c r="H153" t="s">
        <v>32</v>
      </c>
      <c r="I153" t="s">
        <v>45</v>
      </c>
      <c r="J153">
        <v>25000</v>
      </c>
      <c r="K153">
        <v>1776</v>
      </c>
      <c r="L153" s="2">
        <f t="shared" si="108"/>
        <v>14.076576576576576</v>
      </c>
      <c r="M153">
        <v>1.1000000000000001</v>
      </c>
      <c r="N153">
        <v>75</v>
      </c>
      <c r="O153">
        <v>6</v>
      </c>
      <c r="P153" s="2">
        <f t="shared" si="64"/>
        <v>76.974999999999994</v>
      </c>
      <c r="Q153" s="2">
        <f t="shared" si="109"/>
        <v>165.47499999999999</v>
      </c>
      <c r="R153">
        <v>2.5</v>
      </c>
      <c r="S153" s="2">
        <v>53</v>
      </c>
      <c r="T153" s="1">
        <v>0.05</v>
      </c>
      <c r="U153" s="2">
        <f t="shared" si="139"/>
        <v>50.349999999999994</v>
      </c>
      <c r="V153" s="2">
        <v>4.5</v>
      </c>
      <c r="W153" s="2">
        <v>7.5</v>
      </c>
      <c r="X153" s="3">
        <v>4.5</v>
      </c>
      <c r="Y153" s="1">
        <v>0.8</v>
      </c>
      <c r="Z153" s="3">
        <f t="shared" si="110"/>
        <v>3.6</v>
      </c>
      <c r="AA153" s="3">
        <f>IF(I153&lt;&gt;"",X153/INDEX('energy battery'!$B$3:$D$6,MATCH('vehicles specifications'!$D153,'energy battery'!$A$3:$A$6,0),MATCH('vehicles specifications'!$I153,'energy battery'!$B$2:$D$2,0)),"")</f>
        <v>11.25</v>
      </c>
      <c r="AB153" s="3">
        <f t="shared" si="115"/>
        <v>3.375</v>
      </c>
      <c r="AC153" s="3">
        <f t="shared" si="116"/>
        <v>14.625</v>
      </c>
      <c r="AD153" s="3">
        <v>0.25</v>
      </c>
      <c r="AE153" s="3">
        <v>0</v>
      </c>
      <c r="AF153">
        <f>AE153*'fuels and tailpipe emissions'!$B$3</f>
        <v>0</v>
      </c>
      <c r="AG153">
        <v>0</v>
      </c>
      <c r="AH153" s="3">
        <v>0</v>
      </c>
      <c r="AI153" s="3">
        <v>3</v>
      </c>
      <c r="AJ153" s="3">
        <v>1</v>
      </c>
      <c r="AK153">
        <f t="shared" si="129"/>
        <v>1</v>
      </c>
      <c r="AL153">
        <f t="shared" si="65"/>
        <v>8.8860074999999998E-5</v>
      </c>
      <c r="AM153">
        <v>1.2899999999999999E-3</v>
      </c>
      <c r="AN153" s="2">
        <f t="shared" si="111"/>
        <v>50.349999999999994</v>
      </c>
      <c r="AO153" s="2">
        <f t="shared" si="112"/>
        <v>12</v>
      </c>
      <c r="AP153" s="2">
        <f t="shared" si="113"/>
        <v>14.625</v>
      </c>
      <c r="AQ153" s="6" t="s">
        <v>85</v>
      </c>
      <c r="AR153" s="20"/>
      <c r="AS153" s="6">
        <v>0.121</v>
      </c>
      <c r="AT153" s="2">
        <f t="shared" si="130"/>
        <v>107.10743801652892</v>
      </c>
      <c r="AU153" s="5">
        <v>0</v>
      </c>
      <c r="AV153" s="5">
        <v>0</v>
      </c>
      <c r="AW153" s="7">
        <v>0</v>
      </c>
      <c r="AX153" s="7">
        <v>0</v>
      </c>
      <c r="AY153" s="7">
        <v>0</v>
      </c>
      <c r="AZ153" s="7">
        <v>0</v>
      </c>
      <c r="BA153" s="7">
        <v>0</v>
      </c>
      <c r="BB153" s="7">
        <v>0</v>
      </c>
      <c r="BC153" s="7">
        <v>0</v>
      </c>
      <c r="BD153" s="7">
        <v>0</v>
      </c>
      <c r="BE153" s="7">
        <v>0</v>
      </c>
      <c r="BF153" s="7">
        <v>0</v>
      </c>
      <c r="BG153" s="7">
        <v>0</v>
      </c>
      <c r="BH153" s="7">
        <v>0</v>
      </c>
      <c r="BI153" s="7">
        <v>0</v>
      </c>
      <c r="BJ153" s="7">
        <v>0</v>
      </c>
      <c r="BK153" s="7">
        <v>0</v>
      </c>
      <c r="BL153" s="7">
        <v>0</v>
      </c>
      <c r="BM153" s="7">
        <v>0</v>
      </c>
      <c r="BN153" s="7">
        <v>0</v>
      </c>
      <c r="BO153" s="7">
        <v>0</v>
      </c>
      <c r="BP153" s="7">
        <v>0</v>
      </c>
      <c r="BQ153" s="7">
        <v>0</v>
      </c>
      <c r="BR153" s="7">
        <v>0</v>
      </c>
      <c r="BS153" s="7">
        <v>0</v>
      </c>
      <c r="BT153" s="7">
        <v>0</v>
      </c>
      <c r="BU153" s="7">
        <v>0</v>
      </c>
      <c r="BV153" s="7">
        <v>0</v>
      </c>
      <c r="BW153" s="7">
        <v>0</v>
      </c>
      <c r="BX153" s="7">
        <v>0</v>
      </c>
      <c r="BY153" s="7">
        <v>0</v>
      </c>
      <c r="BZ153" s="7">
        <v>0</v>
      </c>
      <c r="CA153" s="7">
        <v>0</v>
      </c>
      <c r="CB153" s="7">
        <v>0</v>
      </c>
      <c r="CC153" s="7">
        <v>0</v>
      </c>
      <c r="CD153" s="7">
        <v>0</v>
      </c>
      <c r="CE153" s="7">
        <v>0</v>
      </c>
      <c r="CF153" s="7">
        <v>0</v>
      </c>
      <c r="CG153" s="7">
        <v>0</v>
      </c>
      <c r="CH153" s="7">
        <v>0</v>
      </c>
      <c r="CI153" s="7">
        <v>0</v>
      </c>
      <c r="CJ153" s="7">
        <v>0</v>
      </c>
      <c r="CK153" s="38">
        <f>VLOOKUP($B153,'abrasion emissions'!$O$7:$R$36,2,FALSE)</f>
        <v>0.33</v>
      </c>
      <c r="CL153" s="38">
        <f>VLOOKUP($B153,'abrasion emissions'!$O$7:$R$36,3,FALSE)</f>
        <v>0.33</v>
      </c>
      <c r="CM153" s="38">
        <f>VLOOKUP($B153,'abrasion emissions'!$O$7:$R$36,4,FALSE)</f>
        <v>0.33</v>
      </c>
      <c r="CN153" s="7">
        <f>((SUMIFS('abrasion emissions'!$M$7:$M$34,'abrasion emissions'!$I$7:$I$34,"PM 2.5",'abrasion emissions'!$J$7:$J$34,"urban",'abrasion emissions'!$K$7:$K$34,"Tyre",'abrasion emissions'!$L$7:$L$34,"b")*POWER(('vehicles specifications'!$Q153/1000),(1/SUMIFS('abrasion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specifications'!$P153/1000),(1/SUMIFS('abrasion emissions'!$M$7:$M$34,'abrasion emissions'!$I$7:$I$34,"PM 10",'abrasion emissions'!$J$7:$J$34,"urban",'abrasion emissions'!$K$7:$K$34,"Tyre",'abrasion emissions'!$L$7:$L$34,"c")))))/1000000</f>
        <v>5.6529673610133226E-6</v>
      </c>
      <c r="CO153" s="7">
        <f>((SUMIFS('abrasion emissions'!$M$7:$M$34,'abrasion emissions'!$I$7:$I$34,"PM 2.5",'abrasion emissions'!$J$7:$J$34,"rural",'abrasion emissions'!$K$7:$K$34,"Tyre",'abrasion emissions'!$L$7:$L$34,"b")*POWER(('vehicles specifications'!$Q153/1000),(1/SUMIFS('abrasion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specifications'!$P153/1000),(1/SUMIFS('abrasion emissions'!$M$7:$M$34,'abrasion emissions'!$I$7:$I$34,"PM 10",'abrasion emissions'!$J$7:$J$34,"rural",'abrasion emissions'!$K$7:$K$34,"Tyre",'abrasion emissions'!$L$7:$L$34,"c")))))/1000000</f>
        <v>4.4032734973734583E-6</v>
      </c>
      <c r="CP153" s="7">
        <f>((SUMIFS('abrasion emissions'!$M$7:$M$34,'abrasion emissions'!$I$7:$I$34,"PM 2.5",'abrasion emissions'!$J$7:$J$34,"motorway",'abrasion emissions'!$K$7:$K$34,"Tyre",'abrasion emissions'!$L$7:$L$34,"b")*POWER(('vehicles specifications'!$Q153/1000),(1/SUMIFS('abrasion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specifications'!$P153/1000),(1/SUMIFS('abrasion emissions'!$M$7:$M$34,'abrasion emissions'!$I$7:$I$34,"PM 10",'abrasion emissions'!$J$7:$J$34,"motorway",'abrasion emissions'!$K$7:$K$34,"Tyre",'abrasion emissions'!$L$7:$L$34,"c")))))/1000000</f>
        <v>3.7620291946392282E-6</v>
      </c>
      <c r="CQ153" s="7">
        <f>((SUMIFS('abrasion emissions'!$M$7:$M$34,'abrasion emissions'!$I$7:$I$34,"PM 2.5",'abrasion emissions'!$J$7:$J$34,"urban",'abrasion emissions'!$K$7:$K$34,"Brake",'abrasion emissions'!$L$7:$L$34,"b")*POWER(('vehicles specifications'!$Q153/1000),(1/SUMIFS('abrasion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specifications'!$P153/1000),(1/SUMIFS('abrasion emissions'!$M$7:$M$34,'abrasion emissions'!$I$7:$I$34,"PM 10",'abrasion emissions'!$J$7:$J$34,"urban",'abrasion emissions'!$K$7:$K$34,"Brake",'abrasion emissions'!$L$7:$L$34,"c")))))/1000000</f>
        <v>5.3569771884283161E-6</v>
      </c>
      <c r="CR153" s="7">
        <f>((SUMIFS('abrasion emissions'!$M$7:$M$34,'abrasion emissions'!$I$7:$I$34,"PM 2.5",'abrasion emissions'!$J$7:$J$34,"rural",'abrasion emissions'!$K$7:$K$34,"Brake",'abrasion emissions'!$L$7:$L$34,"b")*POWER(('vehicles specifications'!$Q153/1000),(1/SUMIFS('abrasion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specifications'!$P153/1000),(1/SUMIFS('abrasion emissions'!$M$7:$M$34,'abrasion emissions'!$I$7:$I$34,"PM 10",'abrasion emissions'!$J$7:$J$34,"rural",'abrasion emissions'!$K$7:$K$34,"Brake",'abrasion emissions'!$L$7:$L$34,"c")))))/1000000</f>
        <v>1.6820523805501958E-6</v>
      </c>
      <c r="CS153" s="7">
        <f>((SUMIFS('abrasion emissions'!$M$7:$M$34,'abrasion emissions'!$I$7:$I$34,"PM 2.5",'abrasion emissions'!$J$7:$J$34,"motorway",'abrasion emissions'!$K$7:$K$34,"Brake",'abrasion emissions'!$L$7:$L$34,"b")*POWER(('vehicles specifications'!$Q153/1000),(1/SUMIFS('abrasion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specifications'!$P153/1000),(1/SUMIFS('abrasion emissions'!$M$7:$M$34,'abrasion emissions'!$I$7:$I$34,"PM 10",'abrasion emissions'!$J$7:$J$34,"motorway",'abrasion emissions'!$K$7:$K$34,"Brake",'abrasion emissions'!$L$7:$L$34,"c")))))/1000000</f>
        <v>3.062677106110383E-7</v>
      </c>
      <c r="CT153" s="7">
        <f>((SUMIFS('abrasion emissions'!$M$7:$M$38,'abrasion emissions'!$I$7:$I$38,"PM 2.5",'abrasion emissions'!$K$7:$K$38,"Re-susp.",'abrasion emissions'!$L$7:$L$38,"b")*POWER(('vehicles specifications'!$Q153/1000),(1/SUMIFS('abrasion emissions'!$M$7:$M$38,'abrasion emissions'!$I$7:$I$38,"PM 2.5",'abrasion emissions'!$K$7:$K$38,"Re-susp.",'abrasion emissions'!$L$7:$L$38,"c"))))+
(SUMIFS('abrasion emissions'!$M$7:$M$38,'abrasion emissions'!$I$7:$I$38,"PM 10",'abrasion emissions'!$K$7:$K$38,"Re-susp.",'abrasion emissions'!$L$7:$L$38,"b")*POWER(('vehicles specifications'!$Q153/1000),(1/SUMIFS('abrasion emissions'!$M$7:$M$38,'abrasion emissions'!$I$7:$I$38,"PM 10",'abrasion emissions'!$K$7:$K$38,"Re-susp.",'abrasion emissions'!$L$7:$L$38,"c")))))/1000000</f>
        <v>3.1959543400666284E-6</v>
      </c>
      <c r="CU153" s="7">
        <f>((SUMIFS('abrasion emissions'!$M$7:$M$38,'abrasion emissions'!$I$7:$I$38,"PM 2.5",'abrasion emissions'!$K$7:$K$38,"Road",'abrasion emissions'!$L$7:$L$38,"b")*POWER(('vehicles specifications'!$Q153/1000),(1/SUMIFS('abrasion emissions'!$M$7:$M$38,'abrasion emissions'!$I$7:$I$38,"PM 2.5",'abrasion emissions'!$K$7:$K$38,"Road",'abrasion emissions'!$L$7:$L$38,"c"))))+
(SUMIFS('abrasion emissions'!$M$7:$M$38,'abrasion emissions'!$I$7:$I$38,"PM 10",'abrasion emissions'!$K$7:$K$38,"Road",'abrasion emissions'!$L$7:$L$38,"b")*POWER(('vehicles specifications'!$Q153/1000),(1/SUMIFS('abrasion emissions'!$M$7:$M$38,'abrasion emissions'!$I$7:$I$38,"PM 10",'abrasion emissions'!$K$7:$K$38,"Road",'abrasion emissions'!$L$7:$L$38,"c")))))/1000000+CT153</f>
        <v>6.2703170110420856E-6</v>
      </c>
      <c r="CV153" s="7">
        <f t="shared" si="131"/>
        <v>4.5600291174985831E-6</v>
      </c>
      <c r="CW153" s="7">
        <f t="shared" si="132"/>
        <v>2.4239481022645517E-6</v>
      </c>
    </row>
    <row r="154" spans="1:101" x14ac:dyDescent="0.2">
      <c r="A154" t="str">
        <f t="shared" si="114"/>
        <v>Motorbike, electric, &lt;4kW - 2050 - NCA - CH</v>
      </c>
      <c r="B154" t="s">
        <v>267</v>
      </c>
      <c r="D154" s="18">
        <v>2050</v>
      </c>
      <c r="E154" t="s">
        <v>37</v>
      </c>
      <c r="F154" t="s">
        <v>138</v>
      </c>
      <c r="G154" t="s">
        <v>39</v>
      </c>
      <c r="H154" t="s">
        <v>32</v>
      </c>
      <c r="I154" t="s">
        <v>45</v>
      </c>
      <c r="J154">
        <v>25000</v>
      </c>
      <c r="K154">
        <v>1776</v>
      </c>
      <c r="L154" s="2">
        <f t="shared" si="108"/>
        <v>14.076576576576576</v>
      </c>
      <c r="M154">
        <v>1.1000000000000001</v>
      </c>
      <c r="N154">
        <v>75</v>
      </c>
      <c r="O154">
        <v>6</v>
      </c>
      <c r="P154" s="2">
        <f t="shared" si="64"/>
        <v>76.89</v>
      </c>
      <c r="Q154" s="2">
        <f t="shared" si="109"/>
        <v>165.39</v>
      </c>
      <c r="R154">
        <v>2.5</v>
      </c>
      <c r="S154" s="2">
        <v>53</v>
      </c>
      <c r="T154" s="1">
        <v>7.0000000000000007E-2</v>
      </c>
      <c r="U154" s="2">
        <f t="shared" si="139"/>
        <v>49.29</v>
      </c>
      <c r="V154" s="2">
        <v>4.5</v>
      </c>
      <c r="W154" s="2">
        <v>7.5</v>
      </c>
      <c r="X154" s="3">
        <v>6</v>
      </c>
      <c r="Y154" s="1">
        <v>0.8</v>
      </c>
      <c r="Z154" s="3">
        <f t="shared" si="110"/>
        <v>4.8000000000000007</v>
      </c>
      <c r="AA154" s="3">
        <f>IF(I154&lt;&gt;"",X154/INDEX('energy battery'!$B$3:$D$6,MATCH('vehicles specifications'!$D154,'energy battery'!$A$3:$A$6,0),MATCH('vehicles specifications'!$I154,'energy battery'!$B$2:$D$2,0)),"")</f>
        <v>12</v>
      </c>
      <c r="AB154" s="3">
        <f t="shared" si="115"/>
        <v>3.5999999999999996</v>
      </c>
      <c r="AC154" s="3">
        <f t="shared" si="116"/>
        <v>15.6</v>
      </c>
      <c r="AD154" s="3">
        <v>0</v>
      </c>
      <c r="AE154" s="3">
        <v>0</v>
      </c>
      <c r="AF154">
        <f>AE154*'fuels and tailpipe emissions'!$B$3</f>
        <v>0</v>
      </c>
      <c r="AG154">
        <v>0</v>
      </c>
      <c r="AH154" s="3">
        <v>0</v>
      </c>
      <c r="AI154" s="3">
        <v>3</v>
      </c>
      <c r="AJ154" s="3">
        <v>1</v>
      </c>
      <c r="AK154">
        <f t="shared" si="129"/>
        <v>1</v>
      </c>
      <c r="AL154">
        <f t="shared" si="65"/>
        <v>8.8814429999999997E-5</v>
      </c>
      <c r="AM154">
        <v>1.2899999999999999E-3</v>
      </c>
      <c r="AN154" s="2">
        <f t="shared" si="111"/>
        <v>49.29</v>
      </c>
      <c r="AO154" s="2">
        <f t="shared" si="112"/>
        <v>12</v>
      </c>
      <c r="AP154" s="2">
        <f t="shared" si="113"/>
        <v>15.6</v>
      </c>
      <c r="AQ154" s="6" t="s">
        <v>85</v>
      </c>
      <c r="AR154" s="20"/>
      <c r="AS154" s="6">
        <v>0.121</v>
      </c>
      <c r="AT154" s="2">
        <f t="shared" si="130"/>
        <v>142.80991735537191</v>
      </c>
      <c r="AU154" s="5">
        <v>0</v>
      </c>
      <c r="AV154" s="5">
        <v>0</v>
      </c>
      <c r="AW154" s="7">
        <v>0</v>
      </c>
      <c r="AX154" s="7">
        <v>0</v>
      </c>
      <c r="AY154" s="7">
        <v>0</v>
      </c>
      <c r="AZ154" s="7">
        <v>0</v>
      </c>
      <c r="BA154" s="7">
        <v>0</v>
      </c>
      <c r="BB154" s="7">
        <v>0</v>
      </c>
      <c r="BC154" s="7">
        <v>0</v>
      </c>
      <c r="BD154" s="7">
        <v>0</v>
      </c>
      <c r="BE154" s="7">
        <v>0</v>
      </c>
      <c r="BF154" s="7">
        <v>0</v>
      </c>
      <c r="BG154" s="7">
        <v>0</v>
      </c>
      <c r="BH154" s="7">
        <v>0</v>
      </c>
      <c r="BI154" s="7">
        <v>0</v>
      </c>
      <c r="BJ154" s="7">
        <v>0</v>
      </c>
      <c r="BK154" s="7">
        <v>0</v>
      </c>
      <c r="BL154" s="7">
        <v>0</v>
      </c>
      <c r="BM154" s="7">
        <v>0</v>
      </c>
      <c r="BN154" s="7">
        <v>0</v>
      </c>
      <c r="BO154" s="7">
        <v>0</v>
      </c>
      <c r="BP154" s="7">
        <v>0</v>
      </c>
      <c r="BQ154" s="7">
        <v>0</v>
      </c>
      <c r="BR154" s="7">
        <v>0</v>
      </c>
      <c r="BS154" s="7">
        <v>0</v>
      </c>
      <c r="BT154" s="7">
        <v>0</v>
      </c>
      <c r="BU154" s="7">
        <v>0</v>
      </c>
      <c r="BV154" s="7">
        <v>0</v>
      </c>
      <c r="BW154" s="7">
        <v>0</v>
      </c>
      <c r="BX154" s="7">
        <v>0</v>
      </c>
      <c r="BY154" s="7">
        <v>0</v>
      </c>
      <c r="BZ154" s="7">
        <v>0</v>
      </c>
      <c r="CA154" s="7">
        <v>0</v>
      </c>
      <c r="CB154" s="7">
        <v>0</v>
      </c>
      <c r="CC154" s="7">
        <v>0</v>
      </c>
      <c r="CD154" s="7">
        <v>0</v>
      </c>
      <c r="CE154" s="7">
        <v>0</v>
      </c>
      <c r="CF154" s="7">
        <v>0</v>
      </c>
      <c r="CG154" s="7">
        <v>0</v>
      </c>
      <c r="CH154" s="7">
        <v>0</v>
      </c>
      <c r="CI154" s="7">
        <v>0</v>
      </c>
      <c r="CJ154" s="7">
        <v>0</v>
      </c>
      <c r="CK154" s="38">
        <f>VLOOKUP($B154,'abrasion emissions'!$O$7:$R$36,2,FALSE)</f>
        <v>0.33</v>
      </c>
      <c r="CL154" s="38">
        <f>VLOOKUP($B154,'abrasion emissions'!$O$7:$R$36,3,FALSE)</f>
        <v>0.33</v>
      </c>
      <c r="CM154" s="38">
        <f>VLOOKUP($B154,'abrasion emissions'!$O$7:$R$36,4,FALSE)</f>
        <v>0.33</v>
      </c>
      <c r="CN154" s="7">
        <f>((SUMIFS('abrasion emissions'!$M$7:$M$34,'abrasion emissions'!$I$7:$I$34,"PM 2.5",'abrasion emissions'!$J$7:$J$34,"urban",'abrasion emissions'!$K$7:$K$34,"Tyre",'abrasion emissions'!$L$7:$L$34,"b")*POWER(('vehicles specifications'!$Q154/1000),(1/SUMIFS('abrasion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specifications'!$P154/1000),(1/SUMIFS('abrasion emissions'!$M$7:$M$34,'abrasion emissions'!$I$7:$I$34,"PM 10",'abrasion emissions'!$J$7:$J$34,"urban",'abrasion emissions'!$K$7:$K$34,"Tyre",'abrasion emissions'!$L$7:$L$34,"c")))))/1000000</f>
        <v>5.6512160332706273E-6</v>
      </c>
      <c r="CO154" s="7">
        <f>((SUMIFS('abrasion emissions'!$M$7:$M$34,'abrasion emissions'!$I$7:$I$34,"PM 2.5",'abrasion emissions'!$J$7:$J$34,"rural",'abrasion emissions'!$K$7:$K$34,"Tyre",'abrasion emissions'!$L$7:$L$34,"b")*POWER(('vehicles specifications'!$Q154/1000),(1/SUMIFS('abrasion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specifications'!$P154/1000),(1/SUMIFS('abrasion emissions'!$M$7:$M$34,'abrasion emissions'!$I$7:$I$34,"PM 10",'abrasion emissions'!$J$7:$J$34,"rural",'abrasion emissions'!$K$7:$K$34,"Tyre",'abrasion emissions'!$L$7:$L$34,"c")))))/1000000</f>
        <v>4.4019108330439076E-6</v>
      </c>
      <c r="CP154" s="7">
        <f>((SUMIFS('abrasion emissions'!$M$7:$M$34,'abrasion emissions'!$I$7:$I$34,"PM 2.5",'abrasion emissions'!$J$7:$J$34,"motorway",'abrasion emissions'!$K$7:$K$34,"Tyre",'abrasion emissions'!$L$7:$L$34,"b")*POWER(('vehicles specifications'!$Q154/1000),(1/SUMIFS('abrasion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specifications'!$P154/1000),(1/SUMIFS('abrasion emissions'!$M$7:$M$34,'abrasion emissions'!$I$7:$I$34,"PM 10",'abrasion emissions'!$J$7:$J$34,"motorway",'abrasion emissions'!$K$7:$K$34,"Tyre",'abrasion emissions'!$L$7:$L$34,"c")))))/1000000</f>
        <v>3.760868737027827E-6</v>
      </c>
      <c r="CQ154" s="7">
        <f>((SUMIFS('abrasion emissions'!$M$7:$M$34,'abrasion emissions'!$I$7:$I$34,"PM 2.5",'abrasion emissions'!$J$7:$J$34,"urban",'abrasion emissions'!$K$7:$K$34,"Brake",'abrasion emissions'!$L$7:$L$34,"b")*POWER(('vehicles specifications'!$Q154/1000),(1/SUMIFS('abrasion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specifications'!$P154/1000),(1/SUMIFS('abrasion emissions'!$M$7:$M$34,'abrasion emissions'!$I$7:$I$34,"PM 10",'abrasion emissions'!$J$7:$J$34,"urban",'abrasion emissions'!$K$7:$K$34,"Brake",'abrasion emissions'!$L$7:$L$34,"c")))))/1000000</f>
        <v>5.3551900351475154E-6</v>
      </c>
      <c r="CR154" s="7">
        <f>((SUMIFS('abrasion emissions'!$M$7:$M$34,'abrasion emissions'!$I$7:$I$34,"PM 2.5",'abrasion emissions'!$J$7:$J$34,"rural",'abrasion emissions'!$K$7:$K$34,"Brake",'abrasion emissions'!$L$7:$L$34,"b")*POWER(('vehicles specifications'!$Q154/1000),(1/SUMIFS('abrasion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specifications'!$P154/1000),(1/SUMIFS('abrasion emissions'!$M$7:$M$34,'abrasion emissions'!$I$7:$I$34,"PM 10",'abrasion emissions'!$J$7:$J$34,"rural",'abrasion emissions'!$K$7:$K$34,"Brake",'abrasion emissions'!$L$7:$L$34,"c")))))/1000000</f>
        <v>1.6813480390255736E-6</v>
      </c>
      <c r="CS154" s="7">
        <f>((SUMIFS('abrasion emissions'!$M$7:$M$34,'abrasion emissions'!$I$7:$I$34,"PM 2.5",'abrasion emissions'!$J$7:$J$34,"motorway",'abrasion emissions'!$K$7:$K$34,"Brake",'abrasion emissions'!$L$7:$L$34,"b")*POWER(('vehicles specifications'!$Q154/1000),(1/SUMIFS('abrasion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specifications'!$P154/1000),(1/SUMIFS('abrasion emissions'!$M$7:$M$34,'abrasion emissions'!$I$7:$I$34,"PM 10",'abrasion emissions'!$J$7:$J$34,"motorway",'abrasion emissions'!$K$7:$K$34,"Brake",'abrasion emissions'!$L$7:$L$34,"c")))))/1000000</f>
        <v>3.0612140427140868E-7</v>
      </c>
      <c r="CT154" s="7">
        <f>((SUMIFS('abrasion emissions'!$M$7:$M$38,'abrasion emissions'!$I$7:$I$38,"PM 2.5",'abrasion emissions'!$K$7:$K$38,"Re-susp.",'abrasion emissions'!$L$7:$L$38,"b")*POWER(('vehicles specifications'!$Q154/1000),(1/SUMIFS('abrasion emissions'!$M$7:$M$38,'abrasion emissions'!$I$7:$I$38,"PM 2.5",'abrasion emissions'!$K$7:$K$38,"Re-susp.",'abrasion emissions'!$L$7:$L$38,"c"))))+
(SUMIFS('abrasion emissions'!$M$7:$M$38,'abrasion emissions'!$I$7:$I$38,"PM 10",'abrasion emissions'!$K$7:$K$38,"Re-susp.",'abrasion emissions'!$L$7:$L$38,"b")*POWER(('vehicles specifications'!$Q154/1000),(1/SUMIFS('abrasion emissions'!$M$7:$M$38,'abrasion emissions'!$I$7:$I$38,"PM 10",'abrasion emissions'!$K$7:$K$38,"Re-susp.",'abrasion emissions'!$L$7:$L$38,"c")))))/1000000</f>
        <v>3.194461873679645E-6</v>
      </c>
      <c r="CU154" s="7">
        <f>((SUMIFS('abrasion emissions'!$M$7:$M$38,'abrasion emissions'!$I$7:$I$38,"PM 2.5",'abrasion emissions'!$K$7:$K$38,"Road",'abrasion emissions'!$L$7:$L$38,"b")*POWER(('vehicles specifications'!$Q154/1000),(1/SUMIFS('abrasion emissions'!$M$7:$M$38,'abrasion emissions'!$I$7:$I$38,"PM 2.5",'abrasion emissions'!$K$7:$K$38,"Road",'abrasion emissions'!$L$7:$L$38,"c"))))+
(SUMIFS('abrasion emissions'!$M$7:$M$38,'abrasion emissions'!$I$7:$I$38,"PM 10",'abrasion emissions'!$K$7:$K$38,"Road",'abrasion emissions'!$L$7:$L$38,"b")*POWER(('vehicles specifications'!$Q154/1000),(1/SUMIFS('abrasion emissions'!$M$7:$M$38,'abrasion emissions'!$I$7:$I$38,"PM 10",'abrasion emissions'!$K$7:$K$38,"Road",'abrasion emissions'!$L$7:$L$38,"c")))))/1000000+CT154</f>
        <v>6.267771643595028E-6</v>
      </c>
      <c r="CV154" s="7">
        <f t="shared" si="131"/>
        <v>4.5586185491029798E-6</v>
      </c>
      <c r="CW154" s="7">
        <f t="shared" si="132"/>
        <v>2.4230776278866842E-6</v>
      </c>
    </row>
    <row r="155" spans="1:101" x14ac:dyDescent="0.2">
      <c r="A155" t="str">
        <f t="shared" si="114"/>
        <v>Motorbike, electric, 4-11kW - 2020 - NCA - CH</v>
      </c>
      <c r="B155" t="s">
        <v>268</v>
      </c>
      <c r="D155" s="18">
        <v>2020</v>
      </c>
      <c r="E155" t="s">
        <v>37</v>
      </c>
      <c r="F155" t="s">
        <v>138</v>
      </c>
      <c r="G155" t="s">
        <v>39</v>
      </c>
      <c r="H155" t="s">
        <v>32</v>
      </c>
      <c r="I155" t="s">
        <v>45</v>
      </c>
      <c r="J155">
        <v>25000</v>
      </c>
      <c r="K155">
        <v>1776</v>
      </c>
      <c r="L155" s="2">
        <f t="shared" si="108"/>
        <v>14.076576576576576</v>
      </c>
      <c r="M155">
        <v>1.1000000000000001</v>
      </c>
      <c r="N155">
        <v>75</v>
      </c>
      <c r="O155">
        <v>6</v>
      </c>
      <c r="P155" s="2">
        <f t="shared" si="64"/>
        <v>114.54204478831883</v>
      </c>
      <c r="Q155" s="2">
        <f t="shared" si="109"/>
        <v>203.04204478831883</v>
      </c>
      <c r="R155">
        <v>4.7</v>
      </c>
      <c r="S155" s="2">
        <v>65.433826960328489</v>
      </c>
      <c r="T155" s="1">
        <v>0</v>
      </c>
      <c r="U155" s="2">
        <f t="shared" si="139"/>
        <v>65.433826960328489</v>
      </c>
      <c r="V155" s="2">
        <f>S155*0.2</f>
        <v>13.086765392065699</v>
      </c>
      <c r="W155" s="2">
        <f>U155*0.3</f>
        <v>19.630148088098547</v>
      </c>
      <c r="X155" s="3">
        <v>2.9</v>
      </c>
      <c r="Y155" s="1">
        <v>0.8</v>
      </c>
      <c r="Z155" s="3">
        <f t="shared" si="110"/>
        <v>2.3199999999999998</v>
      </c>
      <c r="AA155" s="3">
        <f>IF(I155&lt;&gt;"",X155/INDEX('energy battery'!$B$3:$D$6,MATCH('vehicles specifications'!$D155,'energy battery'!$A$3:$A$6,0),MATCH('vehicles specifications'!$I155,'energy battery'!$B$2:$D$2,0)),"")</f>
        <v>12.608695652173912</v>
      </c>
      <c r="AB155" s="3">
        <f t="shared" si="115"/>
        <v>3.7826086956521734</v>
      </c>
      <c r="AC155" s="3">
        <f t="shared" si="116"/>
        <v>16.391304347826086</v>
      </c>
      <c r="AD155" s="3">
        <v>1</v>
      </c>
      <c r="AE155" s="3">
        <v>0</v>
      </c>
      <c r="AF155">
        <f>AE155*'fuels and tailpipe emissions'!$B$3</f>
        <v>0</v>
      </c>
      <c r="AG155">
        <v>0</v>
      </c>
      <c r="AH155" s="3">
        <v>0</v>
      </c>
      <c r="AI155" s="3">
        <v>3</v>
      </c>
      <c r="AJ155" s="3">
        <v>1</v>
      </c>
      <c r="AK155">
        <f t="shared" si="129"/>
        <v>1</v>
      </c>
      <c r="AL155">
        <f t="shared" si="65"/>
        <v>1.0903357805132722E-4</v>
      </c>
      <c r="AM155">
        <v>1.2899999999999999E-3</v>
      </c>
      <c r="AN155" s="2">
        <f t="shared" si="111"/>
        <v>65.433826960328489</v>
      </c>
      <c r="AO155" s="2">
        <f t="shared" si="112"/>
        <v>32.716913480164244</v>
      </c>
      <c r="AP155" s="2">
        <f t="shared" si="113"/>
        <v>16.391304347826086</v>
      </c>
      <c r="AQ155" s="6" t="s">
        <v>85</v>
      </c>
      <c r="AR155" s="20"/>
      <c r="AS155" s="6">
        <v>0.182</v>
      </c>
      <c r="AT155" s="2">
        <f t="shared" si="130"/>
        <v>45.890109890109891</v>
      </c>
      <c r="AU155" s="5">
        <v>0</v>
      </c>
      <c r="AV155" s="5">
        <v>0</v>
      </c>
      <c r="AW155" s="7">
        <v>0</v>
      </c>
      <c r="AX155" s="7">
        <v>0</v>
      </c>
      <c r="AY155" s="7">
        <v>0</v>
      </c>
      <c r="AZ155" s="7">
        <v>0</v>
      </c>
      <c r="BA155" s="7">
        <v>0</v>
      </c>
      <c r="BB155" s="7">
        <v>0</v>
      </c>
      <c r="BC155" s="7">
        <v>0</v>
      </c>
      <c r="BD155" s="7">
        <v>0</v>
      </c>
      <c r="BE155" s="7">
        <v>0</v>
      </c>
      <c r="BF155" s="7">
        <v>0</v>
      </c>
      <c r="BG155" s="7">
        <v>0</v>
      </c>
      <c r="BH155" s="7">
        <v>0</v>
      </c>
      <c r="BI155" s="7">
        <v>0</v>
      </c>
      <c r="BJ155" s="7">
        <v>0</v>
      </c>
      <c r="BK155" s="7">
        <v>0</v>
      </c>
      <c r="BL155" s="7">
        <v>0</v>
      </c>
      <c r="BM155" s="7">
        <v>0</v>
      </c>
      <c r="BN155" s="7">
        <v>0</v>
      </c>
      <c r="BO155" s="7">
        <v>0</v>
      </c>
      <c r="BP155" s="7">
        <v>0</v>
      </c>
      <c r="BQ155" s="7">
        <v>0</v>
      </c>
      <c r="BR155" s="7">
        <v>0</v>
      </c>
      <c r="BS155" s="7">
        <v>0</v>
      </c>
      <c r="BT155" s="7">
        <v>0</v>
      </c>
      <c r="BU155" s="7">
        <v>0</v>
      </c>
      <c r="BV155" s="7">
        <v>0</v>
      </c>
      <c r="BW155" s="7">
        <v>0</v>
      </c>
      <c r="BX155" s="7">
        <v>0</v>
      </c>
      <c r="BY155" s="7">
        <v>0</v>
      </c>
      <c r="BZ155" s="7">
        <v>0</v>
      </c>
      <c r="CA155" s="7">
        <v>0</v>
      </c>
      <c r="CB155" s="7">
        <v>0</v>
      </c>
      <c r="CC155" s="7">
        <v>0</v>
      </c>
      <c r="CD155" s="7">
        <v>0</v>
      </c>
      <c r="CE155" s="7">
        <v>0</v>
      </c>
      <c r="CF155" s="7">
        <v>0</v>
      </c>
      <c r="CG155" s="7">
        <v>0</v>
      </c>
      <c r="CH155" s="7">
        <v>0</v>
      </c>
      <c r="CI155" s="7">
        <v>0</v>
      </c>
      <c r="CJ155" s="7">
        <v>0</v>
      </c>
      <c r="CK155" s="38">
        <f>VLOOKUP($B155,'abrasion emissions'!$O$7:$R$36,2,FALSE)</f>
        <v>0.33</v>
      </c>
      <c r="CL155" s="38">
        <f>VLOOKUP($B155,'abrasion emissions'!$O$7:$R$36,3,FALSE)</f>
        <v>0.33</v>
      </c>
      <c r="CM155" s="38">
        <f>VLOOKUP($B155,'abrasion emissions'!$O$7:$R$36,4,FALSE)</f>
        <v>0.33</v>
      </c>
      <c r="CN155" s="7">
        <f>((SUMIFS('abrasion emissions'!$M$7:$M$34,'abrasion emissions'!$I$7:$I$34,"PM 2.5",'abrasion emissions'!$J$7:$J$34,"urban",'abrasion emissions'!$K$7:$K$34,"Tyre",'abrasion emissions'!$L$7:$L$34,"b")*POWER(('vehicles specifications'!$Q155/1000),(1/SUMIFS('abrasion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specifications'!$P155/1000),(1/SUMIFS('abrasion emissions'!$M$7:$M$34,'abrasion emissions'!$I$7:$I$34,"PM 10",'abrasion emissions'!$J$7:$J$34,"urban",'abrasion emissions'!$K$7:$K$34,"Tyre",'abrasion emissions'!$L$7:$L$34,"c")))))/1000000</f>
        <v>6.3607201541124046E-6</v>
      </c>
      <c r="CO155" s="7">
        <f>((SUMIFS('abrasion emissions'!$M$7:$M$34,'abrasion emissions'!$I$7:$I$34,"PM 2.5",'abrasion emissions'!$J$7:$J$34,"rural",'abrasion emissions'!$K$7:$K$34,"Tyre",'abrasion emissions'!$L$7:$L$34,"b")*POWER(('vehicles specifications'!$Q155/1000),(1/SUMIFS('abrasion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specifications'!$P155/1000),(1/SUMIFS('abrasion emissions'!$M$7:$M$34,'abrasion emissions'!$I$7:$I$34,"PM 10",'abrasion emissions'!$J$7:$J$34,"rural",'abrasion emissions'!$K$7:$K$34,"Tyre",'abrasion emissions'!$L$7:$L$34,"c")))))/1000000</f>
        <v>4.9540061611349249E-6</v>
      </c>
      <c r="CP155" s="7">
        <f>((SUMIFS('abrasion emissions'!$M$7:$M$34,'abrasion emissions'!$I$7:$I$34,"PM 2.5",'abrasion emissions'!$J$7:$J$34,"motorway",'abrasion emissions'!$K$7:$K$34,"Tyre",'abrasion emissions'!$L$7:$L$34,"b")*POWER(('vehicles specifications'!$Q155/1000),(1/SUMIFS('abrasion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specifications'!$P155/1000),(1/SUMIFS('abrasion emissions'!$M$7:$M$34,'abrasion emissions'!$I$7:$I$34,"PM 10",'abrasion emissions'!$J$7:$J$34,"motorway",'abrasion emissions'!$K$7:$K$34,"Tyre",'abrasion emissions'!$L$7:$L$34,"c")))))/1000000</f>
        <v>4.2311586044159563E-6</v>
      </c>
      <c r="CQ155" s="7">
        <f>((SUMIFS('abrasion emissions'!$M$7:$M$34,'abrasion emissions'!$I$7:$I$34,"PM 2.5",'abrasion emissions'!$J$7:$J$34,"urban",'abrasion emissions'!$K$7:$K$34,"Brake",'abrasion emissions'!$L$7:$L$34,"b")*POWER(('vehicles specifications'!$Q155/1000),(1/SUMIFS('abrasion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specifications'!$P155/1000),(1/SUMIFS('abrasion emissions'!$M$7:$M$34,'abrasion emissions'!$I$7:$I$34,"PM 10",'abrasion emissions'!$J$7:$J$34,"urban",'abrasion emissions'!$K$7:$K$34,"Brake",'abrasion emissions'!$L$7:$L$34,"c")))))/1000000</f>
        <v>6.0956260452608024E-6</v>
      </c>
      <c r="CR155" s="7">
        <f>((SUMIFS('abrasion emissions'!$M$7:$M$34,'abrasion emissions'!$I$7:$I$34,"PM 2.5",'abrasion emissions'!$J$7:$J$34,"rural",'abrasion emissions'!$K$7:$K$34,"Brake",'abrasion emissions'!$L$7:$L$34,"b")*POWER(('vehicles specifications'!$Q155/1000),(1/SUMIFS('abrasion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specifications'!$P155/1000),(1/SUMIFS('abrasion emissions'!$M$7:$M$34,'abrasion emissions'!$I$7:$I$34,"PM 10",'abrasion emissions'!$J$7:$J$34,"rural",'abrasion emissions'!$K$7:$K$34,"Brake",'abrasion emissions'!$L$7:$L$34,"c")))))/1000000</f>
        <v>1.9790817677043565E-6</v>
      </c>
      <c r="CS155" s="7">
        <f>((SUMIFS('abrasion emissions'!$M$7:$M$34,'abrasion emissions'!$I$7:$I$34,"PM 2.5",'abrasion emissions'!$J$7:$J$34,"motorway",'abrasion emissions'!$K$7:$K$34,"Brake",'abrasion emissions'!$L$7:$L$34,"b")*POWER(('vehicles specifications'!$Q155/1000),(1/SUMIFS('abrasion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specifications'!$P155/1000),(1/SUMIFS('abrasion emissions'!$M$7:$M$34,'abrasion emissions'!$I$7:$I$34,"PM 10",'abrasion emissions'!$J$7:$J$34,"motorway",'abrasion emissions'!$K$7:$K$34,"Brake",'abrasion emissions'!$L$7:$L$34,"c")))))/1000000</f>
        <v>3.6888343570008006E-7</v>
      </c>
      <c r="CT155" s="7">
        <f>((SUMIFS('abrasion emissions'!$M$7:$M$38,'abrasion emissions'!$I$7:$I$38,"PM 2.5",'abrasion emissions'!$K$7:$K$38,"Re-susp.",'abrasion emissions'!$L$7:$L$38,"b")*POWER(('vehicles specifications'!$Q155/1000),(1/SUMIFS('abrasion emissions'!$M$7:$M$38,'abrasion emissions'!$I$7:$I$38,"PM 2.5",'abrasion emissions'!$K$7:$K$38,"Re-susp.",'abrasion emissions'!$L$7:$L$38,"c"))))+
(SUMIFS('abrasion emissions'!$M$7:$M$38,'abrasion emissions'!$I$7:$I$38,"PM 10",'abrasion emissions'!$K$7:$K$38,"Re-susp.",'abrasion emissions'!$L$7:$L$38,"b")*POWER(('vehicles specifications'!$Q155/1000),(1/SUMIFS('abrasion emissions'!$M$7:$M$38,'abrasion emissions'!$I$7:$I$38,"PM 10",'abrasion emissions'!$K$7:$K$38,"Re-susp.",'abrasion emissions'!$L$7:$L$38,"c")))))/1000000</f>
        <v>3.8492538757423916E-6</v>
      </c>
      <c r="CU155" s="7">
        <f>((SUMIFS('abrasion emissions'!$M$7:$M$38,'abrasion emissions'!$I$7:$I$38,"PM 2.5",'abrasion emissions'!$K$7:$K$38,"Road",'abrasion emissions'!$L$7:$L$38,"b")*POWER(('vehicles specifications'!$Q155/1000),(1/SUMIFS('abrasion emissions'!$M$7:$M$38,'abrasion emissions'!$I$7:$I$38,"PM 2.5",'abrasion emissions'!$K$7:$K$38,"Road",'abrasion emissions'!$L$7:$L$38,"c"))))+
(SUMIFS('abrasion emissions'!$M$7:$M$38,'abrasion emissions'!$I$7:$I$38,"PM 10",'abrasion emissions'!$K$7:$K$38,"Road",'abrasion emissions'!$L$7:$L$38,"b")*POWER(('vehicles specifications'!$Q155/1000),(1/SUMIFS('abrasion emissions'!$M$7:$M$38,'abrasion emissions'!$I$7:$I$38,"PM 10",'abrasion emissions'!$K$7:$K$38,"Road",'abrasion emissions'!$L$7:$L$38,"c")))))/1000000+CT155</f>
        <v>7.3728881367004271E-6</v>
      </c>
      <c r="CV155" s="7">
        <f t="shared" si="131"/>
        <v>5.1301420234888844E-6</v>
      </c>
      <c r="CW155" s="7">
        <f t="shared" si="132"/>
        <v>2.786385112059529E-6</v>
      </c>
    </row>
    <row r="156" spans="1:101" x14ac:dyDescent="0.2">
      <c r="A156" t="str">
        <f t="shared" si="114"/>
        <v>Motorbike, electric, 4-11kW - 2030 - NCA - CH</v>
      </c>
      <c r="B156" t="s">
        <v>268</v>
      </c>
      <c r="D156" s="18">
        <v>2030</v>
      </c>
      <c r="E156" t="s">
        <v>37</v>
      </c>
      <c r="F156" t="s">
        <v>138</v>
      </c>
      <c r="G156" t="s">
        <v>39</v>
      </c>
      <c r="H156" t="s">
        <v>32</v>
      </c>
      <c r="I156" t="s">
        <v>45</v>
      </c>
      <c r="J156">
        <v>25000</v>
      </c>
      <c r="K156">
        <v>1776</v>
      </c>
      <c r="L156" s="2">
        <f t="shared" si="108"/>
        <v>14.076576576576576</v>
      </c>
      <c r="M156">
        <v>1.1000000000000001</v>
      </c>
      <c r="N156">
        <v>75</v>
      </c>
      <c r="O156">
        <v>6</v>
      </c>
      <c r="P156" s="2">
        <f t="shared" si="64"/>
        <v>117.26548785570658</v>
      </c>
      <c r="Q156" s="2">
        <f t="shared" si="109"/>
        <v>205.76548785570657</v>
      </c>
      <c r="R156">
        <v>4.7</v>
      </c>
      <c r="S156" s="2">
        <v>65.433826960328489</v>
      </c>
      <c r="T156" s="1">
        <v>0.03</v>
      </c>
      <c r="U156" s="2">
        <f t="shared" si="139"/>
        <v>63.470812151518629</v>
      </c>
      <c r="V156" s="2">
        <f t="shared" ref="V156:V158" si="140">S156*0.2</f>
        <v>13.086765392065699</v>
      </c>
      <c r="W156" s="2">
        <f t="shared" ref="W156:W158" si="141">U156*0.3</f>
        <v>19.041243645455587</v>
      </c>
      <c r="X156" s="3">
        <v>5</v>
      </c>
      <c r="Y156" s="1">
        <v>0.8</v>
      </c>
      <c r="Z156" s="3">
        <f t="shared" si="110"/>
        <v>4</v>
      </c>
      <c r="AA156" s="3">
        <f>IF(I156&lt;&gt;"",X156/INDEX('energy battery'!$B$3:$D$6,MATCH('vehicles specifications'!$D156,'energy battery'!$A$3:$A$6,0),MATCH('vehicles specifications'!$I156,'energy battery'!$B$2:$D$2,0)),"")</f>
        <v>16.666666666666668</v>
      </c>
      <c r="AB156" s="3">
        <f t="shared" si="115"/>
        <v>5</v>
      </c>
      <c r="AC156" s="3">
        <f t="shared" si="116"/>
        <v>21.666666666666668</v>
      </c>
      <c r="AD156" s="3">
        <v>0.5</v>
      </c>
      <c r="AE156" s="3">
        <v>0</v>
      </c>
      <c r="AF156">
        <f>AE156*'fuels and tailpipe emissions'!$B$3</f>
        <v>0</v>
      </c>
      <c r="AG156">
        <v>0</v>
      </c>
      <c r="AH156" s="3">
        <v>0</v>
      </c>
      <c r="AI156" s="3">
        <v>3</v>
      </c>
      <c r="AJ156" s="3">
        <v>1</v>
      </c>
      <c r="AK156">
        <f t="shared" si="129"/>
        <v>1</v>
      </c>
      <c r="AL156">
        <f t="shared" si="65"/>
        <v>1.1049606697851443E-4</v>
      </c>
      <c r="AM156">
        <v>1.2899999999999999E-3</v>
      </c>
      <c r="AN156" s="2">
        <f t="shared" si="111"/>
        <v>63.470812151518629</v>
      </c>
      <c r="AO156" s="2">
        <f t="shared" si="112"/>
        <v>32.128009037521288</v>
      </c>
      <c r="AP156" s="2">
        <f t="shared" si="113"/>
        <v>21.666666666666668</v>
      </c>
      <c r="AQ156" s="6" t="s">
        <v>85</v>
      </c>
      <c r="AR156" s="20"/>
      <c r="AS156" s="6">
        <v>0.182</v>
      </c>
      <c r="AT156" s="2">
        <f t="shared" si="130"/>
        <v>79.120879120879124</v>
      </c>
      <c r="AU156" s="5">
        <v>0</v>
      </c>
      <c r="AV156" s="5">
        <v>0</v>
      </c>
      <c r="AW156" s="7">
        <v>0</v>
      </c>
      <c r="AX156" s="7">
        <v>0</v>
      </c>
      <c r="AY156" s="7">
        <v>0</v>
      </c>
      <c r="AZ156" s="7">
        <v>0</v>
      </c>
      <c r="BA156" s="7">
        <v>0</v>
      </c>
      <c r="BB156" s="7">
        <v>0</v>
      </c>
      <c r="BC156" s="7">
        <v>0</v>
      </c>
      <c r="BD156" s="7">
        <v>0</v>
      </c>
      <c r="BE156" s="7">
        <v>0</v>
      </c>
      <c r="BF156" s="7">
        <v>0</v>
      </c>
      <c r="BG156" s="7">
        <v>0</v>
      </c>
      <c r="BH156" s="7">
        <v>0</v>
      </c>
      <c r="BI156" s="7">
        <v>0</v>
      </c>
      <c r="BJ156" s="7">
        <v>0</v>
      </c>
      <c r="BK156" s="7">
        <v>0</v>
      </c>
      <c r="BL156" s="7">
        <v>0</v>
      </c>
      <c r="BM156" s="7">
        <v>0</v>
      </c>
      <c r="BN156" s="7">
        <v>0</v>
      </c>
      <c r="BO156" s="7">
        <v>0</v>
      </c>
      <c r="BP156" s="7">
        <v>0</v>
      </c>
      <c r="BQ156" s="7">
        <v>0</v>
      </c>
      <c r="BR156" s="7">
        <v>0</v>
      </c>
      <c r="BS156" s="7">
        <v>0</v>
      </c>
      <c r="BT156" s="7">
        <v>0</v>
      </c>
      <c r="BU156" s="7">
        <v>0</v>
      </c>
      <c r="BV156" s="7">
        <v>0</v>
      </c>
      <c r="BW156" s="7">
        <v>0</v>
      </c>
      <c r="BX156" s="7">
        <v>0</v>
      </c>
      <c r="BY156" s="7">
        <v>0</v>
      </c>
      <c r="BZ156" s="7">
        <v>0</v>
      </c>
      <c r="CA156" s="7">
        <v>0</v>
      </c>
      <c r="CB156" s="7">
        <v>0</v>
      </c>
      <c r="CC156" s="7">
        <v>0</v>
      </c>
      <c r="CD156" s="7">
        <v>0</v>
      </c>
      <c r="CE156" s="7">
        <v>0</v>
      </c>
      <c r="CF156" s="7">
        <v>0</v>
      </c>
      <c r="CG156" s="7">
        <v>0</v>
      </c>
      <c r="CH156" s="7">
        <v>0</v>
      </c>
      <c r="CI156" s="7">
        <v>0</v>
      </c>
      <c r="CJ156" s="7">
        <v>0</v>
      </c>
      <c r="CK156" s="38">
        <f>VLOOKUP($B156,'abrasion emissions'!$O$7:$R$36,2,FALSE)</f>
        <v>0.33</v>
      </c>
      <c r="CL156" s="38">
        <f>VLOOKUP($B156,'abrasion emissions'!$O$7:$R$36,3,FALSE)</f>
        <v>0.33</v>
      </c>
      <c r="CM156" s="38">
        <f>VLOOKUP($B156,'abrasion emissions'!$O$7:$R$36,4,FALSE)</f>
        <v>0.33</v>
      </c>
      <c r="CN156" s="7">
        <f>((SUMIFS('abrasion emissions'!$M$7:$M$34,'abrasion emissions'!$I$7:$I$34,"PM 2.5",'abrasion emissions'!$J$7:$J$34,"urban",'abrasion emissions'!$K$7:$K$34,"Tyre",'abrasion emissions'!$L$7:$L$34,"b")*POWER(('vehicles specifications'!$Q156/1000),(1/SUMIFS('abrasion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specifications'!$P156/1000),(1/SUMIFS('abrasion emissions'!$M$7:$M$34,'abrasion emissions'!$I$7:$I$34,"PM 10",'abrasion emissions'!$J$7:$J$34,"urban",'abrasion emissions'!$K$7:$K$34,"Tyre",'abrasion emissions'!$L$7:$L$34,"c")))))/1000000</f>
        <v>6.4077570646184653E-6</v>
      </c>
      <c r="CO156" s="7">
        <f>((SUMIFS('abrasion emissions'!$M$7:$M$34,'abrasion emissions'!$I$7:$I$34,"PM 2.5",'abrasion emissions'!$J$7:$J$34,"rural",'abrasion emissions'!$K$7:$K$34,"Tyre",'abrasion emissions'!$L$7:$L$34,"b")*POWER(('vehicles specifications'!$Q156/1000),(1/SUMIFS('abrasion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specifications'!$P156/1000),(1/SUMIFS('abrasion emissions'!$M$7:$M$34,'abrasion emissions'!$I$7:$I$34,"PM 10",'abrasion emissions'!$J$7:$J$34,"rural",'abrasion emissions'!$K$7:$K$34,"Tyre",'abrasion emissions'!$L$7:$L$34,"c")))))/1000000</f>
        <v>4.9906104980945508E-6</v>
      </c>
      <c r="CP156" s="7">
        <f>((SUMIFS('abrasion emissions'!$M$7:$M$34,'abrasion emissions'!$I$7:$I$34,"PM 2.5",'abrasion emissions'!$J$7:$J$34,"motorway",'abrasion emissions'!$K$7:$K$34,"Tyre",'abrasion emissions'!$L$7:$L$34,"b")*POWER(('vehicles specifications'!$Q156/1000),(1/SUMIFS('abrasion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specifications'!$P156/1000),(1/SUMIFS('abrasion emissions'!$M$7:$M$34,'abrasion emissions'!$I$7:$I$34,"PM 10",'abrasion emissions'!$J$7:$J$34,"motorway",'abrasion emissions'!$K$7:$K$34,"Tyre",'abrasion emissions'!$L$7:$L$34,"c")))))/1000000</f>
        <v>4.2623465036546672E-6</v>
      </c>
      <c r="CQ156" s="7">
        <f>((SUMIFS('abrasion emissions'!$M$7:$M$34,'abrasion emissions'!$I$7:$I$34,"PM 2.5",'abrasion emissions'!$J$7:$J$34,"urban",'abrasion emissions'!$K$7:$K$34,"Brake",'abrasion emissions'!$L$7:$L$34,"b")*POWER(('vehicles specifications'!$Q156/1000),(1/SUMIFS('abrasion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specifications'!$P156/1000),(1/SUMIFS('abrasion emissions'!$M$7:$M$34,'abrasion emissions'!$I$7:$I$34,"PM 10",'abrasion emissions'!$J$7:$J$34,"urban",'abrasion emissions'!$K$7:$K$34,"Brake",'abrasion emissions'!$L$7:$L$34,"c")))))/1000000</f>
        <v>6.1457827649448985E-6</v>
      </c>
      <c r="CR156" s="7">
        <f>((SUMIFS('abrasion emissions'!$M$7:$M$34,'abrasion emissions'!$I$7:$I$34,"PM 2.5",'abrasion emissions'!$J$7:$J$34,"rural",'abrasion emissions'!$K$7:$K$34,"Brake",'abrasion emissions'!$L$7:$L$34,"b")*POWER(('vehicles specifications'!$Q156/1000),(1/SUMIFS('abrasion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specifications'!$P156/1000),(1/SUMIFS('abrasion emissions'!$M$7:$M$34,'abrasion emissions'!$I$7:$I$34,"PM 10",'abrasion emissions'!$J$7:$J$34,"rural",'abrasion emissions'!$K$7:$K$34,"Brake",'abrasion emissions'!$L$7:$L$34,"c")))))/1000000</f>
        <v>1.9996548522128435E-6</v>
      </c>
      <c r="CS156" s="7">
        <f>((SUMIFS('abrasion emissions'!$M$7:$M$34,'abrasion emissions'!$I$7:$I$34,"PM 2.5",'abrasion emissions'!$J$7:$J$34,"motorway",'abrasion emissions'!$K$7:$K$34,"Brake",'abrasion emissions'!$L$7:$L$34,"b")*POWER(('vehicles specifications'!$Q156/1000),(1/SUMIFS('abrasion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specifications'!$P156/1000),(1/SUMIFS('abrasion emissions'!$M$7:$M$34,'abrasion emissions'!$I$7:$I$34,"PM 10",'abrasion emissions'!$J$7:$J$34,"motorway",'abrasion emissions'!$K$7:$K$34,"Brake",'abrasion emissions'!$L$7:$L$34,"c")))))/1000000</f>
        <v>3.7328332344647303E-7</v>
      </c>
      <c r="CT156" s="7">
        <f>((SUMIFS('abrasion emissions'!$M$7:$M$38,'abrasion emissions'!$I$7:$I$38,"PM 2.5",'abrasion emissions'!$K$7:$K$38,"Re-susp.",'abrasion emissions'!$L$7:$L$38,"b")*POWER(('vehicles specifications'!$Q156/1000),(1/SUMIFS('abrasion emissions'!$M$7:$M$38,'abrasion emissions'!$I$7:$I$38,"PM 2.5",'abrasion emissions'!$K$7:$K$38,"Re-susp.",'abrasion emissions'!$L$7:$L$38,"c"))))+
(SUMIFS('abrasion emissions'!$M$7:$M$38,'abrasion emissions'!$I$7:$I$38,"PM 10",'abrasion emissions'!$K$7:$K$38,"Re-susp.",'abrasion emissions'!$L$7:$L$38,"b")*POWER(('vehicles specifications'!$Q156/1000),(1/SUMIFS('abrasion emissions'!$M$7:$M$38,'abrasion emissions'!$I$7:$I$38,"PM 10",'abrasion emissions'!$K$7:$K$38,"Re-susp.",'abrasion emissions'!$L$7:$L$38,"c")))))/1000000</f>
        <v>3.8961624907284815E-6</v>
      </c>
      <c r="CU156" s="7">
        <f>((SUMIFS('abrasion emissions'!$M$7:$M$38,'abrasion emissions'!$I$7:$I$38,"PM 2.5",'abrasion emissions'!$K$7:$K$38,"Road",'abrasion emissions'!$L$7:$L$38,"b")*POWER(('vehicles specifications'!$Q156/1000),(1/SUMIFS('abrasion emissions'!$M$7:$M$38,'abrasion emissions'!$I$7:$I$38,"PM 2.5",'abrasion emissions'!$K$7:$K$38,"Road",'abrasion emissions'!$L$7:$L$38,"c"))))+
(SUMIFS('abrasion emissions'!$M$7:$M$38,'abrasion emissions'!$I$7:$I$38,"PM 10",'abrasion emissions'!$K$7:$K$38,"Road",'abrasion emissions'!$L$7:$L$38,"b")*POWER(('vehicles specifications'!$Q156/1000),(1/SUMIFS('abrasion emissions'!$M$7:$M$38,'abrasion emissions'!$I$7:$I$38,"PM 10",'abrasion emissions'!$K$7:$K$38,"Road",'abrasion emissions'!$L$7:$L$38,"c")))))/1000000+CT156</f>
        <v>7.451235531118589E-6</v>
      </c>
      <c r="CV156" s="7">
        <f t="shared" si="131"/>
        <v>5.1680356419013357E-6</v>
      </c>
      <c r="CW156" s="7">
        <f t="shared" si="132"/>
        <v>2.8111779103993913E-6</v>
      </c>
    </row>
    <row r="157" spans="1:101" x14ac:dyDescent="0.2">
      <c r="A157" t="str">
        <f t="shared" si="114"/>
        <v>Motorbike, electric, 4-11kW - 2040 - NCA - CH</v>
      </c>
      <c r="B157" t="s">
        <v>268</v>
      </c>
      <c r="D157" s="18">
        <v>2040</v>
      </c>
      <c r="E157" t="s">
        <v>37</v>
      </c>
      <c r="F157" t="s">
        <v>138</v>
      </c>
      <c r="G157" t="s">
        <v>39</v>
      </c>
      <c r="H157" t="s">
        <v>32</v>
      </c>
      <c r="I157" t="s">
        <v>45</v>
      </c>
      <c r="J157">
        <v>25000</v>
      </c>
      <c r="K157">
        <v>1776</v>
      </c>
      <c r="L157" s="2">
        <f t="shared" si="108"/>
        <v>14.076576576576576</v>
      </c>
      <c r="M157">
        <v>1.1000000000000001</v>
      </c>
      <c r="N157">
        <v>75</v>
      </c>
      <c r="O157">
        <v>6</v>
      </c>
      <c r="P157" s="2">
        <f t="shared" si="64"/>
        <v>116.64754168807137</v>
      </c>
      <c r="Q157" s="2">
        <f t="shared" si="109"/>
        <v>205.14754168807139</v>
      </c>
      <c r="R157">
        <v>4.7</v>
      </c>
      <c r="S157" s="2">
        <v>65.433826960328489</v>
      </c>
      <c r="T157" s="1">
        <v>0.05</v>
      </c>
      <c r="U157" s="2">
        <f t="shared" si="139"/>
        <v>62.162135612312063</v>
      </c>
      <c r="V157" s="2">
        <f t="shared" si="140"/>
        <v>13.086765392065699</v>
      </c>
      <c r="W157" s="2">
        <f t="shared" si="141"/>
        <v>18.648640683693618</v>
      </c>
      <c r="X157" s="3">
        <v>7</v>
      </c>
      <c r="Y157" s="1">
        <v>0.8</v>
      </c>
      <c r="Z157" s="3">
        <f t="shared" si="110"/>
        <v>5.6000000000000005</v>
      </c>
      <c r="AA157" s="3">
        <f>IF(I157&lt;&gt;"",X157/INDEX('energy battery'!$B$3:$D$6,MATCH('vehicles specifications'!$D157,'energy battery'!$A$3:$A$6,0),MATCH('vehicles specifications'!$I157,'energy battery'!$B$2:$D$2,0)),"")</f>
        <v>17.5</v>
      </c>
      <c r="AB157" s="3">
        <f t="shared" si="115"/>
        <v>5.25</v>
      </c>
      <c r="AC157" s="3">
        <f t="shared" si="116"/>
        <v>22.75</v>
      </c>
      <c r="AD157" s="3">
        <v>0.25</v>
      </c>
      <c r="AE157" s="3">
        <v>0</v>
      </c>
      <c r="AF157">
        <f>AE157*'fuels and tailpipe emissions'!$B$3</f>
        <v>0</v>
      </c>
      <c r="AG157">
        <v>0</v>
      </c>
      <c r="AH157" s="3">
        <v>0</v>
      </c>
      <c r="AI157" s="3">
        <v>3</v>
      </c>
      <c r="AJ157" s="3">
        <v>1</v>
      </c>
      <c r="AK157">
        <f t="shared" si="129"/>
        <v>1</v>
      </c>
      <c r="AL157">
        <f t="shared" si="65"/>
        <v>1.1016422988649433E-4</v>
      </c>
      <c r="AM157">
        <v>1.2899999999999999E-3</v>
      </c>
      <c r="AN157" s="2">
        <f t="shared" si="111"/>
        <v>62.162135612312063</v>
      </c>
      <c r="AO157" s="2">
        <f t="shared" si="112"/>
        <v>31.735406075759315</v>
      </c>
      <c r="AP157" s="2">
        <f t="shared" si="113"/>
        <v>22.75</v>
      </c>
      <c r="AQ157" s="6" t="s">
        <v>85</v>
      </c>
      <c r="AR157" s="20"/>
      <c r="AS157" s="6">
        <v>0.182</v>
      </c>
      <c r="AT157" s="2">
        <f t="shared" si="130"/>
        <v>110.76923076923079</v>
      </c>
      <c r="AU157" s="5">
        <v>0</v>
      </c>
      <c r="AV157" s="5">
        <v>0</v>
      </c>
      <c r="AW157" s="7">
        <v>0</v>
      </c>
      <c r="AX157" s="7">
        <v>0</v>
      </c>
      <c r="AY157" s="7">
        <v>0</v>
      </c>
      <c r="AZ157" s="7">
        <v>0</v>
      </c>
      <c r="BA157" s="7">
        <v>0</v>
      </c>
      <c r="BB157" s="7">
        <v>0</v>
      </c>
      <c r="BC157" s="7">
        <v>0</v>
      </c>
      <c r="BD157" s="7">
        <v>0</v>
      </c>
      <c r="BE157" s="7">
        <v>0</v>
      </c>
      <c r="BF157" s="7">
        <v>0</v>
      </c>
      <c r="BG157" s="7">
        <v>0</v>
      </c>
      <c r="BH157" s="7">
        <v>0</v>
      </c>
      <c r="BI157" s="7">
        <v>0</v>
      </c>
      <c r="BJ157" s="7">
        <v>0</v>
      </c>
      <c r="BK157" s="7">
        <v>0</v>
      </c>
      <c r="BL157" s="7">
        <v>0</v>
      </c>
      <c r="BM157" s="7">
        <v>0</v>
      </c>
      <c r="BN157" s="7">
        <v>0</v>
      </c>
      <c r="BO157" s="7">
        <v>0</v>
      </c>
      <c r="BP157" s="7">
        <v>0</v>
      </c>
      <c r="BQ157" s="7">
        <v>0</v>
      </c>
      <c r="BR157" s="7">
        <v>0</v>
      </c>
      <c r="BS157" s="7">
        <v>0</v>
      </c>
      <c r="BT157" s="7">
        <v>0</v>
      </c>
      <c r="BU157" s="7">
        <v>0</v>
      </c>
      <c r="BV157" s="7">
        <v>0</v>
      </c>
      <c r="BW157" s="7">
        <v>0</v>
      </c>
      <c r="BX157" s="7">
        <v>0</v>
      </c>
      <c r="BY157" s="7">
        <v>0</v>
      </c>
      <c r="BZ157" s="7">
        <v>0</v>
      </c>
      <c r="CA157" s="7">
        <v>0</v>
      </c>
      <c r="CB157" s="7">
        <v>0</v>
      </c>
      <c r="CC157" s="7">
        <v>0</v>
      </c>
      <c r="CD157" s="7">
        <v>0</v>
      </c>
      <c r="CE157" s="7">
        <v>0</v>
      </c>
      <c r="CF157" s="7">
        <v>0</v>
      </c>
      <c r="CG157" s="7">
        <v>0</v>
      </c>
      <c r="CH157" s="7">
        <v>0</v>
      </c>
      <c r="CI157" s="7">
        <v>0</v>
      </c>
      <c r="CJ157" s="7">
        <v>0</v>
      </c>
      <c r="CK157" s="38">
        <f>VLOOKUP($B157,'abrasion emissions'!$O$7:$R$36,2,FALSE)</f>
        <v>0.33</v>
      </c>
      <c r="CL157" s="38">
        <f>VLOOKUP($B157,'abrasion emissions'!$O$7:$R$36,3,FALSE)</f>
        <v>0.33</v>
      </c>
      <c r="CM157" s="38">
        <f>VLOOKUP($B157,'abrasion emissions'!$O$7:$R$36,4,FALSE)</f>
        <v>0.33</v>
      </c>
      <c r="CN157" s="7">
        <f>((SUMIFS('abrasion emissions'!$M$7:$M$34,'abrasion emissions'!$I$7:$I$34,"PM 2.5",'abrasion emissions'!$J$7:$J$34,"urban",'abrasion emissions'!$K$7:$K$34,"Tyre",'abrasion emissions'!$L$7:$L$34,"b")*POWER(('vehicles specifications'!$Q157/1000),(1/SUMIFS('abrasion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specifications'!$P157/1000),(1/SUMIFS('abrasion emissions'!$M$7:$M$34,'abrasion emissions'!$I$7:$I$34,"PM 10",'abrasion emissions'!$J$7:$J$34,"urban",'abrasion emissions'!$K$7:$K$34,"Tyre",'abrasion emissions'!$L$7:$L$34,"c")))))/1000000</f>
        <v>6.3971271017223438E-6</v>
      </c>
      <c r="CO157" s="7">
        <f>((SUMIFS('abrasion emissions'!$M$7:$M$34,'abrasion emissions'!$I$7:$I$34,"PM 2.5",'abrasion emissions'!$J$7:$J$34,"rural",'abrasion emissions'!$K$7:$K$34,"Tyre",'abrasion emissions'!$L$7:$L$34,"b")*POWER(('vehicles specifications'!$Q157/1000),(1/SUMIFS('abrasion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specifications'!$P157/1000),(1/SUMIFS('abrasion emissions'!$M$7:$M$34,'abrasion emissions'!$I$7:$I$34,"PM 10",'abrasion emissions'!$J$7:$J$34,"rural",'abrasion emissions'!$K$7:$K$34,"Tyre",'abrasion emissions'!$L$7:$L$34,"c")))))/1000000</f>
        <v>4.9823381854988199E-6</v>
      </c>
      <c r="CP157" s="7">
        <f>((SUMIFS('abrasion emissions'!$M$7:$M$34,'abrasion emissions'!$I$7:$I$34,"PM 2.5",'abrasion emissions'!$J$7:$J$34,"motorway",'abrasion emissions'!$K$7:$K$34,"Tyre",'abrasion emissions'!$L$7:$L$34,"b")*POWER(('vehicles specifications'!$Q157/1000),(1/SUMIFS('abrasion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specifications'!$P157/1000),(1/SUMIFS('abrasion emissions'!$M$7:$M$34,'abrasion emissions'!$I$7:$I$34,"PM 10",'abrasion emissions'!$J$7:$J$34,"motorway",'abrasion emissions'!$K$7:$K$34,"Tyre",'abrasion emissions'!$L$7:$L$34,"c")))))/1000000</f>
        <v>4.2552981978569041E-6</v>
      </c>
      <c r="CQ157" s="7">
        <f>((SUMIFS('abrasion emissions'!$M$7:$M$34,'abrasion emissions'!$I$7:$I$34,"PM 2.5",'abrasion emissions'!$J$7:$J$34,"urban",'abrasion emissions'!$K$7:$K$34,"Brake",'abrasion emissions'!$L$7:$L$34,"b")*POWER(('vehicles specifications'!$Q157/1000),(1/SUMIFS('abrasion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specifications'!$P157/1000),(1/SUMIFS('abrasion emissions'!$M$7:$M$34,'abrasion emissions'!$I$7:$I$34,"PM 10",'abrasion emissions'!$J$7:$J$34,"urban",'abrasion emissions'!$K$7:$K$34,"Brake",'abrasion emissions'!$L$7:$L$34,"c")))))/1000000</f>
        <v>6.1344370045756962E-6</v>
      </c>
      <c r="CR157" s="7">
        <f>((SUMIFS('abrasion emissions'!$M$7:$M$34,'abrasion emissions'!$I$7:$I$34,"PM 2.5",'abrasion emissions'!$J$7:$J$34,"rural",'abrasion emissions'!$K$7:$K$34,"Brake",'abrasion emissions'!$L$7:$L$34,"b")*POWER(('vehicles specifications'!$Q157/1000),(1/SUMIFS('abrasion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specifications'!$P157/1000),(1/SUMIFS('abrasion emissions'!$M$7:$M$34,'abrasion emissions'!$I$7:$I$34,"PM 10",'abrasion emissions'!$J$7:$J$34,"rural",'abrasion emissions'!$K$7:$K$34,"Brake",'abrasion emissions'!$L$7:$L$34,"c")))))/1000000</f>
        <v>1.9949968285058141E-6</v>
      </c>
      <c r="CS157" s="7">
        <f>((SUMIFS('abrasion emissions'!$M$7:$M$34,'abrasion emissions'!$I$7:$I$34,"PM 2.5",'abrasion emissions'!$J$7:$J$34,"motorway",'abrasion emissions'!$K$7:$K$34,"Brake",'abrasion emissions'!$L$7:$L$34,"b")*POWER(('vehicles specifications'!$Q157/1000),(1/SUMIFS('abrasion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specifications'!$P157/1000),(1/SUMIFS('abrasion emissions'!$M$7:$M$34,'abrasion emissions'!$I$7:$I$34,"PM 10",'abrasion emissions'!$J$7:$J$34,"motorway",'abrasion emissions'!$K$7:$K$34,"Brake",'abrasion emissions'!$L$7:$L$34,"c")))))/1000000</f>
        <v>3.7228646124235908E-7</v>
      </c>
      <c r="CT157" s="7">
        <f>((SUMIFS('abrasion emissions'!$M$7:$M$38,'abrasion emissions'!$I$7:$I$38,"PM 2.5",'abrasion emissions'!$K$7:$K$38,"Re-susp.",'abrasion emissions'!$L$7:$L$38,"b")*POWER(('vehicles specifications'!$Q157/1000),(1/SUMIFS('abrasion emissions'!$M$7:$M$38,'abrasion emissions'!$I$7:$I$38,"PM 2.5",'abrasion emissions'!$K$7:$K$38,"Re-susp.",'abrasion emissions'!$L$7:$L$38,"c"))))+
(SUMIFS('abrasion emissions'!$M$7:$M$38,'abrasion emissions'!$I$7:$I$38,"PM 10",'abrasion emissions'!$K$7:$K$38,"Re-susp.",'abrasion emissions'!$L$7:$L$38,"b")*POWER(('vehicles specifications'!$Q157/1000),(1/SUMIFS('abrasion emissions'!$M$7:$M$38,'abrasion emissions'!$I$7:$I$38,"PM 10",'abrasion emissions'!$K$7:$K$38,"Re-susp.",'abrasion emissions'!$L$7:$L$38,"c")))))/1000000</f>
        <v>3.8855239556511092E-6</v>
      </c>
      <c r="CU157" s="7">
        <f>((SUMIFS('abrasion emissions'!$M$7:$M$38,'abrasion emissions'!$I$7:$I$38,"PM 2.5",'abrasion emissions'!$K$7:$K$38,"Road",'abrasion emissions'!$L$7:$L$38,"b")*POWER(('vehicles specifications'!$Q157/1000),(1/SUMIFS('abrasion emissions'!$M$7:$M$38,'abrasion emissions'!$I$7:$I$38,"PM 2.5",'abrasion emissions'!$K$7:$K$38,"Road",'abrasion emissions'!$L$7:$L$38,"c"))))+
(SUMIFS('abrasion emissions'!$M$7:$M$38,'abrasion emissions'!$I$7:$I$38,"PM 10",'abrasion emissions'!$K$7:$K$38,"Road",'abrasion emissions'!$L$7:$L$38,"b")*POWER(('vehicles specifications'!$Q157/1000),(1/SUMIFS('abrasion emissions'!$M$7:$M$38,'abrasion emissions'!$I$7:$I$38,"PM 10",'abrasion emissions'!$K$7:$K$38,"Road",'abrasion emissions'!$L$7:$L$38,"c")))))/1000000+CT157</f>
        <v>7.4334757992131559E-6</v>
      </c>
      <c r="CV157" s="7">
        <f t="shared" si="131"/>
        <v>5.1594719500757633E-6</v>
      </c>
      <c r="CW157" s="7">
        <f t="shared" si="132"/>
        <v>2.805567697126877E-6</v>
      </c>
    </row>
    <row r="158" spans="1:101" x14ac:dyDescent="0.2">
      <c r="A158" t="str">
        <f t="shared" si="114"/>
        <v>Motorbike, electric, 4-11kW - 2050 - NCA - CH</v>
      </c>
      <c r="B158" t="s">
        <v>268</v>
      </c>
      <c r="D158" s="18">
        <v>2050</v>
      </c>
      <c r="E158" t="s">
        <v>37</v>
      </c>
      <c r="F158" t="s">
        <v>138</v>
      </c>
      <c r="G158" t="s">
        <v>39</v>
      </c>
      <c r="H158" t="s">
        <v>32</v>
      </c>
      <c r="I158" t="s">
        <v>45</v>
      </c>
      <c r="J158">
        <v>25000</v>
      </c>
      <c r="K158">
        <v>1776</v>
      </c>
      <c r="L158" s="2">
        <f t="shared" si="108"/>
        <v>14.076576576576576</v>
      </c>
      <c r="M158">
        <v>1.1000000000000001</v>
      </c>
      <c r="N158">
        <v>75</v>
      </c>
      <c r="O158">
        <v>6</v>
      </c>
      <c r="P158" s="2">
        <f t="shared" si="64"/>
        <v>116.89626218710283</v>
      </c>
      <c r="Q158" s="2">
        <f t="shared" si="109"/>
        <v>205.39626218710282</v>
      </c>
      <c r="R158">
        <v>4.7</v>
      </c>
      <c r="S158" s="2">
        <v>65.433826960328489</v>
      </c>
      <c r="T158" s="1">
        <v>7.0000000000000007E-2</v>
      </c>
      <c r="U158" s="2">
        <f t="shared" si="139"/>
        <v>60.853459073105491</v>
      </c>
      <c r="V158" s="2">
        <f t="shared" si="140"/>
        <v>13.086765392065699</v>
      </c>
      <c r="W158" s="2">
        <f t="shared" si="141"/>
        <v>18.256037721931648</v>
      </c>
      <c r="X158" s="3">
        <v>9.5</v>
      </c>
      <c r="Y158" s="1">
        <v>0.8</v>
      </c>
      <c r="Z158" s="3">
        <f t="shared" si="110"/>
        <v>7.6000000000000005</v>
      </c>
      <c r="AA158" s="3">
        <f>IF(I158&lt;&gt;"",X158/INDEX('energy battery'!$B$3:$D$6,MATCH('vehicles specifications'!$D158,'energy battery'!$A$3:$A$6,0),MATCH('vehicles specifications'!$I158,'energy battery'!$B$2:$D$2,0)),"")</f>
        <v>19</v>
      </c>
      <c r="AB158" s="3">
        <f t="shared" si="115"/>
        <v>5.7</v>
      </c>
      <c r="AC158" s="3">
        <f t="shared" si="116"/>
        <v>24.7</v>
      </c>
      <c r="AD158" s="3">
        <v>0</v>
      </c>
      <c r="AE158" s="3">
        <v>0</v>
      </c>
      <c r="AF158">
        <f>AE158*'fuels and tailpipe emissions'!$B$3</f>
        <v>0</v>
      </c>
      <c r="AG158">
        <v>0</v>
      </c>
      <c r="AH158" s="3">
        <v>0</v>
      </c>
      <c r="AI158" s="3">
        <v>3</v>
      </c>
      <c r="AJ158" s="3">
        <v>1</v>
      </c>
      <c r="AK158">
        <f t="shared" si="129"/>
        <v>1</v>
      </c>
      <c r="AL158">
        <f t="shared" si="65"/>
        <v>1.1029779279447421E-4</v>
      </c>
      <c r="AM158">
        <v>1.2899999999999999E-3</v>
      </c>
      <c r="AN158" s="2">
        <f t="shared" si="111"/>
        <v>60.853459073105491</v>
      </c>
      <c r="AO158" s="2">
        <f t="shared" si="112"/>
        <v>31.342803113997348</v>
      </c>
      <c r="AP158" s="2">
        <f t="shared" si="113"/>
        <v>24.7</v>
      </c>
      <c r="AQ158" s="6" t="s">
        <v>85</v>
      </c>
      <c r="AR158" s="20"/>
      <c r="AS158" s="6">
        <v>0.182</v>
      </c>
      <c r="AT158" s="2">
        <f t="shared" si="130"/>
        <v>150.32967032967034</v>
      </c>
      <c r="AU158" s="5">
        <v>0</v>
      </c>
      <c r="AV158" s="5">
        <v>0</v>
      </c>
      <c r="AW158" s="7">
        <v>0</v>
      </c>
      <c r="AX158" s="7">
        <v>0</v>
      </c>
      <c r="AY158" s="7">
        <v>0</v>
      </c>
      <c r="AZ158" s="7">
        <v>0</v>
      </c>
      <c r="BA158" s="7">
        <v>0</v>
      </c>
      <c r="BB158" s="7">
        <v>0</v>
      </c>
      <c r="BC158" s="7">
        <v>0</v>
      </c>
      <c r="BD158" s="7">
        <v>0</v>
      </c>
      <c r="BE158" s="7">
        <v>0</v>
      </c>
      <c r="BF158" s="7">
        <v>0</v>
      </c>
      <c r="BG158" s="7">
        <v>0</v>
      </c>
      <c r="BH158" s="7">
        <v>0</v>
      </c>
      <c r="BI158" s="7">
        <v>0</v>
      </c>
      <c r="BJ158" s="7">
        <v>0</v>
      </c>
      <c r="BK158" s="7">
        <v>0</v>
      </c>
      <c r="BL158" s="7">
        <v>0</v>
      </c>
      <c r="BM158" s="7">
        <v>0</v>
      </c>
      <c r="BN158" s="7">
        <v>0</v>
      </c>
      <c r="BO158" s="7">
        <v>0</v>
      </c>
      <c r="BP158" s="7">
        <v>0</v>
      </c>
      <c r="BQ158" s="7">
        <v>0</v>
      </c>
      <c r="BR158" s="7">
        <v>0</v>
      </c>
      <c r="BS158" s="7">
        <v>0</v>
      </c>
      <c r="BT158" s="7">
        <v>0</v>
      </c>
      <c r="BU158" s="7">
        <v>0</v>
      </c>
      <c r="BV158" s="7">
        <v>0</v>
      </c>
      <c r="BW158" s="7">
        <v>0</v>
      </c>
      <c r="BX158" s="7">
        <v>0</v>
      </c>
      <c r="BY158" s="7">
        <v>0</v>
      </c>
      <c r="BZ158" s="7">
        <v>0</v>
      </c>
      <c r="CA158" s="7">
        <v>0</v>
      </c>
      <c r="CB158" s="7">
        <v>0</v>
      </c>
      <c r="CC158" s="7">
        <v>0</v>
      </c>
      <c r="CD158" s="7">
        <v>0</v>
      </c>
      <c r="CE158" s="7">
        <v>0</v>
      </c>
      <c r="CF158" s="7">
        <v>0</v>
      </c>
      <c r="CG158" s="7">
        <v>0</v>
      </c>
      <c r="CH158" s="7">
        <v>0</v>
      </c>
      <c r="CI158" s="7">
        <v>0</v>
      </c>
      <c r="CJ158" s="7">
        <v>0</v>
      </c>
      <c r="CK158" s="38">
        <f>VLOOKUP($B158,'abrasion emissions'!$O$7:$R$36,2,FALSE)</f>
        <v>0.33</v>
      </c>
      <c r="CL158" s="38">
        <f>VLOOKUP($B158,'abrasion emissions'!$O$7:$R$36,3,FALSE)</f>
        <v>0.33</v>
      </c>
      <c r="CM158" s="38">
        <f>VLOOKUP($B158,'abrasion emissions'!$O$7:$R$36,4,FALSE)</f>
        <v>0.33</v>
      </c>
      <c r="CN158" s="7">
        <f>((SUMIFS('abrasion emissions'!$M$7:$M$34,'abrasion emissions'!$I$7:$I$34,"PM 2.5",'abrasion emissions'!$J$7:$J$34,"urban",'abrasion emissions'!$K$7:$K$34,"Tyre",'abrasion emissions'!$L$7:$L$34,"b")*POWER(('vehicles specifications'!$Q158/1000),(1/SUMIFS('abrasion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specifications'!$P158/1000),(1/SUMIFS('abrasion emissions'!$M$7:$M$34,'abrasion emissions'!$I$7:$I$34,"PM 10",'abrasion emissions'!$J$7:$J$34,"urban",'abrasion emissions'!$K$7:$K$34,"Tyre",'abrasion emissions'!$L$7:$L$34,"c")))))/1000000</f>
        <v>6.4014085973713807E-6</v>
      </c>
      <c r="CO158" s="7">
        <f>((SUMIFS('abrasion emissions'!$M$7:$M$34,'abrasion emissions'!$I$7:$I$34,"PM 2.5",'abrasion emissions'!$J$7:$J$34,"rural",'abrasion emissions'!$K$7:$K$34,"Tyre",'abrasion emissions'!$L$7:$L$34,"b")*POWER(('vehicles specifications'!$Q158/1000),(1/SUMIFS('abrasion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specifications'!$P158/1000),(1/SUMIFS('abrasion emissions'!$M$7:$M$34,'abrasion emissions'!$I$7:$I$34,"PM 10",'abrasion emissions'!$J$7:$J$34,"rural",'abrasion emissions'!$K$7:$K$34,"Tyre",'abrasion emissions'!$L$7:$L$34,"c")))))/1000000</f>
        <v>4.9856700739084942E-6</v>
      </c>
      <c r="CP158" s="7">
        <f>((SUMIFS('abrasion emissions'!$M$7:$M$34,'abrasion emissions'!$I$7:$I$34,"PM 2.5",'abrasion emissions'!$J$7:$J$34,"motorway",'abrasion emissions'!$K$7:$K$34,"Tyre",'abrasion emissions'!$L$7:$L$34,"b")*POWER(('vehicles specifications'!$Q158/1000),(1/SUMIFS('abrasion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specifications'!$P158/1000),(1/SUMIFS('abrasion emissions'!$M$7:$M$34,'abrasion emissions'!$I$7:$I$34,"PM 10",'abrasion emissions'!$J$7:$J$34,"motorway",'abrasion emissions'!$K$7:$K$34,"Tyre",'abrasion emissions'!$L$7:$L$34,"c")))))/1000000</f>
        <v>4.2581370810117798E-6</v>
      </c>
      <c r="CQ158" s="7">
        <f>((SUMIFS('abrasion emissions'!$M$7:$M$34,'abrasion emissions'!$I$7:$I$34,"PM 2.5",'abrasion emissions'!$J$7:$J$34,"urban",'abrasion emissions'!$K$7:$K$34,"Brake",'abrasion emissions'!$L$7:$L$34,"b")*POWER(('vehicles specifications'!$Q158/1000),(1/SUMIFS('abrasion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specifications'!$P158/1000),(1/SUMIFS('abrasion emissions'!$M$7:$M$34,'abrasion emissions'!$I$7:$I$34,"PM 10",'abrasion emissions'!$J$7:$J$34,"urban",'abrasion emissions'!$K$7:$K$34,"Brake",'abrasion emissions'!$L$7:$L$34,"c")))))/1000000</f>
        <v>6.1390060546103967E-6</v>
      </c>
      <c r="CR158" s="7">
        <f>((SUMIFS('abrasion emissions'!$M$7:$M$34,'abrasion emissions'!$I$7:$I$34,"PM 2.5",'abrasion emissions'!$J$7:$J$34,"rural",'abrasion emissions'!$K$7:$K$34,"Brake",'abrasion emissions'!$L$7:$L$34,"b")*POWER(('vehicles specifications'!$Q158/1000),(1/SUMIFS('abrasion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specifications'!$P158/1000),(1/SUMIFS('abrasion emissions'!$M$7:$M$34,'abrasion emissions'!$I$7:$I$34,"PM 10",'abrasion emissions'!$J$7:$J$34,"rural",'abrasion emissions'!$K$7:$K$34,"Brake",'abrasion emissions'!$L$7:$L$34,"c")))))/1000000</f>
        <v>1.9968723616785491E-6</v>
      </c>
      <c r="CS158" s="7">
        <f>((SUMIFS('abrasion emissions'!$M$7:$M$34,'abrasion emissions'!$I$7:$I$34,"PM 2.5",'abrasion emissions'!$J$7:$J$34,"motorway",'abrasion emissions'!$K$7:$K$34,"Brake",'abrasion emissions'!$L$7:$L$34,"b")*POWER(('vehicles specifications'!$Q158/1000),(1/SUMIFS('abrasion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specifications'!$P158/1000),(1/SUMIFS('abrasion emissions'!$M$7:$M$34,'abrasion emissions'!$I$7:$I$34,"PM 10",'abrasion emissions'!$J$7:$J$34,"motorway",'abrasion emissions'!$K$7:$K$34,"Brake",'abrasion emissions'!$L$7:$L$34,"c")))))/1000000</f>
        <v>3.7268779662713471E-7</v>
      </c>
      <c r="CT158" s="7">
        <f>((SUMIFS('abrasion emissions'!$M$7:$M$38,'abrasion emissions'!$I$7:$I$38,"PM 2.5",'abrasion emissions'!$K$7:$K$38,"Re-susp.",'abrasion emissions'!$L$7:$L$38,"b")*POWER(('vehicles specifications'!$Q158/1000),(1/SUMIFS('abrasion emissions'!$M$7:$M$38,'abrasion emissions'!$I$7:$I$38,"PM 2.5",'abrasion emissions'!$K$7:$K$38,"Re-susp.",'abrasion emissions'!$L$7:$L$38,"c"))))+
(SUMIFS('abrasion emissions'!$M$7:$M$38,'abrasion emissions'!$I$7:$I$38,"PM 10",'abrasion emissions'!$K$7:$K$38,"Re-susp.",'abrasion emissions'!$L$7:$L$38,"b")*POWER(('vehicles specifications'!$Q158/1000),(1/SUMIFS('abrasion emissions'!$M$7:$M$38,'abrasion emissions'!$I$7:$I$38,"PM 10",'abrasion emissions'!$K$7:$K$38,"Re-susp.",'abrasion emissions'!$L$7:$L$38,"c")))))/1000000</f>
        <v>3.8898062670544316E-6</v>
      </c>
      <c r="CU158" s="7">
        <f>((SUMIFS('abrasion emissions'!$M$7:$M$38,'abrasion emissions'!$I$7:$I$38,"PM 2.5",'abrasion emissions'!$K$7:$K$38,"Road",'abrasion emissions'!$L$7:$L$38,"b")*POWER(('vehicles specifications'!$Q158/1000),(1/SUMIFS('abrasion emissions'!$M$7:$M$38,'abrasion emissions'!$I$7:$I$38,"PM 2.5",'abrasion emissions'!$K$7:$K$38,"Road",'abrasion emissions'!$L$7:$L$38,"c"))))+
(SUMIFS('abrasion emissions'!$M$7:$M$38,'abrasion emissions'!$I$7:$I$38,"PM 10",'abrasion emissions'!$K$7:$K$38,"Road",'abrasion emissions'!$L$7:$L$38,"b")*POWER(('vehicles specifications'!$Q158/1000),(1/SUMIFS('abrasion emissions'!$M$7:$M$38,'abrasion emissions'!$I$7:$I$38,"PM 10",'abrasion emissions'!$K$7:$K$38,"Road",'abrasion emissions'!$L$7:$L$38,"c")))))/1000000+CT158</f>
        <v>7.4406252182883539E-6</v>
      </c>
      <c r="CV158" s="7">
        <f t="shared" si="131"/>
        <v>5.1629211982562471E-6</v>
      </c>
      <c r="CW158" s="7">
        <f t="shared" si="132"/>
        <v>2.8078268502623069E-6</v>
      </c>
    </row>
    <row r="159" spans="1:101" x14ac:dyDescent="0.2">
      <c r="A159" t="str">
        <f t="shared" si="114"/>
        <v>Motorbike, electric, 11-35kW - 2020 - NCA - CH</v>
      </c>
      <c r="B159" t="s">
        <v>269</v>
      </c>
      <c r="D159" s="18">
        <v>2020</v>
      </c>
      <c r="E159" t="s">
        <v>37</v>
      </c>
      <c r="F159" t="s">
        <v>138</v>
      </c>
      <c r="G159" t="s">
        <v>39</v>
      </c>
      <c r="H159" t="s">
        <v>32</v>
      </c>
      <c r="I159" t="s">
        <v>45</v>
      </c>
      <c r="J159">
        <v>38500</v>
      </c>
      <c r="K159">
        <v>2405</v>
      </c>
      <c r="L159" s="2">
        <f t="shared" si="108"/>
        <v>16.008316008316008</v>
      </c>
      <c r="M159">
        <v>1.1000000000000001</v>
      </c>
      <c r="N159">
        <v>75</v>
      </c>
      <c r="O159">
        <v>6</v>
      </c>
      <c r="P159" s="2">
        <f t="shared" si="64"/>
        <v>158.78260869565216</v>
      </c>
      <c r="Q159" s="2">
        <f t="shared" si="109"/>
        <v>247.28260869565216</v>
      </c>
      <c r="R159">
        <v>14</v>
      </c>
      <c r="S159" s="2">
        <v>81</v>
      </c>
      <c r="T159" s="1">
        <v>0</v>
      </c>
      <c r="U159" s="2">
        <f t="shared" si="139"/>
        <v>81</v>
      </c>
      <c r="V159" s="2">
        <v>13</v>
      </c>
      <c r="W159" s="2">
        <v>19</v>
      </c>
      <c r="X159" s="3">
        <v>8.1</v>
      </c>
      <c r="Y159" s="1">
        <v>0.8</v>
      </c>
      <c r="Z159" s="3">
        <f t="shared" si="110"/>
        <v>6.48</v>
      </c>
      <c r="AA159" s="3">
        <f>IF(I159&lt;&gt;"",X159/INDEX('energy battery'!$B$3:$D$6,MATCH('vehicles specifications'!$D159,'energy battery'!$A$3:$A$6,0),MATCH('vehicles specifications'!$I159,'energy battery'!$B$2:$D$2,0)),"")</f>
        <v>35.217391304347821</v>
      </c>
      <c r="AB159" s="3">
        <f t="shared" si="115"/>
        <v>10.565217391304346</v>
      </c>
      <c r="AC159" s="3">
        <f t="shared" si="116"/>
        <v>45.782608695652165</v>
      </c>
      <c r="AD159" s="3">
        <v>1</v>
      </c>
      <c r="AE159" s="3">
        <v>0</v>
      </c>
      <c r="AF159">
        <f>AE159*'fuels and tailpipe emissions'!$B$3</f>
        <v>0</v>
      </c>
      <c r="AG159">
        <v>0</v>
      </c>
      <c r="AH159" s="3">
        <v>0</v>
      </c>
      <c r="AI159" s="3">
        <v>5</v>
      </c>
      <c r="AJ159" s="3">
        <v>1</v>
      </c>
      <c r="AK159">
        <f t="shared" si="129"/>
        <v>1.54</v>
      </c>
      <c r="AL159">
        <f t="shared" si="65"/>
        <v>1.3279076086956522E-4</v>
      </c>
      <c r="AM159">
        <v>1.2899999999999999E-3</v>
      </c>
      <c r="AN159" s="2">
        <f t="shared" si="111"/>
        <v>81</v>
      </c>
      <c r="AO159" s="2">
        <f t="shared" si="112"/>
        <v>32</v>
      </c>
      <c r="AP159" s="2">
        <f t="shared" si="113"/>
        <v>45.782608695652165</v>
      </c>
      <c r="AQ159" s="6" t="s">
        <v>85</v>
      </c>
      <c r="AR159" s="20"/>
      <c r="AS159" s="6">
        <v>0.24635579913730349</v>
      </c>
      <c r="AT159" s="2">
        <f t="shared" si="130"/>
        <v>94.692311208791224</v>
      </c>
      <c r="AU159" s="5">
        <v>0</v>
      </c>
      <c r="AV159" s="5">
        <v>0</v>
      </c>
      <c r="AW159" s="7">
        <v>0</v>
      </c>
      <c r="AX159" s="7">
        <v>0</v>
      </c>
      <c r="AY159" s="7">
        <v>0</v>
      </c>
      <c r="AZ159" s="7">
        <v>0</v>
      </c>
      <c r="BA159" s="7">
        <v>0</v>
      </c>
      <c r="BB159" s="7">
        <v>0</v>
      </c>
      <c r="BC159" s="7">
        <v>0</v>
      </c>
      <c r="BD159" s="7">
        <v>0</v>
      </c>
      <c r="BE159" s="7">
        <v>0</v>
      </c>
      <c r="BF159" s="7">
        <v>0</v>
      </c>
      <c r="BG159" s="7">
        <v>0</v>
      </c>
      <c r="BH159" s="7">
        <v>0</v>
      </c>
      <c r="BI159" s="7">
        <v>0</v>
      </c>
      <c r="BJ159" s="7">
        <v>0</v>
      </c>
      <c r="BK159" s="7">
        <v>0</v>
      </c>
      <c r="BL159" s="7">
        <v>0</v>
      </c>
      <c r="BM159" s="7">
        <v>0</v>
      </c>
      <c r="BN159" s="7">
        <v>0</v>
      </c>
      <c r="BO159" s="7">
        <v>0</v>
      </c>
      <c r="BP159" s="7">
        <v>0</v>
      </c>
      <c r="BQ159" s="7">
        <v>0</v>
      </c>
      <c r="BR159" s="7">
        <v>0</v>
      </c>
      <c r="BS159" s="7">
        <v>0</v>
      </c>
      <c r="BT159" s="7">
        <v>0</v>
      </c>
      <c r="BU159" s="7">
        <v>0</v>
      </c>
      <c r="BV159" s="7">
        <v>0</v>
      </c>
      <c r="BW159" s="7">
        <v>0</v>
      </c>
      <c r="BX159" s="7">
        <v>0</v>
      </c>
      <c r="BY159" s="7">
        <v>0</v>
      </c>
      <c r="BZ159" s="7">
        <v>0</v>
      </c>
      <c r="CA159" s="7">
        <v>0</v>
      </c>
      <c r="CB159" s="7">
        <v>0</v>
      </c>
      <c r="CC159" s="7">
        <v>0</v>
      </c>
      <c r="CD159" s="7">
        <v>0</v>
      </c>
      <c r="CE159" s="7">
        <v>0</v>
      </c>
      <c r="CF159" s="7">
        <v>0</v>
      </c>
      <c r="CG159" s="7">
        <v>0</v>
      </c>
      <c r="CH159" s="7">
        <v>0</v>
      </c>
      <c r="CI159" s="7">
        <v>0</v>
      </c>
      <c r="CJ159" s="7">
        <v>0</v>
      </c>
      <c r="CK159" s="38">
        <f>VLOOKUP($B159,'abrasion emissions'!$O$7:$R$36,2,FALSE)</f>
        <v>0.33</v>
      </c>
      <c r="CL159" s="38">
        <f>VLOOKUP($B159,'abrasion emissions'!$O$7:$R$36,3,FALSE)</f>
        <v>0.33</v>
      </c>
      <c r="CM159" s="38">
        <f>VLOOKUP($B159,'abrasion emissions'!$O$7:$R$36,4,FALSE)</f>
        <v>0.33</v>
      </c>
      <c r="CN159" s="7">
        <f>((SUMIFS('abrasion emissions'!$M$7:$M$34,'abrasion emissions'!$I$7:$I$34,"PM 2.5",'abrasion emissions'!$J$7:$J$34,"urban",'abrasion emissions'!$K$7:$K$34,"Tyre",'abrasion emissions'!$L$7:$L$34,"b")*POWER(('vehicles specifications'!$Q159/1000),(1/SUMIFS('abrasion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specifications'!$P159/1000),(1/SUMIFS('abrasion emissions'!$M$7:$M$34,'abrasion emissions'!$I$7:$I$34,"PM 10",'abrasion emissions'!$J$7:$J$34,"urban",'abrasion emissions'!$K$7:$K$34,"Tyre",'abrasion emissions'!$L$7:$L$34,"c")))))/1000000</f>
        <v>7.0725409205982677E-6</v>
      </c>
      <c r="CO159" s="7">
        <f>((SUMIFS('abrasion emissions'!$M$7:$M$34,'abrasion emissions'!$I$7:$I$34,"PM 2.5",'abrasion emissions'!$J$7:$J$34,"rural",'abrasion emissions'!$K$7:$K$34,"Tyre",'abrasion emissions'!$L$7:$L$34,"b")*POWER(('vehicles specifications'!$Q159/1000),(1/SUMIFS('abrasion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specifications'!$P159/1000),(1/SUMIFS('abrasion emissions'!$M$7:$M$34,'abrasion emissions'!$I$7:$I$34,"PM 10",'abrasion emissions'!$J$7:$J$34,"rural",'abrasion emissions'!$K$7:$K$34,"Tyre",'abrasion emissions'!$L$7:$L$34,"c")))))/1000000</f>
        <v>5.5079779198318538E-6</v>
      </c>
      <c r="CP159" s="7">
        <f>((SUMIFS('abrasion emissions'!$M$7:$M$34,'abrasion emissions'!$I$7:$I$34,"PM 2.5",'abrasion emissions'!$J$7:$J$34,"motorway",'abrasion emissions'!$K$7:$K$34,"Tyre",'abrasion emissions'!$L$7:$L$34,"b")*POWER(('vehicles specifications'!$Q159/1000),(1/SUMIFS('abrasion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specifications'!$P159/1000),(1/SUMIFS('abrasion emissions'!$M$7:$M$34,'abrasion emissions'!$I$7:$I$34,"PM 10",'abrasion emissions'!$J$7:$J$34,"motorway",'abrasion emissions'!$K$7:$K$34,"Tyre",'abrasion emissions'!$L$7:$L$34,"c")))))/1000000</f>
        <v>4.7032321128105256E-6</v>
      </c>
      <c r="CQ159" s="7">
        <f>((SUMIFS('abrasion emissions'!$M$7:$M$34,'abrasion emissions'!$I$7:$I$34,"PM 2.5",'abrasion emissions'!$J$7:$J$34,"urban",'abrasion emissions'!$K$7:$K$34,"Brake",'abrasion emissions'!$L$7:$L$34,"b")*POWER(('vehicles specifications'!$Q159/1000),(1/SUMIFS('abrasion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specifications'!$P159/1000),(1/SUMIFS('abrasion emissions'!$M$7:$M$34,'abrasion emissions'!$I$7:$I$34,"PM 10",'abrasion emissions'!$J$7:$J$34,"urban",'abrasion emissions'!$K$7:$K$34,"Brake",'abrasion emissions'!$L$7:$L$34,"c")))))/1000000</f>
        <v>6.8670327806770702E-6</v>
      </c>
      <c r="CR159" s="7">
        <f>((SUMIFS('abrasion emissions'!$M$7:$M$34,'abrasion emissions'!$I$7:$I$34,"PM 2.5",'abrasion emissions'!$J$7:$J$34,"rural",'abrasion emissions'!$K$7:$K$34,"Brake",'abrasion emissions'!$L$7:$L$34,"b")*POWER(('vehicles specifications'!$Q159/1000),(1/SUMIFS('abrasion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specifications'!$P159/1000),(1/SUMIFS('abrasion emissions'!$M$7:$M$34,'abrasion emissions'!$I$7:$I$34,"PM 10",'abrasion emissions'!$J$7:$J$34,"rural",'abrasion emissions'!$K$7:$K$34,"Brake",'abrasion emissions'!$L$7:$L$34,"c")))))/1000000</f>
        <v>2.3006680236556899E-6</v>
      </c>
      <c r="CS159" s="7">
        <f>((SUMIFS('abrasion emissions'!$M$7:$M$34,'abrasion emissions'!$I$7:$I$34,"PM 2.5",'abrasion emissions'!$J$7:$J$34,"motorway",'abrasion emissions'!$K$7:$K$34,"Brake",'abrasion emissions'!$L$7:$L$34,"b")*POWER(('vehicles specifications'!$Q159/1000),(1/SUMIFS('abrasion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specifications'!$P159/1000),(1/SUMIFS('abrasion emissions'!$M$7:$M$34,'abrasion emissions'!$I$7:$I$34,"PM 10",'abrasion emissions'!$J$7:$J$34,"motorway",'abrasion emissions'!$K$7:$K$34,"Brake",'abrasion emissions'!$L$7:$L$34,"c")))))/1000000</f>
        <v>4.3848687107948926E-7</v>
      </c>
      <c r="CT159" s="7">
        <f>((SUMIFS('abrasion emissions'!$M$7:$M$38,'abrasion emissions'!$I$7:$I$38,"PM 2.5",'abrasion emissions'!$K$7:$K$38,"Re-susp.",'abrasion emissions'!$L$7:$L$38,"b")*POWER(('vehicles specifications'!$Q159/1000),(1/SUMIFS('abrasion emissions'!$M$7:$M$38,'abrasion emissions'!$I$7:$I$38,"PM 2.5",'abrasion emissions'!$K$7:$K$38,"Re-susp.",'abrasion emissions'!$L$7:$L$38,"c"))))+
(SUMIFS('abrasion emissions'!$M$7:$M$38,'abrasion emissions'!$I$7:$I$38,"PM 10",'abrasion emissions'!$K$7:$K$38,"Re-susp.",'abrasion emissions'!$L$7:$L$38,"b")*POWER(('vehicles specifications'!$Q159/1000),(1/SUMIFS('abrasion emissions'!$M$7:$M$38,'abrasion emissions'!$I$7:$I$38,"PM 10",'abrasion emissions'!$K$7:$K$38,"Re-susp.",'abrasion emissions'!$L$7:$L$38,"c")))))/1000000</f>
        <v>4.6047031963126681E-6</v>
      </c>
      <c r="CU159" s="7">
        <f>((SUMIFS('abrasion emissions'!$M$7:$M$38,'abrasion emissions'!$I$7:$I$38,"PM 2.5",'abrasion emissions'!$K$7:$K$38,"Road",'abrasion emissions'!$L$7:$L$38,"b")*POWER(('vehicles specifications'!$Q159/1000),(1/SUMIFS('abrasion emissions'!$M$7:$M$38,'abrasion emissions'!$I$7:$I$38,"PM 2.5",'abrasion emissions'!$K$7:$K$38,"Road",'abrasion emissions'!$L$7:$L$38,"c"))))+
(SUMIFS('abrasion emissions'!$M$7:$M$38,'abrasion emissions'!$I$7:$I$38,"PM 10",'abrasion emissions'!$K$7:$K$38,"Road",'abrasion emissions'!$L$7:$L$38,"b")*POWER(('vehicles specifications'!$Q159/1000),(1/SUMIFS('abrasion emissions'!$M$7:$M$38,'abrasion emissions'!$I$7:$I$38,"PM 10",'abrasion emissions'!$K$7:$K$38,"Road",'abrasion emissions'!$L$7:$L$38,"c")))))/1000000+CT159</f>
        <v>8.6231900713164964E-6</v>
      </c>
      <c r="CV159" s="7">
        <f t="shared" si="131"/>
        <v>5.7036378145694137E-6</v>
      </c>
      <c r="CW159" s="7">
        <f t="shared" si="132"/>
        <v>3.1700419328860428E-6</v>
      </c>
    </row>
    <row r="160" spans="1:101" x14ac:dyDescent="0.2">
      <c r="A160" t="str">
        <f t="shared" si="114"/>
        <v>Motorbike, electric, 11-35kW - 2030 - NCA - CH</v>
      </c>
      <c r="B160" t="s">
        <v>269</v>
      </c>
      <c r="D160" s="18">
        <v>2030</v>
      </c>
      <c r="E160" t="s">
        <v>37</v>
      </c>
      <c r="F160" t="s">
        <v>138</v>
      </c>
      <c r="G160" t="s">
        <v>39</v>
      </c>
      <c r="H160" t="s">
        <v>32</v>
      </c>
      <c r="I160" t="s">
        <v>45</v>
      </c>
      <c r="J160">
        <v>38500</v>
      </c>
      <c r="K160">
        <v>2405</v>
      </c>
      <c r="L160" s="2">
        <f t="shared" si="108"/>
        <v>16.008316008316008</v>
      </c>
      <c r="M160">
        <v>1.1000000000000001</v>
      </c>
      <c r="N160">
        <v>75</v>
      </c>
      <c r="O160">
        <v>6</v>
      </c>
      <c r="P160" s="2">
        <f t="shared" si="64"/>
        <v>166.03666666666666</v>
      </c>
      <c r="Q160" s="2">
        <f t="shared" si="109"/>
        <v>254.53666666666666</v>
      </c>
      <c r="R160">
        <v>14</v>
      </c>
      <c r="S160" s="2">
        <v>81</v>
      </c>
      <c r="T160" s="1">
        <v>0.03</v>
      </c>
      <c r="U160" s="2">
        <f t="shared" si="139"/>
        <v>78.569999999999993</v>
      </c>
      <c r="V160" s="2">
        <v>13</v>
      </c>
      <c r="W160" s="2">
        <v>19</v>
      </c>
      <c r="X160" s="3">
        <v>12.8</v>
      </c>
      <c r="Y160" s="1">
        <v>0.8</v>
      </c>
      <c r="Z160" s="3">
        <f t="shared" si="110"/>
        <v>10.240000000000002</v>
      </c>
      <c r="AA160" s="3">
        <f>IF(I160&lt;&gt;"",X160/INDEX('energy battery'!$B$3:$D$6,MATCH('vehicles specifications'!$D160,'energy battery'!$A$3:$A$6,0),MATCH('vehicles specifications'!$I160,'energy battery'!$B$2:$D$2,0)),"")</f>
        <v>42.666666666666671</v>
      </c>
      <c r="AB160" s="3">
        <f t="shared" si="115"/>
        <v>12.8</v>
      </c>
      <c r="AC160" s="3">
        <f t="shared" si="116"/>
        <v>55.466666666666669</v>
      </c>
      <c r="AD160" s="3">
        <v>0.5</v>
      </c>
      <c r="AE160" s="3">
        <v>0</v>
      </c>
      <c r="AF160">
        <f>AE160*'fuels and tailpipe emissions'!$B$3</f>
        <v>0</v>
      </c>
      <c r="AG160">
        <v>0</v>
      </c>
      <c r="AH160" s="3">
        <v>0</v>
      </c>
      <c r="AI160" s="3">
        <v>5</v>
      </c>
      <c r="AJ160" s="3">
        <v>1</v>
      </c>
      <c r="AK160">
        <f t="shared" si="129"/>
        <v>1.54</v>
      </c>
      <c r="AL160">
        <f t="shared" si="65"/>
        <v>1.3668618999999998E-4</v>
      </c>
      <c r="AM160">
        <v>1.2899999999999999E-3</v>
      </c>
      <c r="AN160" s="2">
        <f t="shared" si="111"/>
        <v>78.569999999999993</v>
      </c>
      <c r="AO160" s="2">
        <f t="shared" si="112"/>
        <v>32</v>
      </c>
      <c r="AP160" s="2">
        <f t="shared" si="113"/>
        <v>55.466666666666669</v>
      </c>
      <c r="AQ160" s="6" t="s">
        <v>85</v>
      </c>
      <c r="AR160" s="20"/>
      <c r="AS160" s="6">
        <v>0.24635579913730349</v>
      </c>
      <c r="AT160" s="2">
        <f t="shared" si="130"/>
        <v>149.63723252747255</v>
      </c>
      <c r="AU160" s="5">
        <v>0</v>
      </c>
      <c r="AV160" s="5">
        <v>0</v>
      </c>
      <c r="AW160" s="7">
        <v>0</v>
      </c>
      <c r="AX160" s="7">
        <v>0</v>
      </c>
      <c r="AY160" s="7">
        <v>0</v>
      </c>
      <c r="AZ160" s="7">
        <v>0</v>
      </c>
      <c r="BA160" s="7">
        <v>0</v>
      </c>
      <c r="BB160" s="7">
        <v>0</v>
      </c>
      <c r="BC160" s="7">
        <v>0</v>
      </c>
      <c r="BD160" s="7">
        <v>0</v>
      </c>
      <c r="BE160" s="7">
        <v>0</v>
      </c>
      <c r="BF160" s="7">
        <v>0</v>
      </c>
      <c r="BG160" s="7">
        <v>0</v>
      </c>
      <c r="BH160" s="7">
        <v>0</v>
      </c>
      <c r="BI160" s="7">
        <v>0</v>
      </c>
      <c r="BJ160" s="7">
        <v>0</v>
      </c>
      <c r="BK160" s="7">
        <v>0</v>
      </c>
      <c r="BL160" s="7">
        <v>0</v>
      </c>
      <c r="BM160" s="7">
        <v>0</v>
      </c>
      <c r="BN160" s="7">
        <v>0</v>
      </c>
      <c r="BO160" s="7">
        <v>0</v>
      </c>
      <c r="BP160" s="7">
        <v>0</v>
      </c>
      <c r="BQ160" s="7">
        <v>0</v>
      </c>
      <c r="BR160" s="7">
        <v>0</v>
      </c>
      <c r="BS160" s="7">
        <v>0</v>
      </c>
      <c r="BT160" s="7">
        <v>0</v>
      </c>
      <c r="BU160" s="7">
        <v>0</v>
      </c>
      <c r="BV160" s="7">
        <v>0</v>
      </c>
      <c r="BW160" s="7">
        <v>0</v>
      </c>
      <c r="BX160" s="7">
        <v>0</v>
      </c>
      <c r="BY160" s="7">
        <v>0</v>
      </c>
      <c r="BZ160" s="7">
        <v>0</v>
      </c>
      <c r="CA160" s="7">
        <v>0</v>
      </c>
      <c r="CB160" s="7">
        <v>0</v>
      </c>
      <c r="CC160" s="7">
        <v>0</v>
      </c>
      <c r="CD160" s="7">
        <v>0</v>
      </c>
      <c r="CE160" s="7">
        <v>0</v>
      </c>
      <c r="CF160" s="7">
        <v>0</v>
      </c>
      <c r="CG160" s="7">
        <v>0</v>
      </c>
      <c r="CH160" s="7">
        <v>0</v>
      </c>
      <c r="CI160" s="7">
        <v>0</v>
      </c>
      <c r="CJ160" s="7">
        <v>0</v>
      </c>
      <c r="CK160" s="38">
        <f>VLOOKUP($B160,'abrasion emissions'!$O$7:$R$36,2,FALSE)</f>
        <v>0.33</v>
      </c>
      <c r="CL160" s="38">
        <f>VLOOKUP($B160,'abrasion emissions'!$O$7:$R$36,3,FALSE)</f>
        <v>0.33</v>
      </c>
      <c r="CM160" s="38">
        <f>VLOOKUP($B160,'abrasion emissions'!$O$7:$R$36,4,FALSE)</f>
        <v>0.33</v>
      </c>
      <c r="CN160" s="7">
        <f>((SUMIFS('abrasion emissions'!$M$7:$M$34,'abrasion emissions'!$I$7:$I$34,"PM 2.5",'abrasion emissions'!$J$7:$J$34,"urban",'abrasion emissions'!$K$7:$K$34,"Tyre",'abrasion emissions'!$L$7:$L$34,"b")*POWER(('vehicles specifications'!$Q160/1000),(1/SUMIFS('abrasion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specifications'!$P160/1000),(1/SUMIFS('abrasion emissions'!$M$7:$M$34,'abrasion emissions'!$I$7:$I$34,"PM 10",'abrasion emissions'!$J$7:$J$34,"urban",'abrasion emissions'!$K$7:$K$34,"Tyre",'abrasion emissions'!$L$7:$L$34,"c")))))/1000000</f>
        <v>7.1801535228005072E-6</v>
      </c>
      <c r="CO160" s="7">
        <f>((SUMIFS('abrasion emissions'!$M$7:$M$34,'abrasion emissions'!$I$7:$I$34,"PM 2.5",'abrasion emissions'!$J$7:$J$34,"rural",'abrasion emissions'!$K$7:$K$34,"Tyre",'abrasion emissions'!$L$7:$L$34,"b")*POWER(('vehicles specifications'!$Q160/1000),(1/SUMIFS('abrasion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specifications'!$P160/1000),(1/SUMIFS('abrasion emissions'!$M$7:$M$34,'abrasion emissions'!$I$7:$I$34,"PM 10",'abrasion emissions'!$J$7:$J$34,"rural",'abrasion emissions'!$K$7:$K$34,"Tyre",'abrasion emissions'!$L$7:$L$34,"c")))))/1000000</f>
        <v>5.5917318312942094E-6</v>
      </c>
      <c r="CP160" s="7">
        <f>((SUMIFS('abrasion emissions'!$M$7:$M$34,'abrasion emissions'!$I$7:$I$34,"PM 2.5",'abrasion emissions'!$J$7:$J$34,"motorway",'abrasion emissions'!$K$7:$K$34,"Tyre",'abrasion emissions'!$L$7:$L$34,"b")*POWER(('vehicles specifications'!$Q160/1000),(1/SUMIFS('abrasion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specifications'!$P160/1000),(1/SUMIFS('abrasion emissions'!$M$7:$M$34,'abrasion emissions'!$I$7:$I$34,"PM 10",'abrasion emissions'!$J$7:$J$34,"motorway",'abrasion emissions'!$K$7:$K$34,"Tyre",'abrasion emissions'!$L$7:$L$34,"c")))))/1000000</f>
        <v>4.7746160925158934E-6</v>
      </c>
      <c r="CQ160" s="7">
        <f>((SUMIFS('abrasion emissions'!$M$7:$M$34,'abrasion emissions'!$I$7:$I$34,"PM 2.5",'abrasion emissions'!$J$7:$J$34,"urban",'abrasion emissions'!$K$7:$K$34,"Brake",'abrasion emissions'!$L$7:$L$34,"b")*POWER(('vehicles specifications'!$Q160/1000),(1/SUMIFS('abrasion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specifications'!$P160/1000),(1/SUMIFS('abrasion emissions'!$M$7:$M$34,'abrasion emissions'!$I$7:$I$34,"PM 10",'abrasion emissions'!$J$7:$J$34,"urban",'abrasion emissions'!$K$7:$K$34,"Brake",'abrasion emissions'!$L$7:$L$34,"c")))))/1000000</f>
        <v>6.9858143570140925E-6</v>
      </c>
      <c r="CR160" s="7">
        <f>((SUMIFS('abrasion emissions'!$M$7:$M$34,'abrasion emissions'!$I$7:$I$34,"PM 2.5",'abrasion emissions'!$J$7:$J$34,"rural",'abrasion emissions'!$K$7:$K$34,"Brake",'abrasion emissions'!$L$7:$L$34,"b")*POWER(('vehicles specifications'!$Q160/1000),(1/SUMIFS('abrasion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specifications'!$P160/1000),(1/SUMIFS('abrasion emissions'!$M$7:$M$34,'abrasion emissions'!$I$7:$I$34,"PM 10",'abrasion emissions'!$J$7:$J$34,"rural",'abrasion emissions'!$K$7:$K$34,"Brake",'abrasion emissions'!$L$7:$L$34,"c")))))/1000000</f>
        <v>2.3511274593329272E-6</v>
      </c>
      <c r="CS160" s="7">
        <f>((SUMIFS('abrasion emissions'!$M$7:$M$34,'abrasion emissions'!$I$7:$I$34,"PM 2.5",'abrasion emissions'!$J$7:$J$34,"motorway",'abrasion emissions'!$K$7:$K$34,"Brake",'abrasion emissions'!$L$7:$L$34,"b")*POWER(('vehicles specifications'!$Q160/1000),(1/SUMIFS('abrasion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specifications'!$P160/1000),(1/SUMIFS('abrasion emissions'!$M$7:$M$34,'abrasion emissions'!$I$7:$I$34,"PM 10",'abrasion emissions'!$J$7:$J$34,"motorway",'abrasion emissions'!$K$7:$K$34,"Brake",'abrasion emissions'!$L$7:$L$34,"c")))))/1000000</f>
        <v>4.4955955462242896E-7</v>
      </c>
      <c r="CT160" s="7">
        <f>((SUMIFS('abrasion emissions'!$M$7:$M$38,'abrasion emissions'!$I$7:$I$38,"PM 2.5",'abrasion emissions'!$K$7:$K$38,"Re-susp.",'abrasion emissions'!$L$7:$L$38,"b")*POWER(('vehicles specifications'!$Q160/1000),(1/SUMIFS('abrasion emissions'!$M$7:$M$38,'abrasion emissions'!$I$7:$I$38,"PM 2.5",'abrasion emissions'!$K$7:$K$38,"Re-susp.",'abrasion emissions'!$L$7:$L$38,"c"))))+
(SUMIFS('abrasion emissions'!$M$7:$M$38,'abrasion emissions'!$I$7:$I$38,"PM 10",'abrasion emissions'!$K$7:$K$38,"Re-susp.",'abrasion emissions'!$L$7:$L$38,"b")*POWER(('vehicles specifications'!$Q160/1000),(1/SUMIFS('abrasion emissions'!$M$7:$M$38,'abrasion emissions'!$I$7:$I$38,"PM 10",'abrasion emissions'!$K$7:$K$38,"Re-susp.",'abrasion emissions'!$L$7:$L$38,"c")))))/1000000</f>
        <v>4.7273406196870027E-6</v>
      </c>
      <c r="CU160" s="7">
        <f>((SUMIFS('abrasion emissions'!$M$7:$M$38,'abrasion emissions'!$I$7:$I$38,"PM 2.5",'abrasion emissions'!$K$7:$K$38,"Road",'abrasion emissions'!$L$7:$L$38,"b")*POWER(('vehicles specifications'!$Q160/1000),(1/SUMIFS('abrasion emissions'!$M$7:$M$38,'abrasion emissions'!$I$7:$I$38,"PM 2.5",'abrasion emissions'!$K$7:$K$38,"Road",'abrasion emissions'!$L$7:$L$38,"c"))))+
(SUMIFS('abrasion emissions'!$M$7:$M$38,'abrasion emissions'!$I$7:$I$38,"PM 10",'abrasion emissions'!$K$7:$K$38,"Road",'abrasion emissions'!$L$7:$L$38,"b")*POWER(('vehicles specifications'!$Q160/1000),(1/SUMIFS('abrasion emissions'!$M$7:$M$38,'abrasion emissions'!$I$7:$I$38,"PM 10",'abrasion emissions'!$K$7:$K$38,"Road",'abrasion emissions'!$L$7:$L$38,"c")))))/1000000+CT160</f>
        <v>8.8240366405718536E-6</v>
      </c>
      <c r="CV160" s="7">
        <f t="shared" si="131"/>
        <v>5.7903454773815019E-6</v>
      </c>
      <c r="CW160" s="7">
        <f t="shared" si="132"/>
        <v>3.2295454524199181E-6</v>
      </c>
    </row>
    <row r="161" spans="1:101" x14ac:dyDescent="0.2">
      <c r="A161" t="str">
        <f t="shared" si="114"/>
        <v>Motorbike, electric, 11-35kW - 2040 - NCA - CH</v>
      </c>
      <c r="B161" t="s">
        <v>269</v>
      </c>
      <c r="D161" s="18">
        <v>2040</v>
      </c>
      <c r="E161" t="s">
        <v>37</v>
      </c>
      <c r="F161" t="s">
        <v>138</v>
      </c>
      <c r="G161" t="s">
        <v>39</v>
      </c>
      <c r="H161" t="s">
        <v>32</v>
      </c>
      <c r="I161" t="s">
        <v>45</v>
      </c>
      <c r="J161">
        <v>38500</v>
      </c>
      <c r="K161">
        <v>2405</v>
      </c>
      <c r="L161" s="2">
        <f t="shared" si="108"/>
        <v>16.008316008316008</v>
      </c>
      <c r="M161">
        <v>1.1000000000000001</v>
      </c>
      <c r="N161">
        <v>75</v>
      </c>
      <c r="O161">
        <v>6</v>
      </c>
      <c r="P161" s="2">
        <f t="shared" si="64"/>
        <v>166.8</v>
      </c>
      <c r="Q161" s="2">
        <f t="shared" si="109"/>
        <v>255.3</v>
      </c>
      <c r="R161">
        <v>14</v>
      </c>
      <c r="S161" s="2">
        <v>81</v>
      </c>
      <c r="T161" s="1">
        <v>0.05</v>
      </c>
      <c r="U161" s="2">
        <f t="shared" si="139"/>
        <v>76.95</v>
      </c>
      <c r="V161" s="2">
        <v>13</v>
      </c>
      <c r="W161" s="2">
        <v>19</v>
      </c>
      <c r="X161" s="3">
        <v>17.8</v>
      </c>
      <c r="Y161" s="1">
        <v>0.8</v>
      </c>
      <c r="Z161" s="3">
        <f t="shared" si="110"/>
        <v>14.240000000000002</v>
      </c>
      <c r="AA161" s="3">
        <f>IF(I161&lt;&gt;"",X161/INDEX('energy battery'!$B$3:$D$6,MATCH('vehicles specifications'!$D161,'energy battery'!$A$3:$A$6,0),MATCH('vehicles specifications'!$I161,'energy battery'!$B$2:$D$2,0)),"")</f>
        <v>44.5</v>
      </c>
      <c r="AB161" s="3">
        <f t="shared" si="115"/>
        <v>13.35</v>
      </c>
      <c r="AC161" s="3">
        <f t="shared" si="116"/>
        <v>57.85</v>
      </c>
      <c r="AD161" s="3">
        <v>0.25</v>
      </c>
      <c r="AE161" s="3">
        <v>0</v>
      </c>
      <c r="AF161">
        <f>AE161*'fuels and tailpipe emissions'!$B$3</f>
        <v>0</v>
      </c>
      <c r="AG161">
        <v>0</v>
      </c>
      <c r="AH161" s="3">
        <v>0</v>
      </c>
      <c r="AI161" s="3">
        <v>5</v>
      </c>
      <c r="AJ161" s="3">
        <v>1</v>
      </c>
      <c r="AK161">
        <f t="shared" si="129"/>
        <v>1.54</v>
      </c>
      <c r="AL161">
        <f t="shared" si="65"/>
        <v>1.370961E-4</v>
      </c>
      <c r="AM161">
        <v>1.2899999999999999E-3</v>
      </c>
      <c r="AN161" s="2">
        <f t="shared" si="111"/>
        <v>76.95</v>
      </c>
      <c r="AO161" s="2">
        <f t="shared" si="112"/>
        <v>32</v>
      </c>
      <c r="AP161" s="2">
        <f t="shared" si="113"/>
        <v>57.85</v>
      </c>
      <c r="AQ161" s="6" t="s">
        <v>85</v>
      </c>
      <c r="AR161" s="20"/>
      <c r="AS161" s="6">
        <v>0.24635579913730349</v>
      </c>
      <c r="AT161" s="2">
        <f t="shared" si="130"/>
        <v>208.08927648351653</v>
      </c>
      <c r="AU161" s="5">
        <v>0</v>
      </c>
      <c r="AV161" s="5">
        <v>0</v>
      </c>
      <c r="AW161" s="7">
        <v>0</v>
      </c>
      <c r="AX161" s="7">
        <v>0</v>
      </c>
      <c r="AY161" s="7">
        <v>0</v>
      </c>
      <c r="AZ161" s="7">
        <v>0</v>
      </c>
      <c r="BA161" s="7">
        <v>0</v>
      </c>
      <c r="BB161" s="7">
        <v>0</v>
      </c>
      <c r="BC161" s="7">
        <v>0</v>
      </c>
      <c r="BD161" s="7">
        <v>0</v>
      </c>
      <c r="BE161" s="7">
        <v>0</v>
      </c>
      <c r="BF161" s="7">
        <v>0</v>
      </c>
      <c r="BG161" s="7">
        <v>0</v>
      </c>
      <c r="BH161" s="7">
        <v>0</v>
      </c>
      <c r="BI161" s="7">
        <v>0</v>
      </c>
      <c r="BJ161" s="7">
        <v>0</v>
      </c>
      <c r="BK161" s="7">
        <v>0</v>
      </c>
      <c r="BL161" s="7">
        <v>0</v>
      </c>
      <c r="BM161" s="7">
        <v>0</v>
      </c>
      <c r="BN161" s="7">
        <v>0</v>
      </c>
      <c r="BO161" s="7">
        <v>0</v>
      </c>
      <c r="BP161" s="7">
        <v>0</v>
      </c>
      <c r="BQ161" s="7">
        <v>0</v>
      </c>
      <c r="BR161" s="7">
        <v>0</v>
      </c>
      <c r="BS161" s="7">
        <v>0</v>
      </c>
      <c r="BT161" s="7">
        <v>0</v>
      </c>
      <c r="BU161" s="7">
        <v>0</v>
      </c>
      <c r="BV161" s="7">
        <v>0</v>
      </c>
      <c r="BW161" s="7">
        <v>0</v>
      </c>
      <c r="BX161" s="7">
        <v>0</v>
      </c>
      <c r="BY161" s="7">
        <v>0</v>
      </c>
      <c r="BZ161" s="7">
        <v>0</v>
      </c>
      <c r="CA161" s="7">
        <v>0</v>
      </c>
      <c r="CB161" s="7">
        <v>0</v>
      </c>
      <c r="CC161" s="7">
        <v>0</v>
      </c>
      <c r="CD161" s="7">
        <v>0</v>
      </c>
      <c r="CE161" s="7">
        <v>0</v>
      </c>
      <c r="CF161" s="7">
        <v>0</v>
      </c>
      <c r="CG161" s="7">
        <v>0</v>
      </c>
      <c r="CH161" s="7">
        <v>0</v>
      </c>
      <c r="CI161" s="7">
        <v>0</v>
      </c>
      <c r="CJ161" s="7">
        <v>0</v>
      </c>
      <c r="CK161" s="38">
        <f>VLOOKUP($B161,'abrasion emissions'!$O$7:$R$36,2,FALSE)</f>
        <v>0.33</v>
      </c>
      <c r="CL161" s="38">
        <f>VLOOKUP($B161,'abrasion emissions'!$O$7:$R$36,3,FALSE)</f>
        <v>0.33</v>
      </c>
      <c r="CM161" s="38">
        <f>VLOOKUP($B161,'abrasion emissions'!$O$7:$R$36,4,FALSE)</f>
        <v>0.33</v>
      </c>
      <c r="CN161" s="7">
        <f>((SUMIFS('abrasion emissions'!$M$7:$M$34,'abrasion emissions'!$I$7:$I$34,"PM 2.5",'abrasion emissions'!$J$7:$J$34,"urban",'abrasion emissions'!$K$7:$K$34,"Tyre",'abrasion emissions'!$L$7:$L$34,"b")*POWER(('vehicles specifications'!$Q161/1000),(1/SUMIFS('abrasion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specifications'!$P161/1000),(1/SUMIFS('abrasion emissions'!$M$7:$M$34,'abrasion emissions'!$I$7:$I$34,"PM 10",'abrasion emissions'!$J$7:$J$34,"urban",'abrasion emissions'!$K$7:$K$34,"Tyre",'abrasion emissions'!$L$7:$L$34,"c")))))/1000000</f>
        <v>7.191350224974304E-6</v>
      </c>
      <c r="CO161" s="7">
        <f>((SUMIFS('abrasion emissions'!$M$7:$M$34,'abrasion emissions'!$I$7:$I$34,"PM 2.5",'abrasion emissions'!$J$7:$J$34,"rural",'abrasion emissions'!$K$7:$K$34,"Tyre",'abrasion emissions'!$L$7:$L$34,"b")*POWER(('vehicles specifications'!$Q161/1000),(1/SUMIFS('abrasion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specifications'!$P161/1000),(1/SUMIFS('abrasion emissions'!$M$7:$M$34,'abrasion emissions'!$I$7:$I$34,"PM 10",'abrasion emissions'!$J$7:$J$34,"rural",'abrasion emissions'!$K$7:$K$34,"Tyre",'abrasion emissions'!$L$7:$L$34,"c")))))/1000000</f>
        <v>5.6004461857878812E-6</v>
      </c>
      <c r="CP161" s="7">
        <f>((SUMIFS('abrasion emissions'!$M$7:$M$34,'abrasion emissions'!$I$7:$I$34,"PM 2.5",'abrasion emissions'!$J$7:$J$34,"motorway",'abrasion emissions'!$K$7:$K$34,"Tyre",'abrasion emissions'!$L$7:$L$34,"b")*POWER(('vehicles specifications'!$Q161/1000),(1/SUMIFS('abrasion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specifications'!$P161/1000),(1/SUMIFS('abrasion emissions'!$M$7:$M$34,'abrasion emissions'!$I$7:$I$34,"PM 10",'abrasion emissions'!$J$7:$J$34,"motorway",'abrasion emissions'!$K$7:$K$34,"Tyre",'abrasion emissions'!$L$7:$L$34,"c")))))/1000000</f>
        <v>4.7820435488367323E-6</v>
      </c>
      <c r="CQ161" s="7">
        <f>((SUMIFS('abrasion emissions'!$M$7:$M$34,'abrasion emissions'!$I$7:$I$34,"PM 2.5",'abrasion emissions'!$J$7:$J$34,"urban",'abrasion emissions'!$K$7:$K$34,"Brake",'abrasion emissions'!$L$7:$L$34,"b")*POWER(('vehicles specifications'!$Q161/1000),(1/SUMIFS('abrasion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specifications'!$P161/1000),(1/SUMIFS('abrasion emissions'!$M$7:$M$34,'abrasion emissions'!$I$7:$I$34,"PM 10",'abrasion emissions'!$J$7:$J$34,"urban",'abrasion emissions'!$K$7:$K$34,"Brake",'abrasion emissions'!$L$7:$L$34,"c")))))/1000000</f>
        <v>6.9982036556431788E-6</v>
      </c>
      <c r="CR161" s="7">
        <f>((SUMIFS('abrasion emissions'!$M$7:$M$34,'abrasion emissions'!$I$7:$I$34,"PM 2.5",'abrasion emissions'!$J$7:$J$34,"rural",'abrasion emissions'!$K$7:$K$34,"Brake",'abrasion emissions'!$L$7:$L$34,"b")*POWER(('vehicles specifications'!$Q161/1000),(1/SUMIFS('abrasion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specifications'!$P161/1000),(1/SUMIFS('abrasion emissions'!$M$7:$M$34,'abrasion emissions'!$I$7:$I$34,"PM 10",'abrasion emissions'!$J$7:$J$34,"rural",'abrasion emissions'!$K$7:$K$34,"Brake",'abrasion emissions'!$L$7:$L$34,"c")))))/1000000</f>
        <v>2.3564043884212742E-6</v>
      </c>
      <c r="CS161" s="7">
        <f>((SUMIFS('abrasion emissions'!$M$7:$M$34,'abrasion emissions'!$I$7:$I$34,"PM 2.5",'abrasion emissions'!$J$7:$J$34,"motorway",'abrasion emissions'!$K$7:$K$34,"Brake",'abrasion emissions'!$L$7:$L$34,"b")*POWER(('vehicles specifications'!$Q161/1000),(1/SUMIFS('abrasion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specifications'!$P161/1000),(1/SUMIFS('abrasion emissions'!$M$7:$M$34,'abrasion emissions'!$I$7:$I$34,"PM 10",'abrasion emissions'!$J$7:$J$34,"motorway",'abrasion emissions'!$K$7:$K$34,"Brake",'abrasion emissions'!$L$7:$L$34,"c")))))/1000000</f>
        <v>4.5071974549913653E-7</v>
      </c>
      <c r="CT161" s="7">
        <f>((SUMIFS('abrasion emissions'!$M$7:$M$38,'abrasion emissions'!$I$7:$I$38,"PM 2.5",'abrasion emissions'!$K$7:$K$38,"Re-susp.",'abrasion emissions'!$L$7:$L$38,"b")*POWER(('vehicles specifications'!$Q161/1000),(1/SUMIFS('abrasion emissions'!$M$7:$M$38,'abrasion emissions'!$I$7:$I$38,"PM 2.5",'abrasion emissions'!$K$7:$K$38,"Re-susp.",'abrasion emissions'!$L$7:$L$38,"c"))))+
(SUMIFS('abrasion emissions'!$M$7:$M$38,'abrasion emissions'!$I$7:$I$38,"PM 10",'abrasion emissions'!$K$7:$K$38,"Re-susp.",'abrasion emissions'!$L$7:$L$38,"b")*POWER(('vehicles specifications'!$Q161/1000),(1/SUMIFS('abrasion emissions'!$M$7:$M$38,'abrasion emissions'!$I$7:$I$38,"PM 10",'abrasion emissions'!$K$7:$K$38,"Re-susp.",'abrasion emissions'!$L$7:$L$38,"c")))))/1000000</f>
        <v>4.7402269406922841E-6</v>
      </c>
      <c r="CU161" s="7">
        <f>((SUMIFS('abrasion emissions'!$M$7:$M$38,'abrasion emissions'!$I$7:$I$38,"PM 2.5",'abrasion emissions'!$K$7:$K$38,"Road",'abrasion emissions'!$L$7:$L$38,"b")*POWER(('vehicles specifications'!$Q161/1000),(1/SUMIFS('abrasion emissions'!$M$7:$M$38,'abrasion emissions'!$I$7:$I$38,"PM 2.5",'abrasion emissions'!$K$7:$K$38,"Road",'abrasion emissions'!$L$7:$L$38,"c"))))+
(SUMIFS('abrasion emissions'!$M$7:$M$38,'abrasion emissions'!$I$7:$I$38,"PM 10",'abrasion emissions'!$K$7:$K$38,"Road",'abrasion emissions'!$L$7:$L$38,"b")*POWER(('vehicles specifications'!$Q161/1000),(1/SUMIFS('abrasion emissions'!$M$7:$M$38,'abrasion emissions'!$I$7:$I$38,"PM 10",'abrasion emissions'!$K$7:$K$38,"Road",'abrasion emissions'!$L$7:$L$38,"c")))))/1000000+CT161</f>
        <v>8.845109296756298E-6</v>
      </c>
      <c r="CV161" s="7">
        <f t="shared" si="131"/>
        <v>5.7993671866676433E-6</v>
      </c>
      <c r="CW161" s="7">
        <f t="shared" si="132"/>
        <v>3.2357581705559849E-6</v>
      </c>
    </row>
    <row r="162" spans="1:101" x14ac:dyDescent="0.2">
      <c r="A162" t="str">
        <f t="shared" si="114"/>
        <v>Motorbike, electric, 11-35kW - 2050 - NCA - CH</v>
      </c>
      <c r="B162" t="s">
        <v>269</v>
      </c>
      <c r="D162" s="18">
        <v>2050</v>
      </c>
      <c r="E162" t="s">
        <v>37</v>
      </c>
      <c r="F162" t="s">
        <v>138</v>
      </c>
      <c r="G162" t="s">
        <v>39</v>
      </c>
      <c r="H162" t="s">
        <v>32</v>
      </c>
      <c r="I162" t="s">
        <v>45</v>
      </c>
      <c r="J162">
        <v>38500</v>
      </c>
      <c r="K162">
        <v>2405</v>
      </c>
      <c r="L162" s="2">
        <f t="shared" si="108"/>
        <v>16.008316008316008</v>
      </c>
      <c r="M162">
        <v>1.1000000000000001</v>
      </c>
      <c r="N162">
        <v>75</v>
      </c>
      <c r="O162">
        <v>6</v>
      </c>
      <c r="P162" s="2">
        <f t="shared" si="64"/>
        <v>166.61</v>
      </c>
      <c r="Q162" s="2">
        <f t="shared" si="109"/>
        <v>255.11</v>
      </c>
      <c r="R162">
        <v>14</v>
      </c>
      <c r="S162" s="2">
        <v>81</v>
      </c>
      <c r="T162" s="1">
        <v>7.0000000000000007E-2</v>
      </c>
      <c r="U162" s="2">
        <f t="shared" si="139"/>
        <v>75.33</v>
      </c>
      <c r="V162" s="2">
        <v>13</v>
      </c>
      <c r="W162" s="2">
        <v>19</v>
      </c>
      <c r="X162" s="3">
        <v>22.8</v>
      </c>
      <c r="Y162" s="1">
        <v>0.8</v>
      </c>
      <c r="Z162" s="3">
        <f t="shared" si="110"/>
        <v>18.240000000000002</v>
      </c>
      <c r="AA162" s="3">
        <f>IF(I162&lt;&gt;"",X162/INDEX('energy battery'!$B$3:$D$6,MATCH('vehicles specifications'!$D162,'energy battery'!$A$3:$A$6,0),MATCH('vehicles specifications'!$I162,'energy battery'!$B$2:$D$2,0)),"")</f>
        <v>45.6</v>
      </c>
      <c r="AB162" s="3">
        <f t="shared" si="115"/>
        <v>13.68</v>
      </c>
      <c r="AC162" s="3">
        <f t="shared" si="116"/>
        <v>59.28</v>
      </c>
      <c r="AD162" s="3">
        <v>0</v>
      </c>
      <c r="AE162" s="3">
        <v>0</v>
      </c>
      <c r="AF162">
        <f>AE162*'fuels and tailpipe emissions'!$B$3</f>
        <v>0</v>
      </c>
      <c r="AG162">
        <v>0</v>
      </c>
      <c r="AH162" s="3">
        <v>0</v>
      </c>
      <c r="AI162" s="3">
        <v>5</v>
      </c>
      <c r="AJ162" s="3">
        <v>1</v>
      </c>
      <c r="AK162">
        <f t="shared" si="129"/>
        <v>1.54</v>
      </c>
      <c r="AL162">
        <f t="shared" si="65"/>
        <v>1.3699407E-4</v>
      </c>
      <c r="AM162">
        <v>1.2899999999999999E-3</v>
      </c>
      <c r="AN162" s="2">
        <f t="shared" si="111"/>
        <v>75.33</v>
      </c>
      <c r="AO162" s="2">
        <f t="shared" si="112"/>
        <v>32</v>
      </c>
      <c r="AP162" s="2">
        <f t="shared" si="113"/>
        <v>59.28</v>
      </c>
      <c r="AQ162" s="6" t="s">
        <v>85</v>
      </c>
      <c r="AR162" s="20"/>
      <c r="AS162" s="6">
        <v>0.24635579913730349</v>
      </c>
      <c r="AT162" s="2">
        <f t="shared" si="130"/>
        <v>266.54132043956048</v>
      </c>
      <c r="AU162" s="5">
        <v>0</v>
      </c>
      <c r="AV162" s="5">
        <v>0</v>
      </c>
      <c r="AW162" s="7">
        <v>0</v>
      </c>
      <c r="AX162" s="7">
        <v>0</v>
      </c>
      <c r="AY162" s="7">
        <v>0</v>
      </c>
      <c r="AZ162" s="7">
        <v>0</v>
      </c>
      <c r="BA162" s="7">
        <v>0</v>
      </c>
      <c r="BB162" s="7">
        <v>0</v>
      </c>
      <c r="BC162" s="7">
        <v>0</v>
      </c>
      <c r="BD162" s="7">
        <v>0</v>
      </c>
      <c r="BE162" s="7">
        <v>0</v>
      </c>
      <c r="BF162" s="7">
        <v>0</v>
      </c>
      <c r="BG162" s="7">
        <v>0</v>
      </c>
      <c r="BH162" s="7">
        <v>0</v>
      </c>
      <c r="BI162" s="7">
        <v>0</v>
      </c>
      <c r="BJ162" s="7">
        <v>0</v>
      </c>
      <c r="BK162" s="7">
        <v>0</v>
      </c>
      <c r="BL162" s="7">
        <v>0</v>
      </c>
      <c r="BM162" s="7">
        <v>0</v>
      </c>
      <c r="BN162" s="7">
        <v>0</v>
      </c>
      <c r="BO162" s="7">
        <v>0</v>
      </c>
      <c r="BP162" s="7">
        <v>0</v>
      </c>
      <c r="BQ162" s="7">
        <v>0</v>
      </c>
      <c r="BR162" s="7">
        <v>0</v>
      </c>
      <c r="BS162" s="7">
        <v>0</v>
      </c>
      <c r="BT162" s="7">
        <v>0</v>
      </c>
      <c r="BU162" s="7">
        <v>0</v>
      </c>
      <c r="BV162" s="7">
        <v>0</v>
      </c>
      <c r="BW162" s="7">
        <v>0</v>
      </c>
      <c r="BX162" s="7">
        <v>0</v>
      </c>
      <c r="BY162" s="7">
        <v>0</v>
      </c>
      <c r="BZ162" s="7">
        <v>0</v>
      </c>
      <c r="CA162" s="7">
        <v>0</v>
      </c>
      <c r="CB162" s="7">
        <v>0</v>
      </c>
      <c r="CC162" s="7">
        <v>0</v>
      </c>
      <c r="CD162" s="7">
        <v>0</v>
      </c>
      <c r="CE162" s="7">
        <v>0</v>
      </c>
      <c r="CF162" s="7">
        <v>0</v>
      </c>
      <c r="CG162" s="7">
        <v>0</v>
      </c>
      <c r="CH162" s="7">
        <v>0</v>
      </c>
      <c r="CI162" s="7">
        <v>0</v>
      </c>
      <c r="CJ162" s="7">
        <v>0</v>
      </c>
      <c r="CK162" s="38">
        <f>VLOOKUP($B162,'abrasion emissions'!$O$7:$R$36,2,FALSE)</f>
        <v>0.33</v>
      </c>
      <c r="CL162" s="38">
        <f>VLOOKUP($B162,'abrasion emissions'!$O$7:$R$36,3,FALSE)</f>
        <v>0.33</v>
      </c>
      <c r="CM162" s="38">
        <f>VLOOKUP($B162,'abrasion emissions'!$O$7:$R$36,4,FALSE)</f>
        <v>0.33</v>
      </c>
      <c r="CN162" s="7">
        <f>((SUMIFS('abrasion emissions'!$M$7:$M$34,'abrasion emissions'!$I$7:$I$34,"PM 2.5",'abrasion emissions'!$J$7:$J$34,"urban",'abrasion emissions'!$K$7:$K$34,"Tyre",'abrasion emissions'!$L$7:$L$34,"b")*POWER(('vehicles specifications'!$Q162/1000),(1/SUMIFS('abrasion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specifications'!$P162/1000),(1/SUMIFS('abrasion emissions'!$M$7:$M$34,'abrasion emissions'!$I$7:$I$34,"PM 10",'abrasion emissions'!$J$7:$J$34,"urban",'abrasion emissions'!$K$7:$K$34,"Tyre",'abrasion emissions'!$L$7:$L$34,"c")))))/1000000</f>
        <v>7.1885654894377667E-6</v>
      </c>
      <c r="CO162" s="7">
        <f>((SUMIFS('abrasion emissions'!$M$7:$M$34,'abrasion emissions'!$I$7:$I$34,"PM 2.5",'abrasion emissions'!$J$7:$J$34,"rural",'abrasion emissions'!$K$7:$K$34,"Tyre",'abrasion emissions'!$L$7:$L$34,"b")*POWER(('vehicles specifications'!$Q162/1000),(1/SUMIFS('abrasion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specifications'!$P162/1000),(1/SUMIFS('abrasion emissions'!$M$7:$M$34,'abrasion emissions'!$I$7:$I$34,"PM 10",'abrasion emissions'!$J$7:$J$34,"rural",'abrasion emissions'!$K$7:$K$34,"Tyre",'abrasion emissions'!$L$7:$L$34,"c")))))/1000000</f>
        <v>5.5982788346864884E-6</v>
      </c>
      <c r="CP162" s="7">
        <f>((SUMIFS('abrasion emissions'!$M$7:$M$34,'abrasion emissions'!$I$7:$I$34,"PM 2.5",'abrasion emissions'!$J$7:$J$34,"motorway",'abrasion emissions'!$K$7:$K$34,"Tyre",'abrasion emissions'!$L$7:$L$34,"b")*POWER(('vehicles specifications'!$Q162/1000),(1/SUMIFS('abrasion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specifications'!$P162/1000),(1/SUMIFS('abrasion emissions'!$M$7:$M$34,'abrasion emissions'!$I$7:$I$34,"PM 10",'abrasion emissions'!$J$7:$J$34,"motorway",'abrasion emissions'!$K$7:$K$34,"Tyre",'abrasion emissions'!$L$7:$L$34,"c")))))/1000000</f>
        <v>4.7801962600443701E-6</v>
      </c>
      <c r="CQ162" s="7">
        <f>((SUMIFS('abrasion emissions'!$M$7:$M$34,'abrasion emissions'!$I$7:$I$34,"PM 2.5",'abrasion emissions'!$J$7:$J$34,"urban",'abrasion emissions'!$K$7:$K$34,"Brake",'abrasion emissions'!$L$7:$L$34,"b")*POWER(('vehicles specifications'!$Q162/1000),(1/SUMIFS('abrasion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specifications'!$P162/1000),(1/SUMIFS('abrasion emissions'!$M$7:$M$34,'abrasion emissions'!$I$7:$I$34,"PM 10",'abrasion emissions'!$J$7:$J$34,"urban",'abrasion emissions'!$K$7:$K$34,"Brake",'abrasion emissions'!$L$7:$L$34,"c")))))/1000000</f>
        <v>6.9951217764317907E-6</v>
      </c>
      <c r="CR162" s="7">
        <f>((SUMIFS('abrasion emissions'!$M$7:$M$34,'abrasion emissions'!$I$7:$I$34,"PM 2.5",'abrasion emissions'!$J$7:$J$34,"rural",'abrasion emissions'!$K$7:$K$34,"Brake",'abrasion emissions'!$L$7:$L$34,"b")*POWER(('vehicles specifications'!$Q162/1000),(1/SUMIFS('abrasion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specifications'!$P162/1000),(1/SUMIFS('abrasion emissions'!$M$7:$M$34,'abrasion emissions'!$I$7:$I$34,"PM 10",'abrasion emissions'!$J$7:$J$34,"rural",'abrasion emissions'!$K$7:$K$34,"Brake",'abrasion emissions'!$L$7:$L$34,"c")))))/1000000</f>
        <v>2.3550914917354701E-6</v>
      </c>
      <c r="CS162" s="7">
        <f>((SUMIFS('abrasion emissions'!$M$7:$M$34,'abrasion emissions'!$I$7:$I$34,"PM 2.5",'abrasion emissions'!$J$7:$J$34,"motorway",'abrasion emissions'!$K$7:$K$34,"Brake",'abrasion emissions'!$L$7:$L$34,"b")*POWER(('vehicles specifications'!$Q162/1000),(1/SUMIFS('abrasion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specifications'!$P162/1000),(1/SUMIFS('abrasion emissions'!$M$7:$M$34,'abrasion emissions'!$I$7:$I$34,"PM 10",'abrasion emissions'!$J$7:$J$34,"motorway",'abrasion emissions'!$K$7:$K$34,"Brake",'abrasion emissions'!$L$7:$L$34,"c")))))/1000000</f>
        <v>4.5043105147652871E-7</v>
      </c>
      <c r="CT162" s="7">
        <f>((SUMIFS('abrasion emissions'!$M$7:$M$38,'abrasion emissions'!$I$7:$I$38,"PM 2.5",'abrasion emissions'!$K$7:$K$38,"Re-susp.",'abrasion emissions'!$L$7:$L$38,"b")*POWER(('vehicles specifications'!$Q162/1000),(1/SUMIFS('abrasion emissions'!$M$7:$M$38,'abrasion emissions'!$I$7:$I$38,"PM 2.5",'abrasion emissions'!$K$7:$K$38,"Re-susp.",'abrasion emissions'!$L$7:$L$38,"c"))))+
(SUMIFS('abrasion emissions'!$M$7:$M$38,'abrasion emissions'!$I$7:$I$38,"PM 10",'abrasion emissions'!$K$7:$K$38,"Re-susp.",'abrasion emissions'!$L$7:$L$38,"b")*POWER(('vehicles specifications'!$Q162/1000),(1/SUMIFS('abrasion emissions'!$M$7:$M$38,'abrasion emissions'!$I$7:$I$38,"PM 10",'abrasion emissions'!$K$7:$K$38,"Re-susp.",'abrasion emissions'!$L$7:$L$38,"c")))))/1000000</f>
        <v>4.7370197562953144E-6</v>
      </c>
      <c r="CU162" s="7">
        <f>((SUMIFS('abrasion emissions'!$M$7:$M$38,'abrasion emissions'!$I$7:$I$38,"PM 2.5",'abrasion emissions'!$K$7:$K$38,"Road",'abrasion emissions'!$L$7:$L$38,"b")*POWER(('vehicles specifications'!$Q162/1000),(1/SUMIFS('abrasion emissions'!$M$7:$M$38,'abrasion emissions'!$I$7:$I$38,"PM 2.5",'abrasion emissions'!$K$7:$K$38,"Road",'abrasion emissions'!$L$7:$L$38,"c"))))+
(SUMIFS('abrasion emissions'!$M$7:$M$38,'abrasion emissions'!$I$7:$I$38,"PM 10",'abrasion emissions'!$K$7:$K$38,"Road",'abrasion emissions'!$L$7:$L$38,"b")*POWER(('vehicles specifications'!$Q162/1000),(1/SUMIFS('abrasion emissions'!$M$7:$M$38,'abrasion emissions'!$I$7:$I$38,"PM 10",'abrasion emissions'!$K$7:$K$38,"Road",'abrasion emissions'!$L$7:$L$38,"c")))))/1000000+CT162</f>
        <v>8.8398652291641006E-6</v>
      </c>
      <c r="CV162" s="7">
        <f t="shared" si="131"/>
        <v>5.7971233927756468E-6</v>
      </c>
      <c r="CW162" s="7">
        <f t="shared" si="132"/>
        <v>3.2342126254824507E-6</v>
      </c>
    </row>
    <row r="163" spans="1:101" x14ac:dyDescent="0.2">
      <c r="A163" t="str">
        <f t="shared" si="114"/>
        <v>Motorbike, electric, &gt;35kW - 2020 - NCA - CH</v>
      </c>
      <c r="B163" t="s">
        <v>270</v>
      </c>
      <c r="D163" s="18">
        <v>2020</v>
      </c>
      <c r="E163" t="s">
        <v>37</v>
      </c>
      <c r="F163" t="s">
        <v>138</v>
      </c>
      <c r="G163" t="s">
        <v>39</v>
      </c>
      <c r="H163" t="s">
        <v>32</v>
      </c>
      <c r="I163" t="s">
        <v>45</v>
      </c>
      <c r="J163">
        <v>40500</v>
      </c>
      <c r="K163">
        <v>2896</v>
      </c>
      <c r="L163" s="2">
        <f t="shared" si="108"/>
        <v>13.984806629834255</v>
      </c>
      <c r="M163">
        <v>1.1000000000000001</v>
      </c>
      <c r="N163">
        <v>75</v>
      </c>
      <c r="O163">
        <v>6</v>
      </c>
      <c r="P163" s="2">
        <f t="shared" si="64"/>
        <v>240.90086956521736</v>
      </c>
      <c r="Q163" s="2">
        <f t="shared" si="109"/>
        <v>329.40086956521736</v>
      </c>
      <c r="R163">
        <v>49</v>
      </c>
      <c r="S163" s="2">
        <v>111</v>
      </c>
      <c r="T163" s="1">
        <v>0</v>
      </c>
      <c r="U163" s="2">
        <f t="shared" si="139"/>
        <v>111</v>
      </c>
      <c r="V163" s="2">
        <v>13.74</v>
      </c>
      <c r="W163" s="2">
        <v>22.900000000000002</v>
      </c>
      <c r="X163" s="3">
        <v>16.5</v>
      </c>
      <c r="Y163" s="1">
        <v>0.8</v>
      </c>
      <c r="Z163" s="3">
        <f t="shared" si="110"/>
        <v>13.200000000000001</v>
      </c>
      <c r="AA163" s="3">
        <f>IF(I163&lt;&gt;"",X163/INDEX('energy battery'!$B$3:$D$6,MATCH('vehicles specifications'!$D163,'energy battery'!$A$3:$A$6,0),MATCH('vehicles specifications'!$I163,'energy battery'!$B$2:$D$2,0)),"")</f>
        <v>71.739130434782609</v>
      </c>
      <c r="AB163" s="3">
        <f t="shared" si="115"/>
        <v>21.521739130434781</v>
      </c>
      <c r="AC163" s="3">
        <f t="shared" si="116"/>
        <v>93.260869565217391</v>
      </c>
      <c r="AD163" s="3">
        <v>1</v>
      </c>
      <c r="AE163" s="3">
        <v>0</v>
      </c>
      <c r="AF163">
        <f>AE163*'fuels and tailpipe emissions'!$B$3</f>
        <v>0</v>
      </c>
      <c r="AG163">
        <v>0</v>
      </c>
      <c r="AH163" s="3">
        <v>0</v>
      </c>
      <c r="AI163" s="3">
        <v>5</v>
      </c>
      <c r="AJ163" s="3">
        <v>1</v>
      </c>
      <c r="AK163">
        <f t="shared" si="129"/>
        <v>1.62</v>
      </c>
      <c r="AL163">
        <f t="shared" si="65"/>
        <v>1.7688826695652171E-4</v>
      </c>
      <c r="AM163">
        <v>1.2899999999999999E-3</v>
      </c>
      <c r="AN163" s="2">
        <f t="shared" si="111"/>
        <v>111</v>
      </c>
      <c r="AO163" s="2">
        <f t="shared" si="112"/>
        <v>36.64</v>
      </c>
      <c r="AP163" s="2">
        <f t="shared" si="113"/>
        <v>93.260869565217391</v>
      </c>
      <c r="AQ163" s="6" t="s">
        <v>85</v>
      </c>
      <c r="AR163" s="20"/>
      <c r="AS163" s="6">
        <v>0.27473182101357863</v>
      </c>
      <c r="AT163" s="2">
        <f t="shared" si="130"/>
        <v>172.96867841767528</v>
      </c>
      <c r="AU163" s="5">
        <v>0</v>
      </c>
      <c r="AV163" s="5">
        <v>0</v>
      </c>
      <c r="AW163" s="7">
        <v>0</v>
      </c>
      <c r="AX163" s="7">
        <v>0</v>
      </c>
      <c r="AY163" s="7">
        <v>0</v>
      </c>
      <c r="AZ163" s="7">
        <v>0</v>
      </c>
      <c r="BA163" s="7">
        <v>0</v>
      </c>
      <c r="BB163" s="7">
        <v>0</v>
      </c>
      <c r="BC163" s="7">
        <v>0</v>
      </c>
      <c r="BD163" s="7">
        <v>0</v>
      </c>
      <c r="BE163" s="7">
        <v>0</v>
      </c>
      <c r="BF163" s="7">
        <v>0</v>
      </c>
      <c r="BG163" s="7">
        <v>0</v>
      </c>
      <c r="BH163" s="7">
        <v>0</v>
      </c>
      <c r="BI163" s="7">
        <v>0</v>
      </c>
      <c r="BJ163" s="7">
        <v>0</v>
      </c>
      <c r="BK163" s="7">
        <v>0</v>
      </c>
      <c r="BL163" s="7">
        <v>0</v>
      </c>
      <c r="BM163" s="7">
        <v>0</v>
      </c>
      <c r="BN163" s="7">
        <v>0</v>
      </c>
      <c r="BO163" s="7">
        <v>0</v>
      </c>
      <c r="BP163" s="7">
        <v>0</v>
      </c>
      <c r="BQ163" s="7">
        <v>0</v>
      </c>
      <c r="BR163" s="7">
        <v>0</v>
      </c>
      <c r="BS163" s="7">
        <v>0</v>
      </c>
      <c r="BT163" s="7">
        <v>0</v>
      </c>
      <c r="BU163" s="7">
        <v>0</v>
      </c>
      <c r="BV163" s="7">
        <v>0</v>
      </c>
      <c r="BW163" s="7">
        <v>0</v>
      </c>
      <c r="BX163" s="7">
        <v>0</v>
      </c>
      <c r="BY163" s="7">
        <v>0</v>
      </c>
      <c r="BZ163" s="7">
        <v>0</v>
      </c>
      <c r="CA163" s="7">
        <v>0</v>
      </c>
      <c r="CB163" s="7">
        <v>0</v>
      </c>
      <c r="CC163" s="7">
        <v>0</v>
      </c>
      <c r="CD163" s="7">
        <v>0</v>
      </c>
      <c r="CE163" s="7">
        <v>0</v>
      </c>
      <c r="CF163" s="7">
        <v>0</v>
      </c>
      <c r="CG163" s="7">
        <v>0</v>
      </c>
      <c r="CH163" s="7">
        <v>0</v>
      </c>
      <c r="CI163" s="7">
        <v>0</v>
      </c>
      <c r="CJ163" s="7">
        <v>0</v>
      </c>
      <c r="CK163" s="38">
        <f>VLOOKUP($B163,'abrasion emissions'!$O$7:$R$36,2,FALSE)</f>
        <v>0.33</v>
      </c>
      <c r="CL163" s="38">
        <f>VLOOKUP($B163,'abrasion emissions'!$O$7:$R$36,3,FALSE)</f>
        <v>0.33</v>
      </c>
      <c r="CM163" s="38">
        <f>VLOOKUP($B163,'abrasion emissions'!$O$7:$R$36,4,FALSE)</f>
        <v>0.33</v>
      </c>
      <c r="CN163" s="7">
        <f>((SUMIFS('abrasion emissions'!$M$7:$M$34,'abrasion emissions'!$I$7:$I$34,"PM 2.5",'abrasion emissions'!$J$7:$J$34,"urban",'abrasion emissions'!$K$7:$K$34,"Tyre",'abrasion emissions'!$L$7:$L$34,"b")*POWER(('vehicles specifications'!$Q163/1000),(1/SUMIFS('abrasion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specifications'!$P163/1000),(1/SUMIFS('abrasion emissions'!$M$7:$M$34,'abrasion emissions'!$I$7:$I$34,"PM 10",'abrasion emissions'!$J$7:$J$34,"urban",'abrasion emissions'!$K$7:$K$34,"Tyre",'abrasion emissions'!$L$7:$L$34,"c")))))/1000000</f>
        <v>8.1833966603172422E-6</v>
      </c>
      <c r="CO163" s="7">
        <f>((SUMIFS('abrasion emissions'!$M$7:$M$34,'abrasion emissions'!$I$7:$I$34,"PM 2.5",'abrasion emissions'!$J$7:$J$34,"rural",'abrasion emissions'!$K$7:$K$34,"Tyre",'abrasion emissions'!$L$7:$L$34,"b")*POWER(('vehicles specifications'!$Q163/1000),(1/SUMIFS('abrasion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specifications'!$P163/1000),(1/SUMIFS('abrasion emissions'!$M$7:$M$34,'abrasion emissions'!$I$7:$I$34,"PM 10",'abrasion emissions'!$J$7:$J$34,"rural",'abrasion emissions'!$K$7:$K$34,"Tyre",'abrasion emissions'!$L$7:$L$34,"c")))))/1000000</f>
        <v>6.3725921258378231E-6</v>
      </c>
      <c r="CP163" s="7">
        <f>((SUMIFS('abrasion emissions'!$M$7:$M$34,'abrasion emissions'!$I$7:$I$34,"PM 2.5",'abrasion emissions'!$J$7:$J$34,"motorway",'abrasion emissions'!$K$7:$K$34,"Tyre",'abrasion emissions'!$L$7:$L$34,"b")*POWER(('vehicles specifications'!$Q163/1000),(1/SUMIFS('abrasion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specifications'!$P163/1000),(1/SUMIFS('abrasion emissions'!$M$7:$M$34,'abrasion emissions'!$I$7:$I$34,"PM 10",'abrasion emissions'!$J$7:$J$34,"motorway",'abrasion emissions'!$K$7:$K$34,"Tyre",'abrasion emissions'!$L$7:$L$34,"c")))))/1000000</f>
        <v>5.4402618599253395E-6</v>
      </c>
      <c r="CQ163" s="7">
        <f>((SUMIFS('abrasion emissions'!$M$7:$M$34,'abrasion emissions'!$I$7:$I$34,"PM 2.5",'abrasion emissions'!$J$7:$J$34,"urban",'abrasion emissions'!$K$7:$K$34,"Brake",'abrasion emissions'!$L$7:$L$34,"b")*POWER(('vehicles specifications'!$Q163/1000),(1/SUMIFS('abrasion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specifications'!$P163/1000),(1/SUMIFS('abrasion emissions'!$M$7:$M$34,'abrasion emissions'!$I$7:$I$34,"PM 10",'abrasion emissions'!$J$7:$J$34,"urban",'abrasion emissions'!$K$7:$K$34,"Brake",'abrasion emissions'!$L$7:$L$34,"c")))))/1000000</f>
        <v>8.1170983104317375E-6</v>
      </c>
      <c r="CR163" s="7">
        <f>((SUMIFS('abrasion emissions'!$M$7:$M$34,'abrasion emissions'!$I$7:$I$34,"PM 2.5",'abrasion emissions'!$J$7:$J$34,"rural",'abrasion emissions'!$K$7:$K$34,"Brake",'abrasion emissions'!$L$7:$L$34,"b")*POWER(('vehicles specifications'!$Q163/1000),(1/SUMIFS('abrasion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specifications'!$P163/1000),(1/SUMIFS('abrasion emissions'!$M$7:$M$34,'abrasion emissions'!$I$7:$I$34,"PM 10",'abrasion emissions'!$J$7:$J$34,"rural",'abrasion emissions'!$K$7:$K$34,"Brake",'abrasion emissions'!$L$7:$L$34,"c")))))/1000000</f>
        <v>2.8432167717392888E-6</v>
      </c>
      <c r="CS163" s="7">
        <f>((SUMIFS('abrasion emissions'!$M$7:$M$34,'abrasion emissions'!$I$7:$I$34,"PM 2.5",'abrasion emissions'!$J$7:$J$34,"motorway",'abrasion emissions'!$K$7:$K$34,"Brake",'abrasion emissions'!$L$7:$L$34,"b")*POWER(('vehicles specifications'!$Q163/1000),(1/SUMIFS('abrasion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specifications'!$P163/1000),(1/SUMIFS('abrasion emissions'!$M$7:$M$34,'abrasion emissions'!$I$7:$I$34,"PM 10",'abrasion emissions'!$J$7:$J$34,"motorway",'abrasion emissions'!$K$7:$K$34,"Brake",'abrasion emissions'!$L$7:$L$34,"c")))))/1000000</f>
        <v>5.5944631400125093E-7</v>
      </c>
      <c r="CT163" s="7">
        <f>((SUMIFS('abrasion emissions'!$M$7:$M$38,'abrasion emissions'!$I$7:$I$38,"PM 2.5",'abrasion emissions'!$K$7:$K$38,"Re-susp.",'abrasion emissions'!$L$7:$L$38,"b")*POWER(('vehicles specifications'!$Q163/1000),(1/SUMIFS('abrasion emissions'!$M$7:$M$38,'abrasion emissions'!$I$7:$I$38,"PM 2.5",'abrasion emissions'!$K$7:$K$38,"Re-susp.",'abrasion emissions'!$L$7:$L$38,"c"))))+
(SUMIFS('abrasion emissions'!$M$7:$M$38,'abrasion emissions'!$I$7:$I$38,"PM 10",'abrasion emissions'!$K$7:$K$38,"Re-susp.",'abrasion emissions'!$L$7:$L$38,"b")*POWER(('vehicles specifications'!$Q163/1000),(1/SUMIFS('abrasion emissions'!$M$7:$M$38,'abrasion emissions'!$I$7:$I$38,"PM 10",'abrasion emissions'!$K$7:$K$38,"Re-susp.",'abrasion emissions'!$L$7:$L$38,"c")))))/1000000</f>
        <v>5.9760165932201544E-6</v>
      </c>
      <c r="CU163" s="7">
        <f>((SUMIFS('abrasion emissions'!$M$7:$M$38,'abrasion emissions'!$I$7:$I$38,"PM 2.5",'abrasion emissions'!$K$7:$K$38,"Road",'abrasion emissions'!$L$7:$L$38,"b")*POWER(('vehicles specifications'!$Q163/1000),(1/SUMIFS('abrasion emissions'!$M$7:$M$38,'abrasion emissions'!$I$7:$I$38,"PM 2.5",'abrasion emissions'!$K$7:$K$38,"Road",'abrasion emissions'!$L$7:$L$38,"c"))))+
(SUMIFS('abrasion emissions'!$M$7:$M$38,'abrasion emissions'!$I$7:$I$38,"PM 10",'abrasion emissions'!$K$7:$K$38,"Road",'abrasion emissions'!$L$7:$L$38,"b")*POWER(('vehicles specifications'!$Q163/1000),(1/SUMIFS('abrasion emissions'!$M$7:$M$38,'abrasion emissions'!$I$7:$I$38,"PM 10",'abrasion emissions'!$K$7:$K$38,"Road",'abrasion emissions'!$L$7:$L$38,"c")))))/1000000+CT163</f>
        <v>1.0841022060127957E-5</v>
      </c>
      <c r="CV163" s="7">
        <f t="shared" si="131"/>
        <v>6.5987627132065337E-6</v>
      </c>
      <c r="CW163" s="7">
        <f t="shared" si="132"/>
        <v>3.8015212607368517E-6</v>
      </c>
    </row>
    <row r="164" spans="1:101" x14ac:dyDescent="0.2">
      <c r="A164" t="str">
        <f t="shared" si="114"/>
        <v>Motorbike, electric, &gt;35kW - 2030 - NCA - CH</v>
      </c>
      <c r="B164" t="s">
        <v>270</v>
      </c>
      <c r="D164" s="18">
        <v>2030</v>
      </c>
      <c r="E164" t="s">
        <v>37</v>
      </c>
      <c r="F164" t="s">
        <v>138</v>
      </c>
      <c r="G164" t="s">
        <v>39</v>
      </c>
      <c r="H164" t="s">
        <v>32</v>
      </c>
      <c r="I164" t="s">
        <v>45</v>
      </c>
      <c r="J164">
        <v>40500</v>
      </c>
      <c r="K164">
        <v>2896</v>
      </c>
      <c r="L164" s="2">
        <f t="shared" si="108"/>
        <v>13.984806629834255</v>
      </c>
      <c r="M164">
        <v>1.1000000000000001</v>
      </c>
      <c r="N164">
        <v>75</v>
      </c>
      <c r="O164">
        <v>6</v>
      </c>
      <c r="P164" s="2">
        <f t="shared" si="64"/>
        <v>255.24333333333334</v>
      </c>
      <c r="Q164" s="2">
        <f t="shared" si="109"/>
        <v>343.74333333333334</v>
      </c>
      <c r="R164">
        <v>49</v>
      </c>
      <c r="S164" s="2">
        <v>111</v>
      </c>
      <c r="T164" s="1">
        <v>0.03</v>
      </c>
      <c r="U164" s="2">
        <f t="shared" si="139"/>
        <v>107.67</v>
      </c>
      <c r="V164" s="2">
        <v>13.74</v>
      </c>
      <c r="W164" s="2">
        <v>22.900000000000002</v>
      </c>
      <c r="X164" s="3">
        <v>25.6</v>
      </c>
      <c r="Y164" s="1">
        <v>0.8</v>
      </c>
      <c r="Z164" s="3">
        <f t="shared" si="110"/>
        <v>20.480000000000004</v>
      </c>
      <c r="AA164" s="3">
        <f>IF(I164&lt;&gt;"",X164/INDEX('energy battery'!$B$3:$D$6,MATCH('vehicles specifications'!$D164,'energy battery'!$A$3:$A$6,0),MATCH('vehicles specifications'!$I164,'energy battery'!$B$2:$D$2,0)),"")</f>
        <v>85.333333333333343</v>
      </c>
      <c r="AB164" s="3">
        <f t="shared" si="115"/>
        <v>25.6</v>
      </c>
      <c r="AC164" s="3">
        <f t="shared" si="116"/>
        <v>110.93333333333334</v>
      </c>
      <c r="AD164" s="3">
        <v>0.5</v>
      </c>
      <c r="AE164" s="3">
        <v>0</v>
      </c>
      <c r="AF164">
        <f>AE164*'fuels and tailpipe emissions'!$B$3</f>
        <v>0</v>
      </c>
      <c r="AG164">
        <v>0</v>
      </c>
      <c r="AH164" s="3">
        <v>0</v>
      </c>
      <c r="AI164" s="3">
        <v>5</v>
      </c>
      <c r="AJ164" s="3">
        <v>1</v>
      </c>
      <c r="AK164">
        <f t="shared" si="129"/>
        <v>1.62</v>
      </c>
      <c r="AL164">
        <f t="shared" si="65"/>
        <v>1.8459017000000002E-4</v>
      </c>
      <c r="AM164">
        <v>1.2899999999999999E-3</v>
      </c>
      <c r="AN164" s="2">
        <f t="shared" si="111"/>
        <v>107.67</v>
      </c>
      <c r="AO164" s="2">
        <f t="shared" si="112"/>
        <v>36.64</v>
      </c>
      <c r="AP164" s="2">
        <f t="shared" si="113"/>
        <v>110.93333333333334</v>
      </c>
      <c r="AQ164" s="6" t="s">
        <v>85</v>
      </c>
      <c r="AR164" s="20"/>
      <c r="AS164" s="6">
        <v>0.27473182101357863</v>
      </c>
      <c r="AT164" s="2">
        <f t="shared" si="130"/>
        <v>268.363525302575</v>
      </c>
      <c r="AU164" s="5">
        <v>0</v>
      </c>
      <c r="AV164" s="5">
        <v>0</v>
      </c>
      <c r="AW164" s="7">
        <v>0</v>
      </c>
      <c r="AX164" s="7">
        <v>0</v>
      </c>
      <c r="AY164" s="7">
        <v>0</v>
      </c>
      <c r="AZ164" s="7">
        <v>0</v>
      </c>
      <c r="BA164" s="7">
        <v>0</v>
      </c>
      <c r="BB164" s="7">
        <v>0</v>
      </c>
      <c r="BC164" s="7">
        <v>0</v>
      </c>
      <c r="BD164" s="7">
        <v>0</v>
      </c>
      <c r="BE164" s="7">
        <v>0</v>
      </c>
      <c r="BF164" s="7">
        <v>0</v>
      </c>
      <c r="BG164" s="7">
        <v>0</v>
      </c>
      <c r="BH164" s="7">
        <v>0</v>
      </c>
      <c r="BI164" s="7">
        <v>0</v>
      </c>
      <c r="BJ164" s="7">
        <v>0</v>
      </c>
      <c r="BK164" s="7">
        <v>0</v>
      </c>
      <c r="BL164" s="7">
        <v>0</v>
      </c>
      <c r="BM164" s="7">
        <v>0</v>
      </c>
      <c r="BN164" s="7">
        <v>0</v>
      </c>
      <c r="BO164" s="7">
        <v>0</v>
      </c>
      <c r="BP164" s="7">
        <v>0</v>
      </c>
      <c r="BQ164" s="7">
        <v>0</v>
      </c>
      <c r="BR164" s="7">
        <v>0</v>
      </c>
      <c r="BS164" s="7">
        <v>0</v>
      </c>
      <c r="BT164" s="7">
        <v>0</v>
      </c>
      <c r="BU164" s="7">
        <v>0</v>
      </c>
      <c r="BV164" s="7">
        <v>0</v>
      </c>
      <c r="BW164" s="7">
        <v>0</v>
      </c>
      <c r="BX164" s="7">
        <v>0</v>
      </c>
      <c r="BY164" s="7">
        <v>0</v>
      </c>
      <c r="BZ164" s="7">
        <v>0</v>
      </c>
      <c r="CA164" s="7">
        <v>0</v>
      </c>
      <c r="CB164" s="7">
        <v>0</v>
      </c>
      <c r="CC164" s="7">
        <v>0</v>
      </c>
      <c r="CD164" s="7">
        <v>0</v>
      </c>
      <c r="CE164" s="7">
        <v>0</v>
      </c>
      <c r="CF164" s="7">
        <v>0</v>
      </c>
      <c r="CG164" s="7">
        <v>0</v>
      </c>
      <c r="CH164" s="7">
        <v>0</v>
      </c>
      <c r="CI164" s="7">
        <v>0</v>
      </c>
      <c r="CJ164" s="7">
        <v>0</v>
      </c>
      <c r="CK164" s="38">
        <f>VLOOKUP($B164,'abrasion emissions'!$O$7:$R$36,2,FALSE)</f>
        <v>0.33</v>
      </c>
      <c r="CL164" s="38">
        <f>VLOOKUP($B164,'abrasion emissions'!$O$7:$R$36,3,FALSE)</f>
        <v>0.33</v>
      </c>
      <c r="CM164" s="38">
        <f>VLOOKUP($B164,'abrasion emissions'!$O$7:$R$36,4,FALSE)</f>
        <v>0.33</v>
      </c>
      <c r="CN164" s="7">
        <f>((SUMIFS('abrasion emissions'!$M$7:$M$34,'abrasion emissions'!$I$7:$I$34,"PM 2.5",'abrasion emissions'!$J$7:$J$34,"urban",'abrasion emissions'!$K$7:$K$34,"Tyre",'abrasion emissions'!$L$7:$L$34,"b")*POWER(('vehicles specifications'!$Q164/1000),(1/SUMIFS('abrasion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specifications'!$P164/1000),(1/SUMIFS('abrasion emissions'!$M$7:$M$34,'abrasion emissions'!$I$7:$I$34,"PM 10",'abrasion emissions'!$J$7:$J$34,"urban",'abrasion emissions'!$K$7:$K$34,"Tyre",'abrasion emissions'!$L$7:$L$34,"c")))))/1000000</f>
        <v>8.3575672523710229E-6</v>
      </c>
      <c r="CO164" s="7">
        <f>((SUMIFS('abrasion emissions'!$M$7:$M$34,'abrasion emissions'!$I$7:$I$34,"PM 2.5",'abrasion emissions'!$J$7:$J$34,"rural",'abrasion emissions'!$K$7:$K$34,"Tyre",'abrasion emissions'!$L$7:$L$34,"b")*POWER(('vehicles specifications'!$Q164/1000),(1/SUMIFS('abrasion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specifications'!$P164/1000),(1/SUMIFS('abrasion emissions'!$M$7:$M$34,'abrasion emissions'!$I$7:$I$34,"PM 10",'abrasion emissions'!$J$7:$J$34,"rural",'abrasion emissions'!$K$7:$K$34,"Tyre",'abrasion emissions'!$L$7:$L$34,"c")))))/1000000</f>
        <v>6.508162228927543E-6</v>
      </c>
      <c r="CP164" s="7">
        <f>((SUMIFS('abrasion emissions'!$M$7:$M$34,'abrasion emissions'!$I$7:$I$34,"PM 2.5",'abrasion emissions'!$J$7:$J$34,"motorway",'abrasion emissions'!$K$7:$K$34,"Tyre",'abrasion emissions'!$L$7:$L$34,"b")*POWER(('vehicles specifications'!$Q164/1000),(1/SUMIFS('abrasion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specifications'!$P164/1000),(1/SUMIFS('abrasion emissions'!$M$7:$M$34,'abrasion emissions'!$I$7:$I$34,"PM 10",'abrasion emissions'!$J$7:$J$34,"motorway",'abrasion emissions'!$K$7:$K$34,"Tyre",'abrasion emissions'!$L$7:$L$34,"c")))))/1000000</f>
        <v>5.5558460494856411E-6</v>
      </c>
      <c r="CQ164" s="7">
        <f>((SUMIFS('abrasion emissions'!$M$7:$M$34,'abrasion emissions'!$I$7:$I$34,"PM 2.5",'abrasion emissions'!$J$7:$J$34,"urban",'abrasion emissions'!$K$7:$K$34,"Brake",'abrasion emissions'!$L$7:$L$34,"b")*POWER(('vehicles specifications'!$Q164/1000),(1/SUMIFS('abrasion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specifications'!$P164/1000),(1/SUMIFS('abrasion emissions'!$M$7:$M$34,'abrasion emissions'!$I$7:$I$34,"PM 10",'abrasion emissions'!$J$7:$J$34,"urban",'abrasion emissions'!$K$7:$K$34,"Brake",'abrasion emissions'!$L$7:$L$34,"c")))))/1000000</f>
        <v>8.317557876822241E-6</v>
      </c>
      <c r="CR164" s="7">
        <f>((SUMIFS('abrasion emissions'!$M$7:$M$34,'abrasion emissions'!$I$7:$I$34,"PM 2.5",'abrasion emissions'!$J$7:$J$34,"rural",'abrasion emissions'!$K$7:$K$34,"Brake",'abrasion emissions'!$L$7:$L$34,"b")*POWER(('vehicles specifications'!$Q164/1000),(1/SUMIFS('abrasion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specifications'!$P164/1000),(1/SUMIFS('abrasion emissions'!$M$7:$M$34,'abrasion emissions'!$I$7:$I$34,"PM 10",'abrasion emissions'!$J$7:$J$34,"rural",'abrasion emissions'!$K$7:$K$34,"Brake",'abrasion emissions'!$L$7:$L$34,"c")))))/1000000</f>
        <v>2.9324683737046851E-6</v>
      </c>
      <c r="CS164" s="7">
        <f>((SUMIFS('abrasion emissions'!$M$7:$M$34,'abrasion emissions'!$I$7:$I$34,"PM 2.5",'abrasion emissions'!$J$7:$J$34,"motorway",'abrasion emissions'!$K$7:$K$34,"Brake",'abrasion emissions'!$L$7:$L$34,"b")*POWER(('vehicles specifications'!$Q164/1000),(1/SUMIFS('abrasion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specifications'!$P164/1000),(1/SUMIFS('abrasion emissions'!$M$7:$M$34,'abrasion emissions'!$I$7:$I$34,"PM 10",'abrasion emissions'!$J$7:$J$34,"motorway",'abrasion emissions'!$K$7:$K$34,"Brake",'abrasion emissions'!$L$7:$L$34,"c")))))/1000000</f>
        <v>5.7971913075322212E-7</v>
      </c>
      <c r="CT164" s="7">
        <f>((SUMIFS('abrasion emissions'!$M$7:$M$38,'abrasion emissions'!$I$7:$I$38,"PM 2.5",'abrasion emissions'!$K$7:$K$38,"Re-susp.",'abrasion emissions'!$L$7:$L$38,"b")*POWER(('vehicles specifications'!$Q164/1000),(1/SUMIFS('abrasion emissions'!$M$7:$M$38,'abrasion emissions'!$I$7:$I$38,"PM 2.5",'abrasion emissions'!$K$7:$K$38,"Re-susp.",'abrasion emissions'!$L$7:$L$38,"c"))))+
(SUMIFS('abrasion emissions'!$M$7:$M$38,'abrasion emissions'!$I$7:$I$38,"PM 10",'abrasion emissions'!$K$7:$K$38,"Re-susp.",'abrasion emissions'!$L$7:$L$38,"b")*POWER(('vehicles specifications'!$Q164/1000),(1/SUMIFS('abrasion emissions'!$M$7:$M$38,'abrasion emissions'!$I$7:$I$38,"PM 10",'abrasion emissions'!$K$7:$K$38,"Re-susp.",'abrasion emissions'!$L$7:$L$38,"c")))))/1000000</f>
        <v>6.2121030543728906E-6</v>
      </c>
      <c r="CU164" s="7">
        <f>((SUMIFS('abrasion emissions'!$M$7:$M$38,'abrasion emissions'!$I$7:$I$38,"PM 2.5",'abrasion emissions'!$K$7:$K$38,"Road",'abrasion emissions'!$L$7:$L$38,"b")*POWER(('vehicles specifications'!$Q164/1000),(1/SUMIFS('abrasion emissions'!$M$7:$M$38,'abrasion emissions'!$I$7:$I$38,"PM 2.5",'abrasion emissions'!$K$7:$K$38,"Road",'abrasion emissions'!$L$7:$L$38,"c"))))+
(SUMIFS('abrasion emissions'!$M$7:$M$38,'abrasion emissions'!$I$7:$I$38,"PM 10",'abrasion emissions'!$K$7:$K$38,"Road",'abrasion emissions'!$L$7:$L$38,"b")*POWER(('vehicles specifications'!$Q164/1000),(1/SUMIFS('abrasion emissions'!$M$7:$M$38,'abrasion emissions'!$I$7:$I$38,"PM 10",'abrasion emissions'!$K$7:$K$38,"Road",'abrasion emissions'!$L$7:$L$38,"c")))))/1000000+CT164</f>
        <v>1.1217321401111864E-5</v>
      </c>
      <c r="CV164" s="7">
        <f t="shared" si="131"/>
        <v>6.7391199251587888E-6</v>
      </c>
      <c r="CW164" s="7">
        <f t="shared" si="132"/>
        <v>3.9038159758224493E-6</v>
      </c>
    </row>
    <row r="165" spans="1:101" x14ac:dyDescent="0.2">
      <c r="A165" t="str">
        <f t="shared" si="114"/>
        <v>Motorbike, electric, &gt;35kW - 2040 - NCA - CH</v>
      </c>
      <c r="B165" t="s">
        <v>270</v>
      </c>
      <c r="D165" s="18">
        <v>2040</v>
      </c>
      <c r="E165" t="s">
        <v>37</v>
      </c>
      <c r="F165" t="s">
        <v>138</v>
      </c>
      <c r="G165" t="s">
        <v>39</v>
      </c>
      <c r="H165" t="s">
        <v>32</v>
      </c>
      <c r="I165" t="s">
        <v>45</v>
      </c>
      <c r="J165">
        <v>40500</v>
      </c>
      <c r="K165">
        <v>2896</v>
      </c>
      <c r="L165" s="2">
        <f t="shared" si="108"/>
        <v>13.984806629834255</v>
      </c>
      <c r="M165">
        <v>1.1000000000000001</v>
      </c>
      <c r="N165">
        <v>75</v>
      </c>
      <c r="O165">
        <v>6</v>
      </c>
      <c r="P165" s="2">
        <f t="shared" si="64"/>
        <v>255.83999999999997</v>
      </c>
      <c r="Q165" s="2">
        <f t="shared" si="109"/>
        <v>344.34</v>
      </c>
      <c r="R165">
        <v>49</v>
      </c>
      <c r="S165" s="2">
        <v>111</v>
      </c>
      <c r="T165" s="1">
        <v>0.05</v>
      </c>
      <c r="U165" s="2">
        <f t="shared" si="139"/>
        <v>105.44999999999999</v>
      </c>
      <c r="V165" s="2">
        <v>13.74</v>
      </c>
      <c r="W165" s="2">
        <v>22.900000000000002</v>
      </c>
      <c r="X165" s="3">
        <v>35</v>
      </c>
      <c r="Y165" s="1">
        <v>0.8</v>
      </c>
      <c r="Z165" s="3">
        <f t="shared" si="110"/>
        <v>28</v>
      </c>
      <c r="AA165" s="3">
        <f>IF(I165&lt;&gt;"",X165/INDEX('energy battery'!$B$3:$D$6,MATCH('vehicles specifications'!$D165,'energy battery'!$A$3:$A$6,0),MATCH('vehicles specifications'!$I165,'energy battery'!$B$2:$D$2,0)),"")</f>
        <v>87.5</v>
      </c>
      <c r="AB165" s="3">
        <f t="shared" si="115"/>
        <v>26.25</v>
      </c>
      <c r="AC165" s="3">
        <f t="shared" si="116"/>
        <v>113.75</v>
      </c>
      <c r="AD165" s="3">
        <v>0.25</v>
      </c>
      <c r="AE165" s="3">
        <v>0</v>
      </c>
      <c r="AF165">
        <f>AE165*'fuels and tailpipe emissions'!$B$3</f>
        <v>0</v>
      </c>
      <c r="AG165">
        <v>0</v>
      </c>
      <c r="AH165" s="3">
        <v>0</v>
      </c>
      <c r="AI165" s="3">
        <v>5</v>
      </c>
      <c r="AJ165" s="3">
        <v>1</v>
      </c>
      <c r="AK165">
        <f t="shared" si="129"/>
        <v>1.62</v>
      </c>
      <c r="AL165">
        <f t="shared" si="65"/>
        <v>1.8491057999999998E-4</v>
      </c>
      <c r="AM165">
        <v>1.2899999999999999E-3</v>
      </c>
      <c r="AN165" s="2">
        <f t="shared" si="111"/>
        <v>105.44999999999999</v>
      </c>
      <c r="AO165" s="2">
        <f t="shared" si="112"/>
        <v>36.64</v>
      </c>
      <c r="AP165" s="2">
        <f t="shared" si="113"/>
        <v>113.75</v>
      </c>
      <c r="AQ165" s="6" t="s">
        <v>85</v>
      </c>
      <c r="AR165" s="20"/>
      <c r="AS165" s="6">
        <v>0.27473182101357863</v>
      </c>
      <c r="AT165" s="2">
        <f t="shared" si="130"/>
        <v>366.90325724961417</v>
      </c>
      <c r="AU165" s="5">
        <v>0</v>
      </c>
      <c r="AV165" s="5">
        <v>0</v>
      </c>
      <c r="AW165" s="7">
        <v>0</v>
      </c>
      <c r="AX165" s="7">
        <v>0</v>
      </c>
      <c r="AY165" s="7">
        <v>0</v>
      </c>
      <c r="AZ165" s="7">
        <v>0</v>
      </c>
      <c r="BA165" s="7">
        <v>0</v>
      </c>
      <c r="BB165" s="7">
        <v>0</v>
      </c>
      <c r="BC165" s="7">
        <v>0</v>
      </c>
      <c r="BD165" s="7">
        <v>0</v>
      </c>
      <c r="BE165" s="7">
        <v>0</v>
      </c>
      <c r="BF165" s="7">
        <v>0</v>
      </c>
      <c r="BG165" s="7">
        <v>0</v>
      </c>
      <c r="BH165" s="7">
        <v>0</v>
      </c>
      <c r="BI165" s="7">
        <v>0</v>
      </c>
      <c r="BJ165" s="7">
        <v>0</v>
      </c>
      <c r="BK165" s="7">
        <v>0</v>
      </c>
      <c r="BL165" s="7">
        <v>0</v>
      </c>
      <c r="BM165" s="7">
        <v>0</v>
      </c>
      <c r="BN165" s="7">
        <v>0</v>
      </c>
      <c r="BO165" s="7">
        <v>0</v>
      </c>
      <c r="BP165" s="7">
        <v>0</v>
      </c>
      <c r="BQ165" s="7">
        <v>0</v>
      </c>
      <c r="BR165" s="7">
        <v>0</v>
      </c>
      <c r="BS165" s="7">
        <v>0</v>
      </c>
      <c r="BT165" s="7">
        <v>0</v>
      </c>
      <c r="BU165" s="7">
        <v>0</v>
      </c>
      <c r="BV165" s="7">
        <v>0</v>
      </c>
      <c r="BW165" s="7">
        <v>0</v>
      </c>
      <c r="BX165" s="7">
        <v>0</v>
      </c>
      <c r="BY165" s="7">
        <v>0</v>
      </c>
      <c r="BZ165" s="7">
        <v>0</v>
      </c>
      <c r="CA165" s="7">
        <v>0</v>
      </c>
      <c r="CB165" s="7">
        <v>0</v>
      </c>
      <c r="CC165" s="7">
        <v>0</v>
      </c>
      <c r="CD165" s="7">
        <v>0</v>
      </c>
      <c r="CE165" s="7">
        <v>0</v>
      </c>
      <c r="CF165" s="7">
        <v>0</v>
      </c>
      <c r="CG165" s="7">
        <v>0</v>
      </c>
      <c r="CH165" s="7">
        <v>0</v>
      </c>
      <c r="CI165" s="7">
        <v>0</v>
      </c>
      <c r="CJ165" s="7">
        <v>0</v>
      </c>
      <c r="CK165" s="38">
        <f>VLOOKUP($B165,'abrasion emissions'!$O$7:$R$36,2,FALSE)</f>
        <v>0.33</v>
      </c>
      <c r="CL165" s="38">
        <f>VLOOKUP($B165,'abrasion emissions'!$O$7:$R$36,3,FALSE)</f>
        <v>0.33</v>
      </c>
      <c r="CM165" s="38">
        <f>VLOOKUP($B165,'abrasion emissions'!$O$7:$R$36,4,FALSE)</f>
        <v>0.33</v>
      </c>
      <c r="CN165" s="7">
        <f>((SUMIFS('abrasion emissions'!$M$7:$M$34,'abrasion emissions'!$I$7:$I$34,"PM 2.5",'abrasion emissions'!$J$7:$J$34,"urban",'abrasion emissions'!$K$7:$K$34,"Tyre",'abrasion emissions'!$L$7:$L$34,"b")*POWER(('vehicles specifications'!$Q165/1000),(1/SUMIFS('abrasion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specifications'!$P165/1000),(1/SUMIFS('abrasion emissions'!$M$7:$M$34,'abrasion emissions'!$I$7:$I$34,"PM 10",'abrasion emissions'!$J$7:$J$34,"urban",'abrasion emissions'!$K$7:$K$34,"Tyre",'abrasion emissions'!$L$7:$L$34,"c")))))/1000000</f>
        <v>8.3647087719422702E-6</v>
      </c>
      <c r="CO165" s="7">
        <f>((SUMIFS('abrasion emissions'!$M$7:$M$34,'abrasion emissions'!$I$7:$I$34,"PM 2.5",'abrasion emissions'!$J$7:$J$34,"rural",'abrasion emissions'!$K$7:$K$34,"Tyre",'abrasion emissions'!$L$7:$L$34,"b")*POWER(('vehicles specifications'!$Q165/1000),(1/SUMIFS('abrasion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specifications'!$P165/1000),(1/SUMIFS('abrasion emissions'!$M$7:$M$34,'abrasion emissions'!$I$7:$I$34,"PM 10",'abrasion emissions'!$J$7:$J$34,"rural",'abrasion emissions'!$K$7:$K$34,"Tyre",'abrasion emissions'!$L$7:$L$34,"c")))))/1000000</f>
        <v>6.5137210482321566E-6</v>
      </c>
      <c r="CP165" s="7">
        <f>((SUMIFS('abrasion emissions'!$M$7:$M$34,'abrasion emissions'!$I$7:$I$34,"PM 2.5",'abrasion emissions'!$J$7:$J$34,"motorway",'abrasion emissions'!$K$7:$K$34,"Tyre",'abrasion emissions'!$L$7:$L$34,"b")*POWER(('vehicles specifications'!$Q165/1000),(1/SUMIFS('abrasion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specifications'!$P165/1000),(1/SUMIFS('abrasion emissions'!$M$7:$M$34,'abrasion emissions'!$I$7:$I$34,"PM 10",'abrasion emissions'!$J$7:$J$34,"motorway",'abrasion emissions'!$K$7:$K$34,"Tyre",'abrasion emissions'!$L$7:$L$34,"c")))))/1000000</f>
        <v>5.5605854716209964E-6</v>
      </c>
      <c r="CQ165" s="7">
        <f>((SUMIFS('abrasion emissions'!$M$7:$M$34,'abrasion emissions'!$I$7:$I$34,"PM 2.5",'abrasion emissions'!$J$7:$J$34,"urban",'abrasion emissions'!$K$7:$K$34,"Brake",'abrasion emissions'!$L$7:$L$34,"b")*POWER(('vehicles specifications'!$Q165/1000),(1/SUMIFS('abrasion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specifications'!$P165/1000),(1/SUMIFS('abrasion emissions'!$M$7:$M$34,'abrasion emissions'!$I$7:$I$34,"PM 10",'abrasion emissions'!$J$7:$J$34,"urban",'abrasion emissions'!$K$7:$K$34,"Brake",'abrasion emissions'!$L$7:$L$34,"c")))))/1000000</f>
        <v>8.3258012529903491E-6</v>
      </c>
      <c r="CR165" s="7">
        <f>((SUMIFS('abrasion emissions'!$M$7:$M$34,'abrasion emissions'!$I$7:$I$34,"PM 2.5",'abrasion emissions'!$J$7:$J$34,"rural",'abrasion emissions'!$K$7:$K$34,"Brake",'abrasion emissions'!$L$7:$L$34,"b")*POWER(('vehicles specifications'!$Q165/1000),(1/SUMIFS('abrasion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specifications'!$P165/1000),(1/SUMIFS('abrasion emissions'!$M$7:$M$34,'abrasion emissions'!$I$7:$I$34,"PM 10",'abrasion emissions'!$J$7:$J$34,"rural",'abrasion emissions'!$K$7:$K$34,"Brake",'abrasion emissions'!$L$7:$L$34,"c")))))/1000000</f>
        <v>2.9361512365260452E-6</v>
      </c>
      <c r="CS165" s="7">
        <f>((SUMIFS('abrasion emissions'!$M$7:$M$34,'abrasion emissions'!$I$7:$I$34,"PM 2.5",'abrasion emissions'!$J$7:$J$34,"motorway",'abrasion emissions'!$K$7:$K$34,"Brake",'abrasion emissions'!$L$7:$L$34,"b")*POWER(('vehicles specifications'!$Q165/1000),(1/SUMIFS('abrasion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specifications'!$P165/1000),(1/SUMIFS('abrasion emissions'!$M$7:$M$34,'abrasion emissions'!$I$7:$I$34,"PM 10",'abrasion emissions'!$J$7:$J$34,"motorway",'abrasion emissions'!$K$7:$K$34,"Brake",'abrasion emissions'!$L$7:$L$34,"c")))))/1000000</f>
        <v>5.8055777633290315E-7</v>
      </c>
      <c r="CT165" s="7">
        <f>((SUMIFS('abrasion emissions'!$M$7:$M$38,'abrasion emissions'!$I$7:$I$38,"PM 2.5",'abrasion emissions'!$K$7:$K$38,"Re-susp.",'abrasion emissions'!$L$7:$L$38,"b")*POWER(('vehicles specifications'!$Q165/1000),(1/SUMIFS('abrasion emissions'!$M$7:$M$38,'abrasion emissions'!$I$7:$I$38,"PM 2.5",'abrasion emissions'!$K$7:$K$38,"Re-susp.",'abrasion emissions'!$L$7:$L$38,"c"))))+
(SUMIFS('abrasion emissions'!$M$7:$M$38,'abrasion emissions'!$I$7:$I$38,"PM 10",'abrasion emissions'!$K$7:$K$38,"Re-susp.",'abrasion emissions'!$L$7:$L$38,"b")*POWER(('vehicles specifications'!$Q165/1000),(1/SUMIFS('abrasion emissions'!$M$7:$M$38,'abrasion emissions'!$I$7:$I$38,"PM 10",'abrasion emissions'!$K$7:$K$38,"Re-susp.",'abrasion emissions'!$L$7:$L$38,"c")))))/1000000</f>
        <v>6.2219049305820594E-6</v>
      </c>
      <c r="CU165" s="7">
        <f>((SUMIFS('abrasion emissions'!$M$7:$M$38,'abrasion emissions'!$I$7:$I$38,"PM 2.5",'abrasion emissions'!$K$7:$K$38,"Road",'abrasion emissions'!$L$7:$L$38,"b")*POWER(('vehicles specifications'!$Q165/1000),(1/SUMIFS('abrasion emissions'!$M$7:$M$38,'abrasion emissions'!$I$7:$I$38,"PM 2.5",'abrasion emissions'!$K$7:$K$38,"Road",'abrasion emissions'!$L$7:$L$38,"c"))))+
(SUMIFS('abrasion emissions'!$M$7:$M$38,'abrasion emissions'!$I$7:$I$38,"PM 10",'abrasion emissions'!$K$7:$K$38,"Road",'abrasion emissions'!$L$7:$L$38,"b")*POWER(('vehicles specifications'!$Q165/1000),(1/SUMIFS('abrasion emissions'!$M$7:$M$38,'abrasion emissions'!$I$7:$I$38,"PM 10",'abrasion emissions'!$K$7:$K$38,"Road",'abrasion emissions'!$L$7:$L$38,"c")))))/1000000+CT165</f>
        <v>1.1232913612431524E-5</v>
      </c>
      <c r="CV165" s="7">
        <f t="shared" si="131"/>
        <v>6.7448750462924897E-6</v>
      </c>
      <c r="CW165" s="7">
        <f t="shared" si="132"/>
        <v>3.908028387730268E-6</v>
      </c>
    </row>
    <row r="166" spans="1:101" x14ac:dyDescent="0.2">
      <c r="A166" t="str">
        <f t="shared" si="114"/>
        <v>Motorbike, electric, &gt;35kW - 2050 - NCA - CH</v>
      </c>
      <c r="B166" t="s">
        <v>270</v>
      </c>
      <c r="D166" s="18">
        <v>2050</v>
      </c>
      <c r="E166" t="s">
        <v>37</v>
      </c>
      <c r="F166" t="s">
        <v>138</v>
      </c>
      <c r="G166" t="s">
        <v>39</v>
      </c>
      <c r="H166" t="s">
        <v>32</v>
      </c>
      <c r="I166" t="s">
        <v>45</v>
      </c>
      <c r="J166">
        <v>40500</v>
      </c>
      <c r="K166">
        <v>2896</v>
      </c>
      <c r="L166" s="2">
        <f t="shared" si="108"/>
        <v>13.984806629834255</v>
      </c>
      <c r="M166">
        <v>1.1000000000000001</v>
      </c>
      <c r="N166">
        <v>75</v>
      </c>
      <c r="O166">
        <v>6</v>
      </c>
      <c r="P166" s="2">
        <f t="shared" si="64"/>
        <v>255.57</v>
      </c>
      <c r="Q166" s="2">
        <f t="shared" si="109"/>
        <v>344.07</v>
      </c>
      <c r="R166">
        <v>49</v>
      </c>
      <c r="S166" s="2">
        <v>111</v>
      </c>
      <c r="T166" s="1">
        <v>7.0000000000000007E-2</v>
      </c>
      <c r="U166" s="2">
        <f t="shared" si="139"/>
        <v>103.22999999999999</v>
      </c>
      <c r="V166" s="2">
        <v>13.74</v>
      </c>
      <c r="W166" s="2">
        <v>22.900000000000002</v>
      </c>
      <c r="X166" s="3">
        <v>44.5</v>
      </c>
      <c r="Y166" s="1">
        <v>0.8</v>
      </c>
      <c r="Z166" s="3">
        <f t="shared" si="110"/>
        <v>35.6</v>
      </c>
      <c r="AA166" s="3">
        <f>IF(I166&lt;&gt;"",X166/INDEX('energy battery'!$B$3:$D$6,MATCH('vehicles specifications'!$D166,'energy battery'!$A$3:$A$6,0),MATCH('vehicles specifications'!$I166,'energy battery'!$B$2:$D$2,0)),"")</f>
        <v>89</v>
      </c>
      <c r="AB166" s="3">
        <f t="shared" si="115"/>
        <v>26.7</v>
      </c>
      <c r="AC166" s="3">
        <f t="shared" si="116"/>
        <v>115.7</v>
      </c>
      <c r="AD166" s="3">
        <v>0</v>
      </c>
      <c r="AE166" s="3">
        <v>0</v>
      </c>
      <c r="AF166">
        <f>AE166*'fuels and tailpipe emissions'!$B$3</f>
        <v>0</v>
      </c>
      <c r="AG166">
        <v>0</v>
      </c>
      <c r="AH166" s="3">
        <v>0</v>
      </c>
      <c r="AI166" s="3">
        <v>5</v>
      </c>
      <c r="AJ166" s="3">
        <v>1</v>
      </c>
      <c r="AK166">
        <f t="shared" si="129"/>
        <v>1.62</v>
      </c>
      <c r="AL166">
        <f t="shared" si="65"/>
        <v>1.8476559000000001E-4</v>
      </c>
      <c r="AM166">
        <v>1.2899999999999999E-3</v>
      </c>
      <c r="AN166" s="2">
        <f t="shared" si="111"/>
        <v>103.22999999999999</v>
      </c>
      <c r="AO166" s="2">
        <f t="shared" si="112"/>
        <v>36.64</v>
      </c>
      <c r="AP166" s="2">
        <f t="shared" si="113"/>
        <v>115.7</v>
      </c>
      <c r="AQ166" s="6" t="s">
        <v>85</v>
      </c>
      <c r="AR166" s="20"/>
      <c r="AS166" s="6">
        <v>0.27473182101357863</v>
      </c>
      <c r="AT166" s="2">
        <f t="shared" si="130"/>
        <v>466.49128421736663</v>
      </c>
      <c r="AU166" s="5">
        <v>0</v>
      </c>
      <c r="AV166" s="5">
        <v>0</v>
      </c>
      <c r="AW166" s="7">
        <v>0</v>
      </c>
      <c r="AX166" s="7">
        <v>0</v>
      </c>
      <c r="AY166" s="7">
        <v>0</v>
      </c>
      <c r="AZ166" s="7">
        <v>0</v>
      </c>
      <c r="BA166" s="7">
        <v>0</v>
      </c>
      <c r="BB166" s="7">
        <v>0</v>
      </c>
      <c r="BC166" s="7">
        <v>0</v>
      </c>
      <c r="BD166" s="7">
        <v>0</v>
      </c>
      <c r="BE166" s="7">
        <v>0</v>
      </c>
      <c r="BF166" s="7">
        <v>0</v>
      </c>
      <c r="BG166" s="7">
        <v>0</v>
      </c>
      <c r="BH166" s="7">
        <v>0</v>
      </c>
      <c r="BI166" s="7">
        <v>0</v>
      </c>
      <c r="BJ166" s="7">
        <v>0</v>
      </c>
      <c r="BK166" s="7">
        <v>0</v>
      </c>
      <c r="BL166" s="7">
        <v>0</v>
      </c>
      <c r="BM166" s="7">
        <v>0</v>
      </c>
      <c r="BN166" s="7">
        <v>0</v>
      </c>
      <c r="BO166" s="7">
        <v>0</v>
      </c>
      <c r="BP166" s="7">
        <v>0</v>
      </c>
      <c r="BQ166" s="7">
        <v>0</v>
      </c>
      <c r="BR166" s="7">
        <v>0</v>
      </c>
      <c r="BS166" s="7">
        <v>0</v>
      </c>
      <c r="BT166" s="7">
        <v>0</v>
      </c>
      <c r="BU166" s="7">
        <v>0</v>
      </c>
      <c r="BV166" s="7">
        <v>0</v>
      </c>
      <c r="BW166" s="7">
        <v>0</v>
      </c>
      <c r="BX166" s="7">
        <v>0</v>
      </c>
      <c r="BY166" s="7">
        <v>0</v>
      </c>
      <c r="BZ166" s="7">
        <v>0</v>
      </c>
      <c r="CA166" s="7">
        <v>0</v>
      </c>
      <c r="CB166" s="7">
        <v>0</v>
      </c>
      <c r="CC166" s="7">
        <v>0</v>
      </c>
      <c r="CD166" s="7">
        <v>0</v>
      </c>
      <c r="CE166" s="7">
        <v>0</v>
      </c>
      <c r="CF166" s="7">
        <v>0</v>
      </c>
      <c r="CG166" s="7">
        <v>0</v>
      </c>
      <c r="CH166" s="7">
        <v>0</v>
      </c>
      <c r="CI166" s="7">
        <v>0</v>
      </c>
      <c r="CJ166" s="7">
        <v>0</v>
      </c>
      <c r="CK166" s="38">
        <f>VLOOKUP($B166,'abrasion emissions'!$O$7:$R$36,2,FALSE)</f>
        <v>0.33</v>
      </c>
      <c r="CL166" s="38">
        <f>VLOOKUP($B166,'abrasion emissions'!$O$7:$R$36,3,FALSE)</f>
        <v>0.33</v>
      </c>
      <c r="CM166" s="38">
        <f>VLOOKUP($B166,'abrasion emissions'!$O$7:$R$36,4,FALSE)</f>
        <v>0.33</v>
      </c>
      <c r="CN166" s="7">
        <f>((SUMIFS('abrasion emissions'!$M$7:$M$34,'abrasion emissions'!$I$7:$I$34,"PM 2.5",'abrasion emissions'!$J$7:$J$34,"urban",'abrasion emissions'!$K$7:$K$34,"Tyre",'abrasion emissions'!$L$7:$L$34,"b")*POWER(('vehicles specifications'!$Q166/1000),(1/SUMIFS('abrasion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specifications'!$P166/1000),(1/SUMIFS('abrasion emissions'!$M$7:$M$34,'abrasion emissions'!$I$7:$I$34,"PM 10",'abrasion emissions'!$J$7:$J$34,"urban",'abrasion emissions'!$K$7:$K$34,"Tyre",'abrasion emissions'!$L$7:$L$34,"c")))))/1000000</f>
        <v>8.361478138525177E-6</v>
      </c>
      <c r="CO166" s="7">
        <f>((SUMIFS('abrasion emissions'!$M$7:$M$34,'abrasion emissions'!$I$7:$I$34,"PM 2.5",'abrasion emissions'!$J$7:$J$34,"rural",'abrasion emissions'!$K$7:$K$34,"Tyre",'abrasion emissions'!$L$7:$L$34,"b")*POWER(('vehicles specifications'!$Q166/1000),(1/SUMIFS('abrasion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specifications'!$P166/1000),(1/SUMIFS('abrasion emissions'!$M$7:$M$34,'abrasion emissions'!$I$7:$I$34,"PM 10",'abrasion emissions'!$J$7:$J$34,"rural",'abrasion emissions'!$K$7:$K$34,"Tyre",'abrasion emissions'!$L$7:$L$34,"c")))))/1000000</f>
        <v>6.511206385955267E-6</v>
      </c>
      <c r="CP166" s="7">
        <f>((SUMIFS('abrasion emissions'!$M$7:$M$34,'abrasion emissions'!$I$7:$I$34,"PM 2.5",'abrasion emissions'!$J$7:$J$34,"motorway",'abrasion emissions'!$K$7:$K$34,"Tyre",'abrasion emissions'!$L$7:$L$34,"b")*POWER(('vehicles specifications'!$Q166/1000),(1/SUMIFS('abrasion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specifications'!$P166/1000),(1/SUMIFS('abrasion emissions'!$M$7:$M$34,'abrasion emissions'!$I$7:$I$34,"PM 10",'abrasion emissions'!$J$7:$J$34,"motorway",'abrasion emissions'!$K$7:$K$34,"Tyre",'abrasion emissions'!$L$7:$L$34,"c")))))/1000000</f>
        <v>5.5584414820048682E-6</v>
      </c>
      <c r="CQ166" s="7">
        <f>((SUMIFS('abrasion emissions'!$M$7:$M$34,'abrasion emissions'!$I$7:$I$34,"PM 2.5",'abrasion emissions'!$J$7:$J$34,"urban",'abrasion emissions'!$K$7:$K$34,"Brake",'abrasion emissions'!$L$7:$L$34,"b")*POWER(('vehicles specifications'!$Q166/1000),(1/SUMIFS('abrasion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specifications'!$P166/1000),(1/SUMIFS('abrasion emissions'!$M$7:$M$34,'abrasion emissions'!$I$7:$I$34,"PM 10",'abrasion emissions'!$J$7:$J$34,"urban",'abrasion emissions'!$K$7:$K$34,"Brake",'abrasion emissions'!$L$7:$L$34,"c")))))/1000000</f>
        <v>8.322071937671175E-6</v>
      </c>
      <c r="CR166" s="7">
        <f>((SUMIFS('abrasion emissions'!$M$7:$M$34,'abrasion emissions'!$I$7:$I$34,"PM 2.5",'abrasion emissions'!$J$7:$J$34,"rural",'abrasion emissions'!$K$7:$K$34,"Brake",'abrasion emissions'!$L$7:$L$34,"b")*POWER(('vehicles specifications'!$Q166/1000),(1/SUMIFS('abrasion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specifications'!$P166/1000),(1/SUMIFS('abrasion emissions'!$M$7:$M$34,'abrasion emissions'!$I$7:$I$34,"PM 10",'abrasion emissions'!$J$7:$J$34,"rural",'abrasion emissions'!$K$7:$K$34,"Brake",'abrasion emissions'!$L$7:$L$34,"c")))))/1000000</f>
        <v>2.9344849813632658E-6</v>
      </c>
      <c r="CS166" s="7">
        <f>((SUMIFS('abrasion emissions'!$M$7:$M$34,'abrasion emissions'!$I$7:$I$34,"PM 2.5",'abrasion emissions'!$J$7:$J$34,"motorway",'abrasion emissions'!$K$7:$K$34,"Brake",'abrasion emissions'!$L$7:$L$34,"b")*POWER(('vehicles specifications'!$Q166/1000),(1/SUMIFS('abrasion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specifications'!$P166/1000),(1/SUMIFS('abrasion emissions'!$M$7:$M$34,'abrasion emissions'!$I$7:$I$34,"PM 10",'abrasion emissions'!$J$7:$J$34,"motorway",'abrasion emissions'!$K$7:$K$34,"Brake",'abrasion emissions'!$L$7:$L$34,"c")))))/1000000</f>
        <v>5.8017832338893731E-7</v>
      </c>
      <c r="CT166" s="7">
        <f>((SUMIFS('abrasion emissions'!$M$7:$M$38,'abrasion emissions'!$I$7:$I$38,"PM 2.5",'abrasion emissions'!$K$7:$K$38,"Re-susp.",'abrasion emissions'!$L$7:$L$38,"b")*POWER(('vehicles specifications'!$Q166/1000),(1/SUMIFS('abrasion emissions'!$M$7:$M$38,'abrasion emissions'!$I$7:$I$38,"PM 2.5",'abrasion emissions'!$K$7:$K$38,"Re-susp.",'abrasion emissions'!$L$7:$L$38,"c"))))+
(SUMIFS('abrasion emissions'!$M$7:$M$38,'abrasion emissions'!$I$7:$I$38,"PM 10",'abrasion emissions'!$K$7:$K$38,"Re-susp.",'abrasion emissions'!$L$7:$L$38,"b")*POWER(('vehicles specifications'!$Q166/1000),(1/SUMIFS('abrasion emissions'!$M$7:$M$38,'abrasion emissions'!$I$7:$I$38,"PM 10",'abrasion emissions'!$K$7:$K$38,"Re-susp.",'abrasion emissions'!$L$7:$L$38,"c")))))/1000000</f>
        <v>6.2174696361250049E-6</v>
      </c>
      <c r="CU166" s="7">
        <f>((SUMIFS('abrasion emissions'!$M$7:$M$38,'abrasion emissions'!$I$7:$I$38,"PM 2.5",'abrasion emissions'!$K$7:$K$38,"Road",'abrasion emissions'!$L$7:$L$38,"b")*POWER(('vehicles specifications'!$Q166/1000),(1/SUMIFS('abrasion emissions'!$M$7:$M$38,'abrasion emissions'!$I$7:$I$38,"PM 2.5",'abrasion emissions'!$K$7:$K$38,"Road",'abrasion emissions'!$L$7:$L$38,"c"))))+
(SUMIFS('abrasion emissions'!$M$7:$M$38,'abrasion emissions'!$I$7:$I$38,"PM 10",'abrasion emissions'!$K$7:$K$38,"Road",'abrasion emissions'!$L$7:$L$38,"b")*POWER(('vehicles specifications'!$Q166/1000),(1/SUMIFS('abrasion emissions'!$M$7:$M$38,'abrasion emissions'!$I$7:$I$38,"PM 10",'abrasion emissions'!$K$7:$K$38,"Road",'abrasion emissions'!$L$7:$L$38,"c")))))/1000000+CT166</f>
        <v>1.1225858525097952E-5</v>
      </c>
      <c r="CV166" s="7">
        <f t="shared" si="131"/>
        <v>6.7422715821401537E-6</v>
      </c>
      <c r="CW166" s="7">
        <f t="shared" si="132"/>
        <v>3.9061226299997144E-6</v>
      </c>
    </row>
    <row r="167" spans="1:101" x14ac:dyDescent="0.2">
      <c r="T167" s="1"/>
    </row>
  </sheetData>
  <autoFilter ref="A2:CW166" xr:uid="{00000000-0009-0000-0000-000001000000}"/>
  <pageMargins left="0.7" right="0.7" top="0.75" bottom="0.75" header="0.3" footer="0.3"/>
  <pageSetup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83"/>
  <sheetViews>
    <sheetView topLeftCell="A44" zoomScale="85" zoomScaleNormal="85" workbookViewId="0">
      <selection activeCell="G73" sqref="G73"/>
    </sheetView>
  </sheetViews>
  <sheetFormatPr baseColWidth="10" defaultColWidth="8.832031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964</v>
      </c>
    </row>
    <row r="2" spans="1:2" x14ac:dyDescent="0.2">
      <c r="A2" t="s">
        <v>72</v>
      </c>
      <c r="B2" t="s">
        <v>37</v>
      </c>
    </row>
    <row r="3" spans="1:2" x14ac:dyDescent="0.2">
      <c r="A3" t="s">
        <v>86</v>
      </c>
      <c r="B3" t="s">
        <v>344</v>
      </c>
    </row>
    <row r="4" spans="1:2" x14ac:dyDescent="0.2">
      <c r="A4" t="s">
        <v>87</v>
      </c>
    </row>
    <row r="5" spans="1:2" x14ac:dyDescent="0.2">
      <c r="A5" t="s">
        <v>88</v>
      </c>
      <c r="B5">
        <v>2020</v>
      </c>
    </row>
    <row r="6" spans="1:2" x14ac:dyDescent="0.2">
      <c r="A6" t="s">
        <v>124</v>
      </c>
      <c r="B6" t="s">
        <v>476</v>
      </c>
    </row>
    <row r="7" spans="1:2" x14ac:dyDescent="0.2">
      <c r="A7" t="s">
        <v>73</v>
      </c>
      <c r="B7" t="s">
        <v>344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131.44999999999999</v>
      </c>
    </row>
    <row r="17" spans="1:8" x14ac:dyDescent="0.2">
      <c r="A17" t="s">
        <v>131</v>
      </c>
      <c r="B17">
        <v>6.1</v>
      </c>
    </row>
    <row r="18" spans="1:8" x14ac:dyDescent="0.2">
      <c r="A18" t="s">
        <v>427</v>
      </c>
      <c r="B18" s="19" t="s">
        <v>43</v>
      </c>
    </row>
    <row r="19" spans="1:8" x14ac:dyDescent="0.2">
      <c r="A19" t="s">
        <v>132</v>
      </c>
      <c r="B19">
        <v>21.449999999999996</v>
      </c>
    </row>
    <row r="20" spans="1:8" x14ac:dyDescent="0.2">
      <c r="A20" t="s">
        <v>133</v>
      </c>
      <c r="B20">
        <v>3.3</v>
      </c>
    </row>
    <row r="21" spans="1:8" x14ac:dyDescent="0.2">
      <c r="A21" t="s">
        <v>363</v>
      </c>
      <c r="B21">
        <v>2.64</v>
      </c>
    </row>
    <row r="22" spans="1:8" x14ac:dyDescent="0.2">
      <c r="A22" t="s">
        <v>136</v>
      </c>
      <c r="B22" s="2">
        <v>0</v>
      </c>
    </row>
    <row r="23" spans="1:8" x14ac:dyDescent="0.2">
      <c r="A23" t="s">
        <v>137</v>
      </c>
      <c r="B23">
        <v>0</v>
      </c>
    </row>
    <row r="24" spans="1:8" x14ac:dyDescent="0.2">
      <c r="A24" t="s">
        <v>134</v>
      </c>
      <c r="B24" s="2">
        <v>50.175550663414057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826</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964</v>
      </c>
      <c r="B33">
        <v>1</v>
      </c>
      <c r="C33" t="s">
        <v>37</v>
      </c>
      <c r="D33" t="s">
        <v>76</v>
      </c>
      <c r="F33" t="s">
        <v>84</v>
      </c>
      <c r="G33" t="s">
        <v>85</v>
      </c>
      <c r="H33" t="s">
        <v>344</v>
      </c>
    </row>
    <row r="34" spans="1:8" x14ac:dyDescent="0.2">
      <c r="A34" t="s">
        <v>189</v>
      </c>
      <c r="B34" s="3">
        <v>84</v>
      </c>
      <c r="C34" t="s">
        <v>95</v>
      </c>
      <c r="D34" t="s">
        <v>77</v>
      </c>
      <c r="F34" t="s">
        <v>89</v>
      </c>
      <c r="G34" t="s">
        <v>15</v>
      </c>
      <c r="H34" t="s">
        <v>121</v>
      </c>
    </row>
    <row r="35" spans="1:8" x14ac:dyDescent="0.2">
      <c r="A35" t="s">
        <v>189</v>
      </c>
      <c r="B35" s="3">
        <v>10</v>
      </c>
      <c r="C35" t="s">
        <v>95</v>
      </c>
      <c r="D35" t="s">
        <v>77</v>
      </c>
      <c r="F35" t="s">
        <v>89</v>
      </c>
      <c r="G35" t="s">
        <v>16</v>
      </c>
      <c r="H35" t="s">
        <v>121</v>
      </c>
    </row>
    <row r="36" spans="1:8" x14ac:dyDescent="0.2">
      <c r="A36" t="s">
        <v>188</v>
      </c>
      <c r="B36" s="3">
        <v>16</v>
      </c>
      <c r="C36" t="s">
        <v>95</v>
      </c>
      <c r="D36" t="s">
        <v>77</v>
      </c>
      <c r="F36" t="s">
        <v>89</v>
      </c>
      <c r="G36" t="s">
        <v>276</v>
      </c>
      <c r="H36" t="s">
        <v>149</v>
      </c>
    </row>
    <row r="37" spans="1:8" x14ac:dyDescent="0.2">
      <c r="A37" t="s">
        <v>984</v>
      </c>
      <c r="B37" s="3">
        <v>3.3</v>
      </c>
      <c r="C37" t="s">
        <v>95</v>
      </c>
      <c r="D37" t="s">
        <v>96</v>
      </c>
      <c r="F37" t="s">
        <v>89</v>
      </c>
      <c r="H37" t="s">
        <v>985</v>
      </c>
    </row>
    <row r="38" spans="1:8" x14ac:dyDescent="0.2">
      <c r="A38" t="s">
        <v>187</v>
      </c>
      <c r="B38" s="3">
        <v>1</v>
      </c>
      <c r="C38" t="s">
        <v>95</v>
      </c>
      <c r="D38" t="s">
        <v>76</v>
      </c>
      <c r="F38" t="s">
        <v>89</v>
      </c>
      <c r="G38" t="s">
        <v>52</v>
      </c>
      <c r="H38" t="s">
        <v>187</v>
      </c>
    </row>
    <row r="39" spans="1:8" x14ac:dyDescent="0.2">
      <c r="A39" t="s">
        <v>151</v>
      </c>
      <c r="B39" s="3">
        <v>84</v>
      </c>
      <c r="C39" t="s">
        <v>95</v>
      </c>
      <c r="D39" t="s">
        <v>76</v>
      </c>
      <c r="F39" t="s">
        <v>89</v>
      </c>
      <c r="G39" t="s">
        <v>142</v>
      </c>
      <c r="H39" t="s">
        <v>150</v>
      </c>
    </row>
    <row r="40" spans="1:8" x14ac:dyDescent="0.2">
      <c r="A40" t="s">
        <v>151</v>
      </c>
      <c r="B40" s="3">
        <v>26</v>
      </c>
      <c r="C40" t="s">
        <v>95</v>
      </c>
      <c r="D40" t="s">
        <v>76</v>
      </c>
      <c r="F40" t="s">
        <v>89</v>
      </c>
      <c r="G40" t="s">
        <v>143</v>
      </c>
      <c r="H40" t="s">
        <v>150</v>
      </c>
    </row>
    <row r="41" spans="1:8" x14ac:dyDescent="0.2">
      <c r="A41" s="13" t="s">
        <v>549</v>
      </c>
      <c r="B41">
        <v>131.44999999999999</v>
      </c>
      <c r="C41" t="s">
        <v>92</v>
      </c>
      <c r="D41" t="s">
        <v>193</v>
      </c>
      <c r="F41" t="s">
        <v>89</v>
      </c>
      <c r="H41" s="13" t="s">
        <v>550</v>
      </c>
    </row>
    <row r="42" spans="1:8" x14ac:dyDescent="0.2">
      <c r="A42" s="13" t="s">
        <v>216</v>
      </c>
      <c r="B42" s="2">
        <v>2090.0549999999998</v>
      </c>
      <c r="C42" t="s">
        <v>95</v>
      </c>
      <c r="D42" t="s">
        <v>193</v>
      </c>
      <c r="F42" t="s">
        <v>89</v>
      </c>
      <c r="H42" s="13" t="s">
        <v>216</v>
      </c>
    </row>
    <row r="43" spans="1:8" x14ac:dyDescent="0.2">
      <c r="B43" s="11"/>
    </row>
    <row r="44" spans="1:8" x14ac:dyDescent="0.2">
      <c r="B44" s="2"/>
    </row>
    <row r="45" spans="1:8" ht="16" x14ac:dyDescent="0.2">
      <c r="A45" s="10" t="s">
        <v>71</v>
      </c>
      <c r="B45" s="8" t="s">
        <v>965</v>
      </c>
    </row>
    <row r="46" spans="1:8" x14ac:dyDescent="0.2">
      <c r="A46" t="s">
        <v>72</v>
      </c>
      <c r="B46" t="s">
        <v>37</v>
      </c>
    </row>
    <row r="47" spans="1:8" x14ac:dyDescent="0.2">
      <c r="A47" t="s">
        <v>86</v>
      </c>
      <c r="B47" t="s">
        <v>344</v>
      </c>
    </row>
    <row r="48" spans="1:8" x14ac:dyDescent="0.2">
      <c r="A48" t="s">
        <v>87</v>
      </c>
    </row>
    <row r="49" spans="1:2" x14ac:dyDescent="0.2">
      <c r="A49" t="s">
        <v>88</v>
      </c>
      <c r="B49">
        <v>2020</v>
      </c>
    </row>
    <row r="50" spans="1:2" x14ac:dyDescent="0.2">
      <c r="A50" t="s">
        <v>124</v>
      </c>
      <c r="B50" t="s">
        <v>476</v>
      </c>
    </row>
    <row r="51" spans="1:2" x14ac:dyDescent="0.2">
      <c r="A51" t="s">
        <v>73</v>
      </c>
      <c r="B51" t="s">
        <v>825</v>
      </c>
    </row>
    <row r="52" spans="1:2" x14ac:dyDescent="0.2">
      <c r="A52" t="s">
        <v>74</v>
      </c>
      <c r="B52" t="s">
        <v>75</v>
      </c>
    </row>
    <row r="53" spans="1:2" x14ac:dyDescent="0.2">
      <c r="A53" t="s">
        <v>76</v>
      </c>
      <c r="B53" t="s">
        <v>164</v>
      </c>
    </row>
    <row r="54" spans="1:2" x14ac:dyDescent="0.2">
      <c r="A54" t="s">
        <v>78</v>
      </c>
      <c r="B54" t="s">
        <v>774</v>
      </c>
    </row>
    <row r="55" spans="1:2" x14ac:dyDescent="0.2">
      <c r="A55" t="s">
        <v>125</v>
      </c>
      <c r="B55">
        <v>25000</v>
      </c>
    </row>
    <row r="56" spans="1:2" x14ac:dyDescent="0.2">
      <c r="A56" t="s">
        <v>126</v>
      </c>
      <c r="B56">
        <v>1</v>
      </c>
    </row>
    <row r="57" spans="1:2" x14ac:dyDescent="0.2">
      <c r="A57" t="s">
        <v>127</v>
      </c>
      <c r="B57">
        <v>1</v>
      </c>
    </row>
    <row r="58" spans="1:2" x14ac:dyDescent="0.2">
      <c r="A58" t="s">
        <v>128</v>
      </c>
      <c r="B58">
        <v>1</v>
      </c>
    </row>
    <row r="59" spans="1:2" x14ac:dyDescent="0.2">
      <c r="A59" t="s">
        <v>129</v>
      </c>
      <c r="B59">
        <v>1570</v>
      </c>
    </row>
    <row r="60" spans="1:2" x14ac:dyDescent="0.2">
      <c r="A60" t="s">
        <v>130</v>
      </c>
      <c r="B60" s="2">
        <v>131.44999999999999</v>
      </c>
    </row>
    <row r="61" spans="1:2" x14ac:dyDescent="0.2">
      <c r="A61" t="s">
        <v>131</v>
      </c>
      <c r="B61">
        <v>6.1</v>
      </c>
    </row>
    <row r="62" spans="1:2" x14ac:dyDescent="0.2">
      <c r="A62" t="s">
        <v>427</v>
      </c>
      <c r="B62" s="19" t="s">
        <v>43</v>
      </c>
    </row>
    <row r="63" spans="1:2" x14ac:dyDescent="0.2">
      <c r="A63" t="s">
        <v>132</v>
      </c>
      <c r="B63">
        <v>21.449999999999996</v>
      </c>
    </row>
    <row r="64" spans="1:2" x14ac:dyDescent="0.2">
      <c r="A64" t="s">
        <v>133</v>
      </c>
      <c r="B64">
        <v>3.3</v>
      </c>
    </row>
    <row r="65" spans="1:8" x14ac:dyDescent="0.2">
      <c r="A65" t="s">
        <v>363</v>
      </c>
      <c r="B65">
        <v>2.64</v>
      </c>
    </row>
    <row r="66" spans="1:8" x14ac:dyDescent="0.2">
      <c r="A66" t="s">
        <v>136</v>
      </c>
      <c r="B66" s="2">
        <v>0</v>
      </c>
    </row>
    <row r="67" spans="1:8" x14ac:dyDescent="0.2">
      <c r="A67" t="s">
        <v>137</v>
      </c>
      <c r="B67">
        <v>0</v>
      </c>
    </row>
    <row r="68" spans="1:8" x14ac:dyDescent="0.2">
      <c r="A68" t="s">
        <v>134</v>
      </c>
      <c r="B68" s="2">
        <v>50.175550663414057</v>
      </c>
    </row>
    <row r="69" spans="1:8" x14ac:dyDescent="0.2">
      <c r="A69" t="s">
        <v>135</v>
      </c>
      <c r="B69" t="s">
        <v>138</v>
      </c>
    </row>
    <row r="70" spans="1:8" x14ac:dyDescent="0.2">
      <c r="A70" t="s">
        <v>796</v>
      </c>
      <c r="B70" s="6">
        <v>0</v>
      </c>
    </row>
    <row r="71" spans="1:8" x14ac:dyDescent="0.2">
      <c r="A71" t="s">
        <v>83</v>
      </c>
      <c r="B71" t="s">
        <v>827</v>
      </c>
    </row>
    <row r="72" spans="1:8" ht="16" x14ac:dyDescent="0.2">
      <c r="A72" s="10" t="s">
        <v>79</v>
      </c>
    </row>
    <row r="73" spans="1:8" x14ac:dyDescent="0.2">
      <c r="A73" t="s">
        <v>80</v>
      </c>
      <c r="B73" t="s">
        <v>81</v>
      </c>
      <c r="C73" t="s">
        <v>72</v>
      </c>
      <c r="D73" t="s">
        <v>76</v>
      </c>
      <c r="E73" t="s">
        <v>82</v>
      </c>
      <c r="F73" t="s">
        <v>74</v>
      </c>
      <c r="G73" t="s">
        <v>83</v>
      </c>
      <c r="H73" t="s">
        <v>73</v>
      </c>
    </row>
    <row r="74" spans="1:8" x14ac:dyDescent="0.2">
      <c r="A74" t="s">
        <v>965</v>
      </c>
      <c r="B74">
        <v>1</v>
      </c>
      <c r="C74" t="s">
        <v>37</v>
      </c>
      <c r="D74" t="s">
        <v>164</v>
      </c>
      <c r="F74" t="s">
        <v>84</v>
      </c>
      <c r="G74" t="s">
        <v>85</v>
      </c>
      <c r="H74" t="s">
        <v>825</v>
      </c>
    </row>
    <row r="75" spans="1:8" x14ac:dyDescent="0.2">
      <c r="A75" t="s">
        <v>964</v>
      </c>
      <c r="B75" s="7">
        <v>4.0000000000000003E-5</v>
      </c>
      <c r="C75" t="s">
        <v>37</v>
      </c>
      <c r="D75" t="s">
        <v>76</v>
      </c>
      <c r="F75" t="s">
        <v>89</v>
      </c>
      <c r="H75" t="s">
        <v>344</v>
      </c>
    </row>
    <row r="76" spans="1:8" x14ac:dyDescent="0.2">
      <c r="A76" t="s">
        <v>107</v>
      </c>
      <c r="B76" s="7">
        <v>1.1301165E-4</v>
      </c>
      <c r="C76" t="s">
        <v>37</v>
      </c>
      <c r="D76" t="s">
        <v>105</v>
      </c>
      <c r="F76" t="s">
        <v>89</v>
      </c>
      <c r="G76" t="s">
        <v>103</v>
      </c>
      <c r="H76" t="s">
        <v>108</v>
      </c>
    </row>
    <row r="77" spans="1:8" x14ac:dyDescent="0.2">
      <c r="A77" t="s">
        <v>111</v>
      </c>
      <c r="B77" s="7">
        <v>1.2899999999999999E-3</v>
      </c>
      <c r="C77" t="s">
        <v>37</v>
      </c>
      <c r="D77" t="s">
        <v>105</v>
      </c>
      <c r="F77" t="s">
        <v>89</v>
      </c>
      <c r="G77" t="s">
        <v>110</v>
      </c>
      <c r="H77" t="s">
        <v>111</v>
      </c>
    </row>
    <row r="78" spans="1:8" x14ac:dyDescent="0.2">
      <c r="A78" t="s">
        <v>98</v>
      </c>
      <c r="B78" s="7">
        <v>5.7876793809010993E-2</v>
      </c>
      <c r="C78" t="s">
        <v>37</v>
      </c>
      <c r="D78" t="s">
        <v>96</v>
      </c>
      <c r="F78" t="s">
        <v>89</v>
      </c>
      <c r="G78" t="s">
        <v>28</v>
      </c>
      <c r="H78" t="s">
        <v>100</v>
      </c>
    </row>
    <row r="79" spans="1:8" x14ac:dyDescent="0.2">
      <c r="A79" t="s">
        <v>190</v>
      </c>
      <c r="B79" s="7">
        <v>4.0000000000000003E-5</v>
      </c>
      <c r="C79" t="s">
        <v>95</v>
      </c>
      <c r="D79" t="s">
        <v>76</v>
      </c>
      <c r="F79" t="s">
        <v>89</v>
      </c>
      <c r="G79" t="s">
        <v>116</v>
      </c>
      <c r="H79" t="s">
        <v>120</v>
      </c>
    </row>
    <row r="80" spans="1:8" x14ac:dyDescent="0.2">
      <c r="A80" t="s">
        <v>157</v>
      </c>
      <c r="B80" s="7">
        <v>-7.5855445843363987E-6</v>
      </c>
      <c r="C80" t="s">
        <v>92</v>
      </c>
      <c r="D80" t="s">
        <v>77</v>
      </c>
      <c r="F80" t="s">
        <v>89</v>
      </c>
      <c r="G80" t="s">
        <v>29</v>
      </c>
      <c r="H80" t="s">
        <v>159</v>
      </c>
    </row>
    <row r="81" spans="1:8" x14ac:dyDescent="0.2">
      <c r="A81" t="s">
        <v>158</v>
      </c>
      <c r="B81" s="7">
        <v>-5.8385207989719453E-6</v>
      </c>
      <c r="C81" t="s">
        <v>92</v>
      </c>
      <c r="D81" t="s">
        <v>77</v>
      </c>
      <c r="F81" t="s">
        <v>89</v>
      </c>
      <c r="G81" t="s">
        <v>30</v>
      </c>
      <c r="H81" t="s">
        <v>160</v>
      </c>
    </row>
    <row r="82" spans="1:8" x14ac:dyDescent="0.2">
      <c r="A82" t="s">
        <v>166</v>
      </c>
      <c r="B82" s="7">
        <v>-4.1722544100886321E-6</v>
      </c>
      <c r="C82" t="s">
        <v>92</v>
      </c>
      <c r="D82" t="s">
        <v>77</v>
      </c>
      <c r="F82" t="s">
        <v>89</v>
      </c>
      <c r="G82" t="s">
        <v>31</v>
      </c>
      <c r="H82" t="s">
        <v>161</v>
      </c>
    </row>
    <row r="83" spans="1:8" x14ac:dyDescent="0.2">
      <c r="B83" s="6"/>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415"/>
  <sheetViews>
    <sheetView topLeftCell="A269" workbookViewId="0">
      <selection activeCell="G294" sqref="G294"/>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354</v>
      </c>
    </row>
    <row r="2" spans="1:2" x14ac:dyDescent="0.2">
      <c r="A2" t="s">
        <v>72</v>
      </c>
      <c r="B2" t="s">
        <v>37</v>
      </c>
    </row>
    <row r="3" spans="1:2" x14ac:dyDescent="0.2">
      <c r="A3" t="s">
        <v>86</v>
      </c>
      <c r="B3" t="s">
        <v>354</v>
      </c>
    </row>
    <row r="4" spans="1:2" x14ac:dyDescent="0.2">
      <c r="A4" t="s">
        <v>87</v>
      </c>
    </row>
    <row r="5" spans="1:2" x14ac:dyDescent="0.2">
      <c r="A5" t="s">
        <v>88</v>
      </c>
      <c r="B5">
        <v>2006</v>
      </c>
    </row>
    <row r="6" spans="1:2" x14ac:dyDescent="0.2">
      <c r="A6" t="s">
        <v>124</v>
      </c>
      <c r="B6" t="s">
        <v>357</v>
      </c>
    </row>
    <row r="7" spans="1:2" x14ac:dyDescent="0.2">
      <c r="A7" t="s">
        <v>73</v>
      </c>
      <c r="B7" t="s">
        <v>354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0</v>
      </c>
    </row>
    <row r="15" spans="1:2" x14ac:dyDescent="0.2">
      <c r="A15" t="s">
        <v>129</v>
      </c>
      <c r="B15">
        <v>1570</v>
      </c>
    </row>
    <row r="16" spans="1:2" x14ac:dyDescent="0.2">
      <c r="A16" t="s">
        <v>130</v>
      </c>
      <c r="B16" s="2">
        <v>65.098124999999996</v>
      </c>
    </row>
    <row r="17" spans="1:8" x14ac:dyDescent="0.2">
      <c r="A17" t="s">
        <v>131</v>
      </c>
      <c r="B17">
        <v>2.5</v>
      </c>
    </row>
    <row r="18" spans="1:8" x14ac:dyDescent="0.2">
      <c r="A18" t="s">
        <v>132</v>
      </c>
      <c r="B18" t="s">
        <v>85</v>
      </c>
    </row>
    <row r="19" spans="1:8" x14ac:dyDescent="0.2">
      <c r="A19" t="s">
        <v>133</v>
      </c>
      <c r="B19">
        <v>0</v>
      </c>
    </row>
    <row r="20" spans="1:8" x14ac:dyDescent="0.2">
      <c r="A20" t="s">
        <v>136</v>
      </c>
      <c r="B20" s="2">
        <v>62.125</v>
      </c>
    </row>
    <row r="21" spans="1:8" x14ac:dyDescent="0.2">
      <c r="A21" t="s">
        <v>137</v>
      </c>
      <c r="B21">
        <v>5.25</v>
      </c>
    </row>
    <row r="22" spans="1:8" x14ac:dyDescent="0.2">
      <c r="A22" t="s">
        <v>134</v>
      </c>
      <c r="B22" s="2">
        <v>266.4078995516374</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816</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354</v>
      </c>
      <c r="B31">
        <v>1</v>
      </c>
      <c r="C31" t="s">
        <v>37</v>
      </c>
      <c r="D31" t="s">
        <v>76</v>
      </c>
      <c r="F31" t="s">
        <v>84</v>
      </c>
      <c r="G31" t="s">
        <v>85</v>
      </c>
      <c r="H31" t="s">
        <v>354</v>
      </c>
    </row>
    <row r="32" spans="1:8" x14ac:dyDescent="0.2">
      <c r="A32" t="s">
        <v>112</v>
      </c>
      <c r="B32" s="11">
        <v>0.46625</v>
      </c>
      <c r="C32" t="s">
        <v>92</v>
      </c>
      <c r="D32" t="s">
        <v>76</v>
      </c>
      <c r="F32" t="s">
        <v>89</v>
      </c>
      <c r="G32" t="s">
        <v>15</v>
      </c>
      <c r="H32" t="s">
        <v>113</v>
      </c>
    </row>
    <row r="33" spans="1:8" x14ac:dyDescent="0.2">
      <c r="A33" t="s">
        <v>112</v>
      </c>
      <c r="B33" s="11">
        <v>0.16666666666666669</v>
      </c>
      <c r="C33" t="s">
        <v>92</v>
      </c>
      <c r="D33" t="s">
        <v>76</v>
      </c>
      <c r="F33" t="s">
        <v>89</v>
      </c>
      <c r="G33" t="s">
        <v>16</v>
      </c>
      <c r="H33" t="s">
        <v>113</v>
      </c>
    </row>
    <row r="34" spans="1:8" x14ac:dyDescent="0.2">
      <c r="A34" t="s">
        <v>114</v>
      </c>
      <c r="B34" s="11">
        <v>0.78749999999999998</v>
      </c>
      <c r="C34" t="s">
        <v>92</v>
      </c>
      <c r="D34" t="s">
        <v>77</v>
      </c>
      <c r="F34" t="s">
        <v>89</v>
      </c>
      <c r="G34" t="s">
        <v>24</v>
      </c>
      <c r="H34" t="s">
        <v>115</v>
      </c>
    </row>
    <row r="35" spans="1:8" x14ac:dyDescent="0.2">
      <c r="A35" s="13" t="s">
        <v>549</v>
      </c>
      <c r="B35">
        <v>65.098124999999996</v>
      </c>
      <c r="C35" t="s">
        <v>92</v>
      </c>
      <c r="D35" t="s">
        <v>193</v>
      </c>
      <c r="F35" t="s">
        <v>89</v>
      </c>
      <c r="H35" s="13" t="s">
        <v>550</v>
      </c>
    </row>
    <row r="36" spans="1:8" x14ac:dyDescent="0.2">
      <c r="A36" s="13" t="s">
        <v>216</v>
      </c>
      <c r="B36" s="2">
        <v>1035.0601875</v>
      </c>
      <c r="C36" t="s">
        <v>95</v>
      </c>
      <c r="D36" t="s">
        <v>193</v>
      </c>
      <c r="F36" t="s">
        <v>89</v>
      </c>
      <c r="H36" s="13" t="s">
        <v>216</v>
      </c>
    </row>
    <row r="37" spans="1:8" x14ac:dyDescent="0.2">
      <c r="B37" s="11"/>
    </row>
    <row r="38" spans="1:8" ht="16" x14ac:dyDescent="0.2">
      <c r="A38" s="10" t="s">
        <v>71</v>
      </c>
      <c r="B38" s="8" t="s">
        <v>355</v>
      </c>
    </row>
    <row r="39" spans="1:8" x14ac:dyDescent="0.2">
      <c r="A39" t="s">
        <v>72</v>
      </c>
      <c r="B39" t="s">
        <v>37</v>
      </c>
    </row>
    <row r="40" spans="1:8" x14ac:dyDescent="0.2">
      <c r="A40" t="s">
        <v>86</v>
      </c>
      <c r="B40" t="s">
        <v>355</v>
      </c>
    </row>
    <row r="41" spans="1:8" x14ac:dyDescent="0.2">
      <c r="A41" t="s">
        <v>87</v>
      </c>
    </row>
    <row r="42" spans="1:8" x14ac:dyDescent="0.2">
      <c r="A42" t="s">
        <v>88</v>
      </c>
      <c r="B42">
        <v>2016</v>
      </c>
    </row>
    <row r="43" spans="1:8" x14ac:dyDescent="0.2">
      <c r="A43" t="s">
        <v>124</v>
      </c>
      <c r="B43" t="s">
        <v>358</v>
      </c>
    </row>
    <row r="44" spans="1:8" x14ac:dyDescent="0.2">
      <c r="A44" t="s">
        <v>73</v>
      </c>
      <c r="B44" t="s">
        <v>355</v>
      </c>
    </row>
    <row r="45" spans="1:8" x14ac:dyDescent="0.2">
      <c r="A45" t="s">
        <v>74</v>
      </c>
      <c r="B45" t="s">
        <v>75</v>
      </c>
    </row>
    <row r="46" spans="1:8" x14ac:dyDescent="0.2">
      <c r="A46" t="s">
        <v>76</v>
      </c>
      <c r="B46" t="s">
        <v>76</v>
      </c>
    </row>
    <row r="47" spans="1:8" x14ac:dyDescent="0.2">
      <c r="A47" t="s">
        <v>78</v>
      </c>
      <c r="B47" t="s">
        <v>774</v>
      </c>
    </row>
    <row r="48" spans="1:8" x14ac:dyDescent="0.2">
      <c r="A48" t="s">
        <v>125</v>
      </c>
      <c r="B48">
        <v>25000</v>
      </c>
    </row>
    <row r="49" spans="1:2" x14ac:dyDescent="0.2">
      <c r="A49" t="s">
        <v>126</v>
      </c>
      <c r="B49">
        <v>1</v>
      </c>
    </row>
    <row r="50" spans="1:2" x14ac:dyDescent="0.2">
      <c r="A50" t="s">
        <v>127</v>
      </c>
      <c r="B50">
        <v>1</v>
      </c>
    </row>
    <row r="51" spans="1:2" x14ac:dyDescent="0.2">
      <c r="A51" t="s">
        <v>128</v>
      </c>
      <c r="B51">
        <v>0</v>
      </c>
    </row>
    <row r="52" spans="1:2" x14ac:dyDescent="0.2">
      <c r="A52" t="s">
        <v>129</v>
      </c>
      <c r="B52">
        <v>1570</v>
      </c>
    </row>
    <row r="53" spans="1:2" x14ac:dyDescent="0.2">
      <c r="A53" t="s">
        <v>130</v>
      </c>
      <c r="B53" s="2">
        <v>63.83925</v>
      </c>
    </row>
    <row r="54" spans="1:2" x14ac:dyDescent="0.2">
      <c r="A54" t="s">
        <v>131</v>
      </c>
      <c r="B54">
        <v>2.5</v>
      </c>
    </row>
    <row r="55" spans="1:2" x14ac:dyDescent="0.2">
      <c r="A55" t="s">
        <v>132</v>
      </c>
      <c r="B55" t="s">
        <v>85</v>
      </c>
    </row>
    <row r="56" spans="1:2" x14ac:dyDescent="0.2">
      <c r="A56" t="s">
        <v>133</v>
      </c>
      <c r="B56">
        <v>0</v>
      </c>
    </row>
    <row r="57" spans="1:2" x14ac:dyDescent="0.2">
      <c r="A57" t="s">
        <v>136</v>
      </c>
      <c r="B57" s="2">
        <v>62.125</v>
      </c>
    </row>
    <row r="58" spans="1:2" x14ac:dyDescent="0.2">
      <c r="A58" t="s">
        <v>137</v>
      </c>
      <c r="B58">
        <v>5.25</v>
      </c>
    </row>
    <row r="59" spans="1:2" x14ac:dyDescent="0.2">
      <c r="A59" t="s">
        <v>134</v>
      </c>
      <c r="B59" s="2">
        <v>269.07197854715383</v>
      </c>
    </row>
    <row r="60" spans="1:2" x14ac:dyDescent="0.2">
      <c r="A60" t="s">
        <v>135</v>
      </c>
      <c r="B60" t="s">
        <v>140</v>
      </c>
    </row>
    <row r="61" spans="1:2" x14ac:dyDescent="0.2">
      <c r="A61" t="s">
        <v>796</v>
      </c>
      <c r="B61" s="6">
        <v>-0.02</v>
      </c>
    </row>
    <row r="62" spans="1:2" x14ac:dyDescent="0.2">
      <c r="A62" t="s">
        <v>260</v>
      </c>
      <c r="B62" s="6" t="s">
        <v>261</v>
      </c>
    </row>
    <row r="63" spans="1:2" x14ac:dyDescent="0.2">
      <c r="A63" t="s">
        <v>262</v>
      </c>
      <c r="B63" s="2">
        <v>15900</v>
      </c>
    </row>
    <row r="64" spans="1:2" x14ac:dyDescent="0.2">
      <c r="A64" t="s">
        <v>263</v>
      </c>
      <c r="B64" s="2">
        <v>1000</v>
      </c>
    </row>
    <row r="65" spans="1:8" x14ac:dyDescent="0.2">
      <c r="A65" t="s">
        <v>83</v>
      </c>
      <c r="B65" t="s">
        <v>817</v>
      </c>
    </row>
    <row r="66" spans="1:8" ht="16" x14ac:dyDescent="0.2">
      <c r="A66" s="10" t="s">
        <v>79</v>
      </c>
    </row>
    <row r="67" spans="1:8" x14ac:dyDescent="0.2">
      <c r="A67" t="s">
        <v>80</v>
      </c>
      <c r="B67" t="s">
        <v>81</v>
      </c>
      <c r="C67" t="s">
        <v>72</v>
      </c>
      <c r="D67" t="s">
        <v>76</v>
      </c>
      <c r="E67" t="s">
        <v>82</v>
      </c>
      <c r="F67" t="s">
        <v>74</v>
      </c>
      <c r="G67" t="s">
        <v>83</v>
      </c>
      <c r="H67" t="s">
        <v>73</v>
      </c>
    </row>
    <row r="68" spans="1:8" x14ac:dyDescent="0.2">
      <c r="A68" t="s">
        <v>355</v>
      </c>
      <c r="B68">
        <v>1</v>
      </c>
      <c r="C68" t="s">
        <v>37</v>
      </c>
      <c r="D68" t="s">
        <v>76</v>
      </c>
      <c r="F68" t="s">
        <v>84</v>
      </c>
      <c r="G68" t="s">
        <v>85</v>
      </c>
      <c r="H68" t="s">
        <v>355</v>
      </c>
    </row>
    <row r="69" spans="1:8" x14ac:dyDescent="0.2">
      <c r="A69" t="s">
        <v>112</v>
      </c>
      <c r="B69" s="11">
        <v>0.46625</v>
      </c>
      <c r="C69" t="s">
        <v>92</v>
      </c>
      <c r="D69" t="s">
        <v>76</v>
      </c>
      <c r="F69" t="s">
        <v>89</v>
      </c>
      <c r="G69" t="s">
        <v>15</v>
      </c>
      <c r="H69" t="s">
        <v>113</v>
      </c>
    </row>
    <row r="70" spans="1:8" x14ac:dyDescent="0.2">
      <c r="A70" t="s">
        <v>112</v>
      </c>
      <c r="B70" s="11">
        <v>0.16666666666666669</v>
      </c>
      <c r="C70" t="s">
        <v>92</v>
      </c>
      <c r="D70" t="s">
        <v>76</v>
      </c>
      <c r="F70" t="s">
        <v>89</v>
      </c>
      <c r="G70" t="s">
        <v>16</v>
      </c>
      <c r="H70" t="s">
        <v>113</v>
      </c>
    </row>
    <row r="71" spans="1:8" x14ac:dyDescent="0.2">
      <c r="A71" t="s">
        <v>114</v>
      </c>
      <c r="B71" s="11">
        <v>0.78749999999999998</v>
      </c>
      <c r="C71" t="s">
        <v>92</v>
      </c>
      <c r="D71" t="s">
        <v>77</v>
      </c>
      <c r="F71" t="s">
        <v>89</v>
      </c>
      <c r="G71" t="s">
        <v>24</v>
      </c>
      <c r="H71" t="s">
        <v>115</v>
      </c>
    </row>
    <row r="72" spans="1:8" x14ac:dyDescent="0.2">
      <c r="A72" s="13" t="s">
        <v>549</v>
      </c>
      <c r="B72">
        <v>63.83925</v>
      </c>
      <c r="C72" t="s">
        <v>92</v>
      </c>
      <c r="D72" t="s">
        <v>193</v>
      </c>
      <c r="F72" t="s">
        <v>89</v>
      </c>
      <c r="H72" s="13" t="s">
        <v>550</v>
      </c>
    </row>
    <row r="73" spans="1:8" x14ac:dyDescent="0.2">
      <c r="A73" s="13" t="s">
        <v>216</v>
      </c>
      <c r="B73" s="2">
        <v>1015.044075</v>
      </c>
      <c r="C73" t="s">
        <v>95</v>
      </c>
      <c r="D73" t="s">
        <v>193</v>
      </c>
      <c r="F73" t="s">
        <v>89</v>
      </c>
      <c r="H73" s="13" t="s">
        <v>216</v>
      </c>
    </row>
    <row r="75" spans="1:8" ht="16" x14ac:dyDescent="0.2">
      <c r="A75" s="10" t="s">
        <v>71</v>
      </c>
      <c r="B75" s="8" t="s">
        <v>356</v>
      </c>
    </row>
    <row r="76" spans="1:8" x14ac:dyDescent="0.2">
      <c r="A76" t="s">
        <v>72</v>
      </c>
      <c r="B76" t="s">
        <v>37</v>
      </c>
    </row>
    <row r="77" spans="1:8" x14ac:dyDescent="0.2">
      <c r="A77" t="s">
        <v>86</v>
      </c>
      <c r="B77" t="s">
        <v>356</v>
      </c>
    </row>
    <row r="78" spans="1:8" x14ac:dyDescent="0.2">
      <c r="A78" t="s">
        <v>87</v>
      </c>
    </row>
    <row r="79" spans="1:8" x14ac:dyDescent="0.2">
      <c r="A79" t="s">
        <v>88</v>
      </c>
      <c r="B79">
        <v>2020</v>
      </c>
    </row>
    <row r="80" spans="1:8" x14ac:dyDescent="0.2">
      <c r="A80" t="s">
        <v>124</v>
      </c>
      <c r="B80" t="s">
        <v>359</v>
      </c>
    </row>
    <row r="81" spans="1:2" x14ac:dyDescent="0.2">
      <c r="A81" t="s">
        <v>73</v>
      </c>
      <c r="B81" t="s">
        <v>356</v>
      </c>
    </row>
    <row r="82" spans="1:2" x14ac:dyDescent="0.2">
      <c r="A82" t="s">
        <v>74</v>
      </c>
      <c r="B82" t="s">
        <v>75</v>
      </c>
    </row>
    <row r="83" spans="1:2" x14ac:dyDescent="0.2">
      <c r="A83" t="s">
        <v>76</v>
      </c>
      <c r="B83" t="s">
        <v>76</v>
      </c>
    </row>
    <row r="84" spans="1:2" x14ac:dyDescent="0.2">
      <c r="A84" t="s">
        <v>78</v>
      </c>
      <c r="B84" t="s">
        <v>774</v>
      </c>
    </row>
    <row r="85" spans="1:2" x14ac:dyDescent="0.2">
      <c r="A85" t="s">
        <v>125</v>
      </c>
      <c r="B85">
        <v>25000</v>
      </c>
    </row>
    <row r="86" spans="1:2" x14ac:dyDescent="0.2">
      <c r="A86" t="s">
        <v>126</v>
      </c>
      <c r="B86">
        <v>1</v>
      </c>
    </row>
    <row r="87" spans="1:2" x14ac:dyDescent="0.2">
      <c r="A87" t="s">
        <v>127</v>
      </c>
      <c r="B87">
        <v>1</v>
      </c>
    </row>
    <row r="88" spans="1:2" x14ac:dyDescent="0.2">
      <c r="A88" t="s">
        <v>128</v>
      </c>
      <c r="B88">
        <v>0</v>
      </c>
    </row>
    <row r="89" spans="1:2" x14ac:dyDescent="0.2">
      <c r="A89" t="s">
        <v>129</v>
      </c>
      <c r="B89">
        <v>1570</v>
      </c>
    </row>
    <row r="90" spans="1:2" x14ac:dyDescent="0.2">
      <c r="A90" t="s">
        <v>130</v>
      </c>
      <c r="B90" s="2">
        <v>63</v>
      </c>
    </row>
    <row r="91" spans="1:2" x14ac:dyDescent="0.2">
      <c r="A91" t="s">
        <v>131</v>
      </c>
      <c r="B91">
        <v>2.5</v>
      </c>
    </row>
    <row r="92" spans="1:2" x14ac:dyDescent="0.2">
      <c r="A92" t="s">
        <v>132</v>
      </c>
      <c r="B92" t="s">
        <v>85</v>
      </c>
    </row>
    <row r="93" spans="1:2" x14ac:dyDescent="0.2">
      <c r="A93" t="s">
        <v>133</v>
      </c>
      <c r="B93">
        <v>0</v>
      </c>
    </row>
    <row r="94" spans="1:2" x14ac:dyDescent="0.2">
      <c r="A94" t="s">
        <v>136</v>
      </c>
      <c r="B94" s="2">
        <v>62.125</v>
      </c>
    </row>
    <row r="95" spans="1:2" x14ac:dyDescent="0.2">
      <c r="A95" t="s">
        <v>137</v>
      </c>
      <c r="B95">
        <v>5.25</v>
      </c>
    </row>
    <row r="96" spans="1:2" x14ac:dyDescent="0.2">
      <c r="A96" t="s">
        <v>134</v>
      </c>
      <c r="B96" s="2">
        <v>271.78987732035739</v>
      </c>
    </row>
    <row r="97" spans="1:8" x14ac:dyDescent="0.2">
      <c r="A97" t="s">
        <v>135</v>
      </c>
      <c r="B97" t="s">
        <v>141</v>
      </c>
    </row>
    <row r="98" spans="1:8" x14ac:dyDescent="0.2">
      <c r="A98" t="s">
        <v>796</v>
      </c>
      <c r="B98" s="6">
        <v>0</v>
      </c>
    </row>
    <row r="99" spans="1:8" x14ac:dyDescent="0.2">
      <c r="A99" t="s">
        <v>260</v>
      </c>
      <c r="B99" s="6" t="s">
        <v>261</v>
      </c>
    </row>
    <row r="100" spans="1:8" x14ac:dyDescent="0.2">
      <c r="A100" t="s">
        <v>262</v>
      </c>
      <c r="B100" s="2">
        <v>15900</v>
      </c>
    </row>
    <row r="101" spans="1:8" x14ac:dyDescent="0.2">
      <c r="A101" t="s">
        <v>263</v>
      </c>
      <c r="B101" s="2">
        <v>1000</v>
      </c>
    </row>
    <row r="102" spans="1:8" x14ac:dyDescent="0.2">
      <c r="A102" t="s">
        <v>83</v>
      </c>
      <c r="B102" t="s">
        <v>818</v>
      </c>
    </row>
    <row r="103" spans="1:8" ht="16" x14ac:dyDescent="0.2">
      <c r="A103" s="10" t="s">
        <v>79</v>
      </c>
    </row>
    <row r="104" spans="1:8" x14ac:dyDescent="0.2">
      <c r="A104" t="s">
        <v>80</v>
      </c>
      <c r="B104" t="s">
        <v>81</v>
      </c>
      <c r="C104" t="s">
        <v>72</v>
      </c>
      <c r="D104" t="s">
        <v>76</v>
      </c>
      <c r="E104" t="s">
        <v>82</v>
      </c>
      <c r="F104" t="s">
        <v>74</v>
      </c>
      <c r="G104" t="s">
        <v>83</v>
      </c>
      <c r="H104" t="s">
        <v>73</v>
      </c>
    </row>
    <row r="105" spans="1:8" x14ac:dyDescent="0.2">
      <c r="A105" t="s">
        <v>356</v>
      </c>
      <c r="B105">
        <v>1</v>
      </c>
      <c r="C105" t="s">
        <v>37</v>
      </c>
      <c r="D105" t="s">
        <v>76</v>
      </c>
      <c r="F105" t="s">
        <v>84</v>
      </c>
      <c r="G105" t="s">
        <v>85</v>
      </c>
      <c r="H105" t="s">
        <v>356</v>
      </c>
    </row>
    <row r="106" spans="1:8" x14ac:dyDescent="0.2">
      <c r="A106" t="s">
        <v>112</v>
      </c>
      <c r="B106" s="11">
        <v>0.46625</v>
      </c>
      <c r="C106" t="s">
        <v>92</v>
      </c>
      <c r="D106" t="s">
        <v>76</v>
      </c>
      <c r="F106" t="s">
        <v>89</v>
      </c>
      <c r="G106" t="s">
        <v>15</v>
      </c>
      <c r="H106" t="s">
        <v>113</v>
      </c>
    </row>
    <row r="107" spans="1:8" x14ac:dyDescent="0.2">
      <c r="A107" t="s">
        <v>112</v>
      </c>
      <c r="B107" s="11">
        <v>0.16666666666666669</v>
      </c>
      <c r="C107" t="s">
        <v>92</v>
      </c>
      <c r="D107" t="s">
        <v>76</v>
      </c>
      <c r="F107" t="s">
        <v>89</v>
      </c>
      <c r="G107" t="s">
        <v>16</v>
      </c>
      <c r="H107" t="s">
        <v>113</v>
      </c>
    </row>
    <row r="108" spans="1:8" x14ac:dyDescent="0.2">
      <c r="A108" t="s">
        <v>796</v>
      </c>
      <c r="B108" s="11">
        <v>0</v>
      </c>
      <c r="C108" t="s">
        <v>95</v>
      </c>
      <c r="D108" t="s">
        <v>77</v>
      </c>
      <c r="F108" t="s">
        <v>89</v>
      </c>
      <c r="G108" t="s">
        <v>14</v>
      </c>
      <c r="H108" t="s">
        <v>796</v>
      </c>
    </row>
    <row r="109" spans="1:8" x14ac:dyDescent="0.2">
      <c r="A109" t="s">
        <v>114</v>
      </c>
      <c r="B109" s="11">
        <v>0.78749999999999998</v>
      </c>
      <c r="C109" t="s">
        <v>92</v>
      </c>
      <c r="D109" t="s">
        <v>77</v>
      </c>
      <c r="F109" t="s">
        <v>89</v>
      </c>
      <c r="G109" t="s">
        <v>24</v>
      </c>
      <c r="H109" t="s">
        <v>115</v>
      </c>
    </row>
    <row r="110" spans="1:8" x14ac:dyDescent="0.2">
      <c r="A110" s="13" t="s">
        <v>549</v>
      </c>
      <c r="B110">
        <v>63</v>
      </c>
      <c r="C110" t="s">
        <v>92</v>
      </c>
      <c r="D110" t="s">
        <v>193</v>
      </c>
      <c r="F110" t="s">
        <v>89</v>
      </c>
      <c r="H110" s="13" t="s">
        <v>550</v>
      </c>
    </row>
    <row r="111" spans="1:8" x14ac:dyDescent="0.2">
      <c r="A111" s="13" t="s">
        <v>216</v>
      </c>
      <c r="B111" s="2">
        <v>1001.7</v>
      </c>
      <c r="C111" t="s">
        <v>95</v>
      </c>
      <c r="D111" t="s">
        <v>193</v>
      </c>
      <c r="F111" t="s">
        <v>89</v>
      </c>
      <c r="H111" s="13" t="s">
        <v>216</v>
      </c>
    </row>
    <row r="114" spans="1:2" ht="16" x14ac:dyDescent="0.2">
      <c r="A114" s="10" t="s">
        <v>71</v>
      </c>
      <c r="B114" s="8" t="s">
        <v>819</v>
      </c>
    </row>
    <row r="115" spans="1:2" x14ac:dyDescent="0.2">
      <c r="A115" t="s">
        <v>72</v>
      </c>
      <c r="B115" t="s">
        <v>37</v>
      </c>
    </row>
    <row r="116" spans="1:2" x14ac:dyDescent="0.2">
      <c r="A116" t="s">
        <v>86</v>
      </c>
      <c r="B116" t="s">
        <v>354</v>
      </c>
    </row>
    <row r="117" spans="1:2" x14ac:dyDescent="0.2">
      <c r="A117" t="s">
        <v>87</v>
      </c>
    </row>
    <row r="118" spans="1:2" x14ac:dyDescent="0.2">
      <c r="A118" t="s">
        <v>88</v>
      </c>
      <c r="B118">
        <v>2006</v>
      </c>
    </row>
    <row r="119" spans="1:2" x14ac:dyDescent="0.2">
      <c r="A119" t="s">
        <v>124</v>
      </c>
      <c r="B119" t="s">
        <v>357</v>
      </c>
    </row>
    <row r="120" spans="1:2" x14ac:dyDescent="0.2">
      <c r="A120" t="s">
        <v>73</v>
      </c>
      <c r="B120" t="s">
        <v>819</v>
      </c>
    </row>
    <row r="121" spans="1:2" x14ac:dyDescent="0.2">
      <c r="A121" t="s">
        <v>74</v>
      </c>
      <c r="B121" t="s">
        <v>75</v>
      </c>
    </row>
    <row r="122" spans="1:2" x14ac:dyDescent="0.2">
      <c r="A122" t="s">
        <v>76</v>
      </c>
      <c r="B122" t="s">
        <v>164</v>
      </c>
    </row>
    <row r="123" spans="1:2" x14ac:dyDescent="0.2">
      <c r="A123" t="s">
        <v>78</v>
      </c>
      <c r="B123" t="s">
        <v>774</v>
      </c>
    </row>
    <row r="124" spans="1:2" x14ac:dyDescent="0.2">
      <c r="A124" t="s">
        <v>125</v>
      </c>
      <c r="B124">
        <v>25000</v>
      </c>
    </row>
    <row r="125" spans="1:2" x14ac:dyDescent="0.2">
      <c r="A125" t="s">
        <v>126</v>
      </c>
      <c r="B125">
        <v>1</v>
      </c>
    </row>
    <row r="126" spans="1:2" x14ac:dyDescent="0.2">
      <c r="A126" t="s">
        <v>127</v>
      </c>
      <c r="B126">
        <v>1</v>
      </c>
    </row>
    <row r="127" spans="1:2" x14ac:dyDescent="0.2">
      <c r="A127" t="s">
        <v>128</v>
      </c>
      <c r="B127">
        <v>0</v>
      </c>
    </row>
    <row r="128" spans="1:2" x14ac:dyDescent="0.2">
      <c r="A128" t="s">
        <v>129</v>
      </c>
      <c r="B128">
        <v>1570</v>
      </c>
    </row>
    <row r="129" spans="1:8" x14ac:dyDescent="0.2">
      <c r="A129" t="s">
        <v>130</v>
      </c>
      <c r="B129" s="2">
        <v>65.098124999999996</v>
      </c>
    </row>
    <row r="130" spans="1:8" x14ac:dyDescent="0.2">
      <c r="A130" t="s">
        <v>131</v>
      </c>
      <c r="B130">
        <v>2.5</v>
      </c>
    </row>
    <row r="131" spans="1:8" x14ac:dyDescent="0.2">
      <c r="A131" t="s">
        <v>132</v>
      </c>
      <c r="B131" t="s">
        <v>85</v>
      </c>
    </row>
    <row r="132" spans="1:8" x14ac:dyDescent="0.2">
      <c r="A132" t="s">
        <v>133</v>
      </c>
      <c r="B132">
        <v>0</v>
      </c>
    </row>
    <row r="133" spans="1:8" x14ac:dyDescent="0.2">
      <c r="A133" t="s">
        <v>136</v>
      </c>
      <c r="B133" s="2">
        <v>62.125</v>
      </c>
    </row>
    <row r="134" spans="1:8" x14ac:dyDescent="0.2">
      <c r="A134" t="s">
        <v>137</v>
      </c>
      <c r="B134">
        <v>5.25</v>
      </c>
    </row>
    <row r="135" spans="1:8" x14ac:dyDescent="0.2">
      <c r="A135" t="s">
        <v>134</v>
      </c>
      <c r="B135" s="2">
        <v>266.4078995516374</v>
      </c>
    </row>
    <row r="136" spans="1:8" x14ac:dyDescent="0.2">
      <c r="A136" t="s">
        <v>135</v>
      </c>
      <c r="B136" t="s">
        <v>139</v>
      </c>
    </row>
    <row r="137" spans="1:8" x14ac:dyDescent="0.2">
      <c r="A137" t="s">
        <v>796</v>
      </c>
      <c r="B137" s="6">
        <v>-0.05</v>
      </c>
    </row>
    <row r="138" spans="1:8" x14ac:dyDescent="0.2">
      <c r="A138" t="s">
        <v>83</v>
      </c>
      <c r="B138" t="s">
        <v>820</v>
      </c>
    </row>
    <row r="139" spans="1:8" ht="16" x14ac:dyDescent="0.2">
      <c r="A139" s="10" t="s">
        <v>79</v>
      </c>
    </row>
    <row r="140" spans="1:8" x14ac:dyDescent="0.2">
      <c r="A140" t="s">
        <v>80</v>
      </c>
      <c r="B140" t="s">
        <v>81</v>
      </c>
      <c r="C140" t="s">
        <v>72</v>
      </c>
      <c r="D140" t="s">
        <v>76</v>
      </c>
      <c r="E140" t="s">
        <v>82</v>
      </c>
      <c r="F140" t="s">
        <v>74</v>
      </c>
      <c r="G140" t="s">
        <v>83</v>
      </c>
      <c r="H140" t="s">
        <v>73</v>
      </c>
    </row>
    <row r="141" spans="1:8" x14ac:dyDescent="0.2">
      <c r="A141" t="s">
        <v>819</v>
      </c>
      <c r="B141">
        <v>1</v>
      </c>
      <c r="C141" t="s">
        <v>37</v>
      </c>
      <c r="D141" t="s">
        <v>164</v>
      </c>
      <c r="F141" t="s">
        <v>84</v>
      </c>
      <c r="G141" t="s">
        <v>85</v>
      </c>
      <c r="H141" t="s">
        <v>819</v>
      </c>
    </row>
    <row r="142" spans="1:8" x14ac:dyDescent="0.2">
      <c r="A142" t="s">
        <v>354</v>
      </c>
      <c r="B142" s="7">
        <v>4.0000000000000003E-5</v>
      </c>
      <c r="C142" t="s">
        <v>37</v>
      </c>
      <c r="D142" t="s">
        <v>76</v>
      </c>
      <c r="F142" t="s">
        <v>89</v>
      </c>
      <c r="H142" t="s">
        <v>354</v>
      </c>
    </row>
    <row r="143" spans="1:8" x14ac:dyDescent="0.2">
      <c r="A143" t="s">
        <v>107</v>
      </c>
      <c r="B143" s="7">
        <v>7.6306693124999993E-5</v>
      </c>
      <c r="C143" t="s">
        <v>37</v>
      </c>
      <c r="D143" t="s">
        <v>105</v>
      </c>
      <c r="F143" t="s">
        <v>89</v>
      </c>
      <c r="G143" t="s">
        <v>103</v>
      </c>
      <c r="H143" t="s">
        <v>108</v>
      </c>
    </row>
    <row r="144" spans="1:8" x14ac:dyDescent="0.2">
      <c r="A144" t="s">
        <v>111</v>
      </c>
      <c r="B144" s="7">
        <v>1.2899999999999999E-3</v>
      </c>
      <c r="C144" t="s">
        <v>37</v>
      </c>
      <c r="D144" t="s">
        <v>105</v>
      </c>
      <c r="F144" t="s">
        <v>89</v>
      </c>
      <c r="G144" t="s">
        <v>110</v>
      </c>
      <c r="H144" t="s">
        <v>111</v>
      </c>
    </row>
    <row r="145" spans="1:8" x14ac:dyDescent="0.2">
      <c r="A145" t="s">
        <v>119</v>
      </c>
      <c r="B145" s="7">
        <v>4.0000000000000003E-5</v>
      </c>
      <c r="C145" t="s">
        <v>37</v>
      </c>
      <c r="D145" t="s">
        <v>76</v>
      </c>
      <c r="F145" t="s">
        <v>89</v>
      </c>
      <c r="G145" t="s">
        <v>116</v>
      </c>
      <c r="H145" t="s">
        <v>119</v>
      </c>
    </row>
    <row r="146" spans="1:8" x14ac:dyDescent="0.2">
      <c r="A146" t="s">
        <v>364</v>
      </c>
      <c r="B146" s="7">
        <v>1.9706622847279347E-2</v>
      </c>
      <c r="C146" t="s">
        <v>37</v>
      </c>
      <c r="D146" t="s">
        <v>77</v>
      </c>
      <c r="F146" t="s">
        <v>89</v>
      </c>
      <c r="G146" t="s">
        <v>27</v>
      </c>
      <c r="H146" t="s">
        <v>365</v>
      </c>
    </row>
    <row r="147" spans="1:8" x14ac:dyDescent="0.2">
      <c r="A147" t="s">
        <v>152</v>
      </c>
      <c r="B147" s="7">
        <v>6.1878795740457154E-2</v>
      </c>
      <c r="D147" t="s">
        <v>77</v>
      </c>
      <c r="E147" t="s">
        <v>548</v>
      </c>
      <c r="F147" t="s">
        <v>165</v>
      </c>
      <c r="G147" t="s">
        <v>66</v>
      </c>
    </row>
    <row r="148" spans="1:8" x14ac:dyDescent="0.2">
      <c r="A148" t="s">
        <v>212</v>
      </c>
      <c r="B148" s="7">
        <v>3.1530596555646953E-7</v>
      </c>
      <c r="D148" t="s">
        <v>77</v>
      </c>
      <c r="E148" t="s">
        <v>548</v>
      </c>
      <c r="F148" t="s">
        <v>165</v>
      </c>
      <c r="G148" t="s">
        <v>67</v>
      </c>
    </row>
    <row r="149" spans="1:8" x14ac:dyDescent="0.2">
      <c r="A149" t="s">
        <v>55</v>
      </c>
      <c r="B149" s="7">
        <v>1.0310040666120319E-4</v>
      </c>
      <c r="D149" t="s">
        <v>77</v>
      </c>
      <c r="E149" t="s">
        <v>548</v>
      </c>
      <c r="F149" t="s">
        <v>165</v>
      </c>
      <c r="G149" t="s">
        <v>55</v>
      </c>
    </row>
    <row r="150" spans="1:8" x14ac:dyDescent="0.2">
      <c r="A150" t="s">
        <v>153</v>
      </c>
      <c r="B150" s="7">
        <v>2.2338843798195468E-5</v>
      </c>
      <c r="D150" t="s">
        <v>77</v>
      </c>
      <c r="E150" t="s">
        <v>548</v>
      </c>
      <c r="F150" t="s">
        <v>165</v>
      </c>
      <c r="G150" t="s">
        <v>56</v>
      </c>
    </row>
    <row r="151" spans="1:8" x14ac:dyDescent="0.2">
      <c r="A151" t="s">
        <v>154</v>
      </c>
      <c r="B151" s="7">
        <v>3.277971259693117E-3</v>
      </c>
      <c r="D151" t="s">
        <v>77</v>
      </c>
      <c r="E151" t="s">
        <v>548</v>
      </c>
      <c r="F151" t="s">
        <v>165</v>
      </c>
      <c r="G151" t="s">
        <v>57</v>
      </c>
    </row>
    <row r="152" spans="1:8" x14ac:dyDescent="0.2">
      <c r="A152" t="s">
        <v>213</v>
      </c>
      <c r="B152" s="7">
        <v>1.1333761439977408E-6</v>
      </c>
      <c r="D152" t="s">
        <v>77</v>
      </c>
      <c r="E152" t="s">
        <v>548</v>
      </c>
      <c r="F152" t="s">
        <v>165</v>
      </c>
      <c r="G152" t="s">
        <v>58</v>
      </c>
    </row>
    <row r="153" spans="1:8" x14ac:dyDescent="0.2">
      <c r="A153" t="s">
        <v>155</v>
      </c>
      <c r="B153" s="7">
        <v>1.1333761439977408E-6</v>
      </c>
      <c r="D153" t="s">
        <v>77</v>
      </c>
      <c r="E153" t="s">
        <v>548</v>
      </c>
      <c r="F153" t="s">
        <v>165</v>
      </c>
      <c r="G153" t="s">
        <v>59</v>
      </c>
    </row>
    <row r="154" spans="1:8" x14ac:dyDescent="0.2">
      <c r="A154" t="s">
        <v>156</v>
      </c>
      <c r="B154" s="7">
        <v>3.7393687755796559E-4</v>
      </c>
      <c r="D154" t="s">
        <v>77</v>
      </c>
      <c r="E154" t="s">
        <v>548</v>
      </c>
      <c r="F154" t="s">
        <v>165</v>
      </c>
      <c r="G154" t="s">
        <v>60</v>
      </c>
    </row>
    <row r="155" spans="1:8" x14ac:dyDescent="0.2">
      <c r="A155" t="s">
        <v>214</v>
      </c>
      <c r="B155" s="7">
        <v>1.1713745554585587E-5</v>
      </c>
      <c r="D155" t="s">
        <v>77</v>
      </c>
      <c r="E155" t="s">
        <v>548</v>
      </c>
      <c r="F155" t="s">
        <v>165</v>
      </c>
      <c r="G155" t="s">
        <v>62</v>
      </c>
    </row>
    <row r="156" spans="1:8" x14ac:dyDescent="0.2">
      <c r="A156" t="s">
        <v>209</v>
      </c>
      <c r="B156" s="7">
        <v>8.3141932216628021E-4</v>
      </c>
      <c r="D156" t="s">
        <v>77</v>
      </c>
      <c r="E156" t="s">
        <v>548</v>
      </c>
      <c r="F156" t="s">
        <v>165</v>
      </c>
      <c r="G156" t="s">
        <v>368</v>
      </c>
    </row>
    <row r="157" spans="1:8" x14ac:dyDescent="0.2">
      <c r="A157" t="s">
        <v>316</v>
      </c>
      <c r="B157" s="7">
        <v>5.8625721434801813E-5</v>
      </c>
      <c r="D157" t="s">
        <v>77</v>
      </c>
      <c r="E157" t="s">
        <v>548</v>
      </c>
      <c r="F157" t="s">
        <v>165</v>
      </c>
      <c r="G157" t="s">
        <v>316</v>
      </c>
    </row>
    <row r="158" spans="1:8" x14ac:dyDescent="0.2">
      <c r="A158" t="s">
        <v>317</v>
      </c>
      <c r="B158" s="7">
        <v>1.1945679916182187E-5</v>
      </c>
      <c r="D158" t="s">
        <v>77</v>
      </c>
      <c r="E158" t="s">
        <v>548</v>
      </c>
      <c r="F158" t="s">
        <v>165</v>
      </c>
      <c r="G158" t="s">
        <v>317</v>
      </c>
    </row>
    <row r="159" spans="1:8" x14ac:dyDescent="0.2">
      <c r="A159" t="s">
        <v>318</v>
      </c>
      <c r="B159" s="7">
        <v>9.6300558093530248E-5</v>
      </c>
      <c r="D159" t="s">
        <v>77</v>
      </c>
      <c r="E159" t="s">
        <v>548</v>
      </c>
      <c r="F159" t="s">
        <v>165</v>
      </c>
      <c r="G159" t="s">
        <v>318</v>
      </c>
    </row>
    <row r="160" spans="1:8" x14ac:dyDescent="0.2">
      <c r="A160" t="s">
        <v>319</v>
      </c>
      <c r="B160" s="7">
        <v>3.9512633568910311E-5</v>
      </c>
      <c r="D160" t="s">
        <v>77</v>
      </c>
      <c r="E160" t="s">
        <v>548</v>
      </c>
      <c r="F160" t="s">
        <v>165</v>
      </c>
      <c r="G160" t="s">
        <v>319</v>
      </c>
    </row>
    <row r="161" spans="1:7" x14ac:dyDescent="0.2">
      <c r="A161" t="s">
        <v>320</v>
      </c>
      <c r="B161" s="7">
        <v>2.9588530253928191E-5</v>
      </c>
      <c r="D161" t="s">
        <v>77</v>
      </c>
      <c r="E161" t="s">
        <v>548</v>
      </c>
      <c r="F161" t="s">
        <v>165</v>
      </c>
      <c r="G161" t="s">
        <v>320</v>
      </c>
    </row>
    <row r="162" spans="1:7" x14ac:dyDescent="0.2">
      <c r="A162" t="s">
        <v>321</v>
      </c>
      <c r="B162" s="7">
        <v>2.0950884776073375E-5</v>
      </c>
      <c r="D162" t="s">
        <v>77</v>
      </c>
      <c r="E162" t="s">
        <v>548</v>
      </c>
      <c r="F162" t="s">
        <v>165</v>
      </c>
      <c r="G162" t="s">
        <v>321</v>
      </c>
    </row>
    <row r="163" spans="1:7" x14ac:dyDescent="0.2">
      <c r="A163" t="s">
        <v>322</v>
      </c>
      <c r="B163" s="7">
        <v>1.3599697135345875E-5</v>
      </c>
      <c r="D163" t="s">
        <v>77</v>
      </c>
      <c r="E163" t="s">
        <v>548</v>
      </c>
      <c r="F163" t="s">
        <v>165</v>
      </c>
      <c r="G163" t="s">
        <v>322</v>
      </c>
    </row>
    <row r="164" spans="1:7" x14ac:dyDescent="0.2">
      <c r="A164" t="s">
        <v>323</v>
      </c>
      <c r="B164" s="7">
        <v>1.3415917444327687E-4</v>
      </c>
      <c r="D164" t="s">
        <v>77</v>
      </c>
      <c r="E164" t="s">
        <v>548</v>
      </c>
      <c r="F164" t="s">
        <v>165</v>
      </c>
      <c r="G164" t="s">
        <v>323</v>
      </c>
    </row>
    <row r="165" spans="1:7" x14ac:dyDescent="0.2">
      <c r="A165" t="s">
        <v>324</v>
      </c>
      <c r="B165" s="7">
        <v>7.0203841968947625E-5</v>
      </c>
      <c r="D165" t="s">
        <v>77</v>
      </c>
      <c r="E165" t="s">
        <v>548</v>
      </c>
      <c r="F165" t="s">
        <v>165</v>
      </c>
      <c r="G165" t="s">
        <v>324</v>
      </c>
    </row>
    <row r="166" spans="1:7" x14ac:dyDescent="0.2">
      <c r="A166" t="s">
        <v>325</v>
      </c>
      <c r="B166" s="7">
        <v>2.0215766012000624E-6</v>
      </c>
      <c r="D166" t="s">
        <v>77</v>
      </c>
      <c r="E166" t="s">
        <v>548</v>
      </c>
      <c r="F166" t="s">
        <v>165</v>
      </c>
      <c r="G166" t="s">
        <v>325</v>
      </c>
    </row>
    <row r="167" spans="1:7" x14ac:dyDescent="0.2">
      <c r="A167" t="s">
        <v>326</v>
      </c>
      <c r="B167" s="7">
        <v>2.0179010073796986E-4</v>
      </c>
      <c r="D167" t="s">
        <v>77</v>
      </c>
      <c r="E167" t="s">
        <v>548</v>
      </c>
      <c r="F167" t="s">
        <v>165</v>
      </c>
      <c r="G167" t="s">
        <v>326</v>
      </c>
    </row>
    <row r="168" spans="1:7" x14ac:dyDescent="0.2">
      <c r="A168" t="s">
        <v>327</v>
      </c>
      <c r="B168" s="7">
        <v>9.9792372222875822E-5</v>
      </c>
      <c r="D168" t="s">
        <v>77</v>
      </c>
      <c r="E168" t="s">
        <v>548</v>
      </c>
      <c r="F168" t="s">
        <v>165</v>
      </c>
      <c r="G168" t="s">
        <v>327</v>
      </c>
    </row>
    <row r="169" spans="1:7" x14ac:dyDescent="0.2">
      <c r="A169" t="s">
        <v>328</v>
      </c>
      <c r="B169" s="7">
        <v>4.1534210170110372E-5</v>
      </c>
      <c r="D169" t="s">
        <v>77</v>
      </c>
      <c r="E169" t="s">
        <v>548</v>
      </c>
      <c r="F169" t="s">
        <v>165</v>
      </c>
      <c r="G169" t="s">
        <v>328</v>
      </c>
    </row>
    <row r="170" spans="1:7" x14ac:dyDescent="0.2">
      <c r="A170" t="s">
        <v>329</v>
      </c>
      <c r="B170" s="7">
        <v>3.1242547473091882E-5</v>
      </c>
      <c r="D170" t="s">
        <v>77</v>
      </c>
      <c r="E170" t="s">
        <v>548</v>
      </c>
      <c r="F170" t="s">
        <v>165</v>
      </c>
      <c r="G170" t="s">
        <v>329</v>
      </c>
    </row>
    <row r="171" spans="1:7" x14ac:dyDescent="0.2">
      <c r="A171" t="s">
        <v>330</v>
      </c>
      <c r="B171" s="7">
        <v>1.3783476826364063E-5</v>
      </c>
      <c r="D171" t="s">
        <v>77</v>
      </c>
      <c r="E171" t="s">
        <v>548</v>
      </c>
      <c r="F171" t="s">
        <v>165</v>
      </c>
      <c r="G171" t="s">
        <v>330</v>
      </c>
    </row>
    <row r="172" spans="1:7" x14ac:dyDescent="0.2">
      <c r="A172" t="s">
        <v>331</v>
      </c>
      <c r="B172" s="7">
        <v>4.0431532024001248E-6</v>
      </c>
      <c r="D172" t="s">
        <v>77</v>
      </c>
      <c r="E172" t="s">
        <v>548</v>
      </c>
      <c r="F172" t="s">
        <v>165</v>
      </c>
      <c r="G172" t="s">
        <v>331</v>
      </c>
    </row>
    <row r="173" spans="1:7" x14ac:dyDescent="0.2">
      <c r="A173" t="s">
        <v>332</v>
      </c>
      <c r="B173" s="7">
        <v>1.1210561152109439E-5</v>
      </c>
      <c r="D173" t="s">
        <v>77</v>
      </c>
      <c r="E173" t="s">
        <v>548</v>
      </c>
      <c r="F173" t="s">
        <v>165</v>
      </c>
      <c r="G173" t="s">
        <v>332</v>
      </c>
    </row>
    <row r="174" spans="1:7" x14ac:dyDescent="0.2">
      <c r="A174" t="s">
        <v>335</v>
      </c>
      <c r="B174" s="7">
        <v>9.1889845509093757E-7</v>
      </c>
      <c r="D174" t="s">
        <v>77</v>
      </c>
      <c r="E174" t="s">
        <v>548</v>
      </c>
      <c r="F174" t="s">
        <v>165</v>
      </c>
      <c r="G174" t="s">
        <v>335</v>
      </c>
    </row>
    <row r="175" spans="1:7" x14ac:dyDescent="0.2">
      <c r="A175" t="s">
        <v>333</v>
      </c>
      <c r="B175" s="7">
        <v>3.4918141293455624E-6</v>
      </c>
      <c r="D175" t="s">
        <v>77</v>
      </c>
      <c r="E175" t="s">
        <v>548</v>
      </c>
      <c r="F175" t="s">
        <v>165</v>
      </c>
      <c r="G175" t="s">
        <v>333</v>
      </c>
    </row>
    <row r="176" spans="1:7" x14ac:dyDescent="0.2">
      <c r="A176" t="s">
        <v>334</v>
      </c>
      <c r="B176" s="7">
        <v>1.8561748792836937E-5</v>
      </c>
      <c r="D176" t="s">
        <v>77</v>
      </c>
      <c r="E176" t="s">
        <v>548</v>
      </c>
      <c r="F176" t="s">
        <v>165</v>
      </c>
      <c r="G176" t="s">
        <v>334</v>
      </c>
    </row>
    <row r="177" spans="1:8" x14ac:dyDescent="0.2">
      <c r="A177" t="s">
        <v>343</v>
      </c>
      <c r="B177" s="7">
        <v>6.8740409973258097E-10</v>
      </c>
      <c r="D177" t="s">
        <v>77</v>
      </c>
      <c r="E177" t="s">
        <v>548</v>
      </c>
      <c r="F177" t="s">
        <v>165</v>
      </c>
      <c r="G177" t="s">
        <v>336</v>
      </c>
    </row>
    <row r="178" spans="1:8" x14ac:dyDescent="0.2">
      <c r="A178" t="s">
        <v>337</v>
      </c>
      <c r="B178" s="7">
        <v>5.9258974114877665E-12</v>
      </c>
      <c r="D178" t="s">
        <v>77</v>
      </c>
      <c r="E178" t="s">
        <v>548</v>
      </c>
      <c r="F178" t="s">
        <v>165</v>
      </c>
      <c r="G178" t="s">
        <v>337</v>
      </c>
    </row>
    <row r="179" spans="1:8" x14ac:dyDescent="0.2">
      <c r="A179" t="s">
        <v>338</v>
      </c>
      <c r="B179" s="7">
        <v>3.9505982743251777E-12</v>
      </c>
      <c r="D179" t="s">
        <v>77</v>
      </c>
      <c r="E179" t="s">
        <v>548</v>
      </c>
      <c r="F179" t="s">
        <v>165</v>
      </c>
      <c r="G179" t="s">
        <v>338</v>
      </c>
    </row>
    <row r="180" spans="1:8" x14ac:dyDescent="0.2">
      <c r="A180" t="s">
        <v>339</v>
      </c>
      <c r="B180" s="7">
        <v>4.2666461362711927E-8</v>
      </c>
      <c r="D180" t="s">
        <v>77</v>
      </c>
      <c r="E180" t="s">
        <v>548</v>
      </c>
      <c r="F180" t="s">
        <v>165</v>
      </c>
      <c r="G180" t="s">
        <v>339</v>
      </c>
    </row>
    <row r="181" spans="1:8" x14ac:dyDescent="0.2">
      <c r="A181" t="s">
        <v>297</v>
      </c>
      <c r="B181" s="7">
        <v>8.2962563760828726E-10</v>
      </c>
      <c r="D181" t="s">
        <v>77</v>
      </c>
      <c r="E181" t="s">
        <v>548</v>
      </c>
      <c r="F181" t="s">
        <v>165</v>
      </c>
      <c r="G181" t="s">
        <v>297</v>
      </c>
    </row>
    <row r="182" spans="1:8" x14ac:dyDescent="0.2">
      <c r="A182" t="s">
        <v>299</v>
      </c>
      <c r="B182" s="7">
        <v>2.5678888783113659E-10</v>
      </c>
      <c r="D182" t="s">
        <v>77</v>
      </c>
      <c r="E182" t="s">
        <v>548</v>
      </c>
      <c r="F182" t="s">
        <v>165</v>
      </c>
      <c r="G182" t="s">
        <v>299</v>
      </c>
    </row>
    <row r="183" spans="1:8" x14ac:dyDescent="0.2">
      <c r="A183" t="s">
        <v>298</v>
      </c>
      <c r="B183" s="7">
        <v>3.1604786194601424E-10</v>
      </c>
      <c r="D183" t="s">
        <v>77</v>
      </c>
      <c r="E183" t="s">
        <v>548</v>
      </c>
      <c r="F183" t="s">
        <v>165</v>
      </c>
      <c r="G183" t="s">
        <v>298</v>
      </c>
    </row>
    <row r="184" spans="1:8" x14ac:dyDescent="0.2">
      <c r="A184" t="s">
        <v>342</v>
      </c>
      <c r="B184" s="7">
        <v>6.3209572389202838E-13</v>
      </c>
      <c r="D184" t="s">
        <v>77</v>
      </c>
      <c r="E184" t="s">
        <v>548</v>
      </c>
      <c r="F184" t="s">
        <v>165</v>
      </c>
      <c r="G184" t="s">
        <v>342</v>
      </c>
    </row>
    <row r="185" spans="1:8" x14ac:dyDescent="0.2">
      <c r="A185" t="s">
        <v>340</v>
      </c>
      <c r="B185" s="7">
        <v>1.7185102493314524E-10</v>
      </c>
      <c r="D185" t="s">
        <v>77</v>
      </c>
      <c r="E185" t="s">
        <v>548</v>
      </c>
      <c r="F185" t="s">
        <v>165</v>
      </c>
      <c r="G185" t="s">
        <v>340</v>
      </c>
    </row>
    <row r="186" spans="1:8" x14ac:dyDescent="0.2">
      <c r="A186" t="s">
        <v>341</v>
      </c>
      <c r="B186" s="7">
        <v>2.1333230681355966E-10</v>
      </c>
      <c r="D186" t="s">
        <v>77</v>
      </c>
      <c r="E186" t="s">
        <v>548</v>
      </c>
      <c r="F186" t="s">
        <v>165</v>
      </c>
      <c r="G186" t="s">
        <v>341</v>
      </c>
    </row>
    <row r="187" spans="1:8" x14ac:dyDescent="0.2">
      <c r="A187" t="s">
        <v>157</v>
      </c>
      <c r="B187" s="7">
        <v>-5.5602526913109987E-6</v>
      </c>
      <c r="C187" t="s">
        <v>92</v>
      </c>
      <c r="D187" t="s">
        <v>77</v>
      </c>
      <c r="F187" t="s">
        <v>89</v>
      </c>
      <c r="G187" t="s">
        <v>29</v>
      </c>
      <c r="H187" t="s">
        <v>159</v>
      </c>
    </row>
    <row r="188" spans="1:8" x14ac:dyDescent="0.2">
      <c r="A188" t="s">
        <v>158</v>
      </c>
      <c r="B188" s="7">
        <v>-4.6954824543521508E-6</v>
      </c>
      <c r="C188" t="s">
        <v>92</v>
      </c>
      <c r="D188" t="s">
        <v>77</v>
      </c>
      <c r="F188" t="s">
        <v>89</v>
      </c>
      <c r="G188" t="s">
        <v>30</v>
      </c>
      <c r="H188" t="s">
        <v>160</v>
      </c>
    </row>
    <row r="189" spans="1:8" x14ac:dyDescent="0.2">
      <c r="A189" t="s">
        <v>166</v>
      </c>
      <c r="B189" s="7">
        <v>-3.2264697142314886E-6</v>
      </c>
      <c r="C189" t="s">
        <v>92</v>
      </c>
      <c r="D189" t="s">
        <v>77</v>
      </c>
      <c r="F189" t="s">
        <v>89</v>
      </c>
      <c r="G189" t="s">
        <v>31</v>
      </c>
      <c r="H189" t="s">
        <v>161</v>
      </c>
    </row>
    <row r="191" spans="1:8" ht="16" x14ac:dyDescent="0.2">
      <c r="A191" s="10" t="s">
        <v>71</v>
      </c>
      <c r="B191" s="8" t="s">
        <v>821</v>
      </c>
    </row>
    <row r="192" spans="1:8" x14ac:dyDescent="0.2">
      <c r="A192" t="s">
        <v>72</v>
      </c>
      <c r="B192" t="s">
        <v>37</v>
      </c>
    </row>
    <row r="193" spans="1:2" x14ac:dyDescent="0.2">
      <c r="A193" t="s">
        <v>86</v>
      </c>
      <c r="B193" t="s">
        <v>355</v>
      </c>
    </row>
    <row r="194" spans="1:2" x14ac:dyDescent="0.2">
      <c r="A194" t="s">
        <v>87</v>
      </c>
    </row>
    <row r="195" spans="1:2" x14ac:dyDescent="0.2">
      <c r="A195" t="s">
        <v>88</v>
      </c>
      <c r="B195">
        <v>2016</v>
      </c>
    </row>
    <row r="196" spans="1:2" x14ac:dyDescent="0.2">
      <c r="A196" t="s">
        <v>124</v>
      </c>
      <c r="B196" t="s">
        <v>358</v>
      </c>
    </row>
    <row r="197" spans="1:2" x14ac:dyDescent="0.2">
      <c r="A197" t="s">
        <v>73</v>
      </c>
      <c r="B197" t="s">
        <v>821</v>
      </c>
    </row>
    <row r="198" spans="1:2" x14ac:dyDescent="0.2">
      <c r="A198" t="s">
        <v>74</v>
      </c>
      <c r="B198" t="s">
        <v>75</v>
      </c>
    </row>
    <row r="199" spans="1:2" x14ac:dyDescent="0.2">
      <c r="A199" t="s">
        <v>76</v>
      </c>
      <c r="B199" t="s">
        <v>164</v>
      </c>
    </row>
    <row r="200" spans="1:2" x14ac:dyDescent="0.2">
      <c r="A200" t="s">
        <v>78</v>
      </c>
      <c r="B200" t="s">
        <v>774</v>
      </c>
    </row>
    <row r="201" spans="1:2" x14ac:dyDescent="0.2">
      <c r="A201" t="s">
        <v>125</v>
      </c>
      <c r="B201">
        <v>25000</v>
      </c>
    </row>
    <row r="202" spans="1:2" x14ac:dyDescent="0.2">
      <c r="A202" t="s">
        <v>126</v>
      </c>
      <c r="B202">
        <v>1</v>
      </c>
    </row>
    <row r="203" spans="1:2" x14ac:dyDescent="0.2">
      <c r="A203" t="s">
        <v>127</v>
      </c>
      <c r="B203">
        <v>1</v>
      </c>
    </row>
    <row r="204" spans="1:2" x14ac:dyDescent="0.2">
      <c r="A204" t="s">
        <v>128</v>
      </c>
      <c r="B204">
        <v>0</v>
      </c>
    </row>
    <row r="205" spans="1:2" x14ac:dyDescent="0.2">
      <c r="A205" t="s">
        <v>129</v>
      </c>
      <c r="B205">
        <v>1570</v>
      </c>
    </row>
    <row r="206" spans="1:2" x14ac:dyDescent="0.2">
      <c r="A206" t="s">
        <v>130</v>
      </c>
      <c r="B206" s="2">
        <v>63.83925</v>
      </c>
    </row>
    <row r="207" spans="1:2" x14ac:dyDescent="0.2">
      <c r="A207" t="s">
        <v>131</v>
      </c>
      <c r="B207">
        <v>2.5</v>
      </c>
    </row>
    <row r="208" spans="1:2" x14ac:dyDescent="0.2">
      <c r="A208" t="s">
        <v>132</v>
      </c>
      <c r="B208" t="s">
        <v>85</v>
      </c>
    </row>
    <row r="209" spans="1:8" x14ac:dyDescent="0.2">
      <c r="A209" t="s">
        <v>133</v>
      </c>
      <c r="B209">
        <v>0</v>
      </c>
    </row>
    <row r="210" spans="1:8" x14ac:dyDescent="0.2">
      <c r="A210" t="s">
        <v>136</v>
      </c>
      <c r="B210" s="2">
        <v>62.125</v>
      </c>
    </row>
    <row r="211" spans="1:8" x14ac:dyDescent="0.2">
      <c r="A211" t="s">
        <v>137</v>
      </c>
      <c r="B211">
        <v>5.25</v>
      </c>
    </row>
    <row r="212" spans="1:8" x14ac:dyDescent="0.2">
      <c r="A212" t="s">
        <v>134</v>
      </c>
      <c r="B212" s="2">
        <v>269.07197854715383</v>
      </c>
    </row>
    <row r="213" spans="1:8" x14ac:dyDescent="0.2">
      <c r="A213" t="s">
        <v>135</v>
      </c>
      <c r="B213" t="s">
        <v>140</v>
      </c>
    </row>
    <row r="214" spans="1:8" x14ac:dyDescent="0.2">
      <c r="A214" t="s">
        <v>796</v>
      </c>
      <c r="B214" s="6">
        <v>-0.02</v>
      </c>
    </row>
    <row r="215" spans="1:8" x14ac:dyDescent="0.2">
      <c r="A215" t="s">
        <v>83</v>
      </c>
      <c r="B215" t="s">
        <v>822</v>
      </c>
    </row>
    <row r="216" spans="1:8" ht="16" x14ac:dyDescent="0.2">
      <c r="A216" s="10" t="s">
        <v>79</v>
      </c>
    </row>
    <row r="217" spans="1:8" x14ac:dyDescent="0.2">
      <c r="A217" t="s">
        <v>80</v>
      </c>
      <c r="B217" t="s">
        <v>81</v>
      </c>
      <c r="C217" t="s">
        <v>72</v>
      </c>
      <c r="D217" t="s">
        <v>76</v>
      </c>
      <c r="E217" t="s">
        <v>82</v>
      </c>
      <c r="F217" t="s">
        <v>74</v>
      </c>
      <c r="G217" t="s">
        <v>83</v>
      </c>
      <c r="H217" t="s">
        <v>73</v>
      </c>
    </row>
    <row r="218" spans="1:8" x14ac:dyDescent="0.2">
      <c r="A218" t="s">
        <v>821</v>
      </c>
      <c r="B218">
        <v>1</v>
      </c>
      <c r="C218" t="s">
        <v>37</v>
      </c>
      <c r="D218" t="s">
        <v>164</v>
      </c>
      <c r="F218" t="s">
        <v>84</v>
      </c>
      <c r="G218" t="s">
        <v>85</v>
      </c>
      <c r="H218" t="s">
        <v>821</v>
      </c>
    </row>
    <row r="219" spans="1:8" x14ac:dyDescent="0.2">
      <c r="A219" t="s">
        <v>355</v>
      </c>
      <c r="B219" s="7">
        <v>4.0000000000000003E-5</v>
      </c>
      <c r="C219" t="s">
        <v>37</v>
      </c>
      <c r="D219" t="s">
        <v>76</v>
      </c>
      <c r="F219" t="s">
        <v>89</v>
      </c>
      <c r="H219" t="s">
        <v>355</v>
      </c>
    </row>
    <row r="220" spans="1:8" x14ac:dyDescent="0.2">
      <c r="A220" t="s">
        <v>107</v>
      </c>
      <c r="B220" s="7">
        <v>7.5630677249999997E-5</v>
      </c>
      <c r="C220" t="s">
        <v>37</v>
      </c>
      <c r="D220" t="s">
        <v>105</v>
      </c>
      <c r="F220" t="s">
        <v>89</v>
      </c>
      <c r="G220" t="s">
        <v>103</v>
      </c>
      <c r="H220" t="s">
        <v>108</v>
      </c>
    </row>
    <row r="221" spans="1:8" x14ac:dyDescent="0.2">
      <c r="A221" t="s">
        <v>111</v>
      </c>
      <c r="B221" s="7">
        <v>1.2899999999999999E-3</v>
      </c>
      <c r="C221" t="s">
        <v>37</v>
      </c>
      <c r="D221" t="s">
        <v>105</v>
      </c>
      <c r="F221" t="s">
        <v>89</v>
      </c>
      <c r="G221" t="s">
        <v>110</v>
      </c>
      <c r="H221" t="s">
        <v>111</v>
      </c>
    </row>
    <row r="222" spans="1:8" x14ac:dyDescent="0.2">
      <c r="A222" t="s">
        <v>119</v>
      </c>
      <c r="B222" s="7">
        <v>4.0000000000000003E-5</v>
      </c>
      <c r="C222" t="s">
        <v>37</v>
      </c>
      <c r="D222" t="s">
        <v>76</v>
      </c>
      <c r="F222" t="s">
        <v>89</v>
      </c>
      <c r="G222" t="s">
        <v>116</v>
      </c>
      <c r="H222" t="s">
        <v>119</v>
      </c>
    </row>
    <row r="223" spans="1:8" x14ac:dyDescent="0.2">
      <c r="A223" t="s">
        <v>364</v>
      </c>
      <c r="B223" s="7">
        <v>1.9511507769583512E-2</v>
      </c>
      <c r="C223" t="s">
        <v>37</v>
      </c>
      <c r="D223" t="s">
        <v>77</v>
      </c>
      <c r="F223" t="s">
        <v>89</v>
      </c>
      <c r="G223" t="s">
        <v>27</v>
      </c>
      <c r="H223" t="s">
        <v>365</v>
      </c>
    </row>
    <row r="224" spans="1:8" x14ac:dyDescent="0.2">
      <c r="A224" t="s">
        <v>152</v>
      </c>
      <c r="B224" s="7">
        <v>6.1266134396492228E-2</v>
      </c>
      <c r="D224" t="s">
        <v>77</v>
      </c>
      <c r="E224" t="s">
        <v>548</v>
      </c>
      <c r="F224" t="s">
        <v>165</v>
      </c>
      <c r="G224" t="s">
        <v>66</v>
      </c>
    </row>
    <row r="225" spans="1:7" x14ac:dyDescent="0.2">
      <c r="A225" t="s">
        <v>212</v>
      </c>
      <c r="B225" s="7">
        <v>3.1218412431333619E-7</v>
      </c>
      <c r="D225" t="s">
        <v>77</v>
      </c>
      <c r="E225" t="s">
        <v>548</v>
      </c>
      <c r="F225" t="s">
        <v>165</v>
      </c>
      <c r="G225" t="s">
        <v>67</v>
      </c>
    </row>
    <row r="226" spans="1:7" x14ac:dyDescent="0.2">
      <c r="A226" t="s">
        <v>55</v>
      </c>
      <c r="B226" s="7">
        <v>5.0538174149900782E-5</v>
      </c>
      <c r="D226" t="s">
        <v>77</v>
      </c>
      <c r="E226" t="s">
        <v>548</v>
      </c>
      <c r="F226" t="s">
        <v>165</v>
      </c>
      <c r="G226" t="s">
        <v>55</v>
      </c>
    </row>
    <row r="227" spans="1:7" x14ac:dyDescent="0.2">
      <c r="A227" t="s">
        <v>153</v>
      </c>
      <c r="B227" s="7">
        <v>2.2915507072459244E-5</v>
      </c>
      <c r="D227" t="s">
        <v>77</v>
      </c>
      <c r="E227" t="s">
        <v>548</v>
      </c>
      <c r="F227" t="s">
        <v>165</v>
      </c>
      <c r="G227" t="s">
        <v>56</v>
      </c>
    </row>
    <row r="228" spans="1:7" x14ac:dyDescent="0.2">
      <c r="A228" t="s">
        <v>154</v>
      </c>
      <c r="B228" s="7">
        <v>2.4230819782310601E-3</v>
      </c>
      <c r="D228" t="s">
        <v>77</v>
      </c>
      <c r="E228" t="s">
        <v>548</v>
      </c>
      <c r="F228" t="s">
        <v>165</v>
      </c>
      <c r="G228" t="s">
        <v>57</v>
      </c>
    </row>
    <row r="229" spans="1:7" x14ac:dyDescent="0.2">
      <c r="A229" t="s">
        <v>213</v>
      </c>
      <c r="B229" s="7">
        <v>1.1626335399522705E-6</v>
      </c>
      <c r="D229" t="s">
        <v>77</v>
      </c>
      <c r="E229" t="s">
        <v>548</v>
      </c>
      <c r="F229" t="s">
        <v>165</v>
      </c>
      <c r="G229" t="s">
        <v>58</v>
      </c>
    </row>
    <row r="230" spans="1:7" x14ac:dyDescent="0.2">
      <c r="A230" t="s">
        <v>155</v>
      </c>
      <c r="B230" s="7">
        <v>1.1626335399522705E-6</v>
      </c>
      <c r="D230" t="s">
        <v>77</v>
      </c>
      <c r="E230" t="s">
        <v>548</v>
      </c>
      <c r="F230" t="s">
        <v>165</v>
      </c>
      <c r="G230" t="s">
        <v>59</v>
      </c>
    </row>
    <row r="231" spans="1:7" x14ac:dyDescent="0.2">
      <c r="A231" t="s">
        <v>156</v>
      </c>
      <c r="B231" s="7">
        <v>8.7186713305431907E-5</v>
      </c>
      <c r="D231" t="s">
        <v>77</v>
      </c>
      <c r="E231" t="s">
        <v>548</v>
      </c>
      <c r="F231" t="s">
        <v>165</v>
      </c>
      <c r="G231" t="s">
        <v>60</v>
      </c>
    </row>
    <row r="232" spans="1:7" x14ac:dyDescent="0.2">
      <c r="A232" t="s">
        <v>214</v>
      </c>
      <c r="B232" s="7">
        <v>6.6770044199458891E-6</v>
      </c>
      <c r="D232" t="s">
        <v>77</v>
      </c>
      <c r="E232" t="s">
        <v>548</v>
      </c>
      <c r="F232" t="s">
        <v>165</v>
      </c>
      <c r="G232" t="s">
        <v>62</v>
      </c>
    </row>
    <row r="233" spans="1:7" x14ac:dyDescent="0.2">
      <c r="A233" t="s">
        <v>209</v>
      </c>
      <c r="B233" s="7">
        <v>4.0754848458850478E-4</v>
      </c>
      <c r="D233" t="s">
        <v>77</v>
      </c>
      <c r="E233" t="s">
        <v>548</v>
      </c>
      <c r="F233" t="s">
        <v>165</v>
      </c>
      <c r="G233" t="s">
        <v>368</v>
      </c>
    </row>
    <row r="234" spans="1:7" x14ac:dyDescent="0.2">
      <c r="A234" t="s">
        <v>316</v>
      </c>
      <c r="B234" s="7">
        <v>2.873739314406123E-5</v>
      </c>
      <c r="D234" t="s">
        <v>77</v>
      </c>
      <c r="E234" t="s">
        <v>548</v>
      </c>
      <c r="F234" t="s">
        <v>165</v>
      </c>
      <c r="G234" t="s">
        <v>316</v>
      </c>
    </row>
    <row r="235" spans="1:7" x14ac:dyDescent="0.2">
      <c r="A235" t="s">
        <v>317</v>
      </c>
      <c r="B235" s="7">
        <v>5.8555816751221947E-6</v>
      </c>
      <c r="D235" t="s">
        <v>77</v>
      </c>
      <c r="E235" t="s">
        <v>548</v>
      </c>
      <c r="F235" t="s">
        <v>165</v>
      </c>
      <c r="G235" t="s">
        <v>317</v>
      </c>
    </row>
    <row r="236" spans="1:7" x14ac:dyDescent="0.2">
      <c r="A236" t="s">
        <v>318</v>
      </c>
      <c r="B236" s="7">
        <v>4.7204996888677385E-5</v>
      </c>
      <c r="D236" t="s">
        <v>77</v>
      </c>
      <c r="E236" t="s">
        <v>548</v>
      </c>
      <c r="F236" t="s">
        <v>165</v>
      </c>
      <c r="G236" t="s">
        <v>318</v>
      </c>
    </row>
    <row r="237" spans="1:7" x14ac:dyDescent="0.2">
      <c r="A237" t="s">
        <v>319</v>
      </c>
      <c r="B237" s="7">
        <v>1.936846246386572E-5</v>
      </c>
      <c r="D237" t="s">
        <v>77</v>
      </c>
      <c r="E237" t="s">
        <v>548</v>
      </c>
      <c r="F237" t="s">
        <v>165</v>
      </c>
      <c r="G237" t="s">
        <v>319</v>
      </c>
    </row>
    <row r="238" spans="1:7" x14ac:dyDescent="0.2">
      <c r="A238" t="s">
        <v>320</v>
      </c>
      <c r="B238" s="7">
        <v>1.4503825379918051E-5</v>
      </c>
      <c r="D238" t="s">
        <v>77</v>
      </c>
      <c r="E238" t="s">
        <v>548</v>
      </c>
      <c r="F238" t="s">
        <v>165</v>
      </c>
      <c r="G238" t="s">
        <v>320</v>
      </c>
    </row>
    <row r="239" spans="1:7" x14ac:dyDescent="0.2">
      <c r="A239" t="s">
        <v>321</v>
      </c>
      <c r="B239" s="7">
        <v>1.0269789399445079E-5</v>
      </c>
      <c r="D239" t="s">
        <v>77</v>
      </c>
      <c r="E239" t="s">
        <v>548</v>
      </c>
      <c r="F239" t="s">
        <v>165</v>
      </c>
      <c r="G239" t="s">
        <v>321</v>
      </c>
    </row>
    <row r="240" spans="1:7" x14ac:dyDescent="0.2">
      <c r="A240" t="s">
        <v>322</v>
      </c>
      <c r="B240" s="7">
        <v>6.6663545224468059E-6</v>
      </c>
      <c r="D240" t="s">
        <v>77</v>
      </c>
      <c r="E240" t="s">
        <v>548</v>
      </c>
      <c r="F240" t="s">
        <v>165</v>
      </c>
      <c r="G240" t="s">
        <v>322</v>
      </c>
    </row>
    <row r="241" spans="1:7" x14ac:dyDescent="0.2">
      <c r="A241" t="s">
        <v>323</v>
      </c>
      <c r="B241" s="7">
        <v>6.5762686505218488E-5</v>
      </c>
      <c r="D241" t="s">
        <v>77</v>
      </c>
      <c r="E241" t="s">
        <v>548</v>
      </c>
      <c r="F241" t="s">
        <v>165</v>
      </c>
      <c r="G241" t="s">
        <v>323</v>
      </c>
    </row>
    <row r="242" spans="1:7" x14ac:dyDescent="0.2">
      <c r="A242" t="s">
        <v>324</v>
      </c>
      <c r="B242" s="7">
        <v>3.441280307533351E-5</v>
      </c>
      <c r="D242" t="s">
        <v>77</v>
      </c>
      <c r="E242" t="s">
        <v>548</v>
      </c>
      <c r="F242" t="s">
        <v>165</v>
      </c>
      <c r="G242" t="s">
        <v>324</v>
      </c>
    </row>
    <row r="243" spans="1:7" x14ac:dyDescent="0.2">
      <c r="A243" t="s">
        <v>325</v>
      </c>
      <c r="B243" s="7">
        <v>9.9094459117452519E-7</v>
      </c>
      <c r="D243" t="s">
        <v>77</v>
      </c>
      <c r="E243" t="s">
        <v>548</v>
      </c>
      <c r="F243" t="s">
        <v>165</v>
      </c>
      <c r="G243" t="s">
        <v>325</v>
      </c>
    </row>
    <row r="244" spans="1:7" x14ac:dyDescent="0.2">
      <c r="A244" t="s">
        <v>326</v>
      </c>
      <c r="B244" s="7">
        <v>9.8914287373602611E-5</v>
      </c>
      <c r="D244" t="s">
        <v>77</v>
      </c>
      <c r="E244" t="s">
        <v>548</v>
      </c>
      <c r="F244" t="s">
        <v>165</v>
      </c>
      <c r="G244" t="s">
        <v>326</v>
      </c>
    </row>
    <row r="245" spans="1:7" x14ac:dyDescent="0.2">
      <c r="A245" t="s">
        <v>327</v>
      </c>
      <c r="B245" s="7">
        <v>4.8916628455251568E-5</v>
      </c>
      <c r="D245" t="s">
        <v>77</v>
      </c>
      <c r="E245" t="s">
        <v>548</v>
      </c>
      <c r="F245" t="s">
        <v>165</v>
      </c>
      <c r="G245" t="s">
        <v>327</v>
      </c>
    </row>
    <row r="246" spans="1:7" x14ac:dyDescent="0.2">
      <c r="A246" t="s">
        <v>328</v>
      </c>
      <c r="B246" s="7">
        <v>2.0359407055040244E-5</v>
      </c>
      <c r="D246" t="s">
        <v>77</v>
      </c>
      <c r="E246" t="s">
        <v>548</v>
      </c>
      <c r="F246" t="s">
        <v>165</v>
      </c>
      <c r="G246" t="s">
        <v>328</v>
      </c>
    </row>
    <row r="247" spans="1:7" x14ac:dyDescent="0.2">
      <c r="A247" t="s">
        <v>329</v>
      </c>
      <c r="B247" s="7">
        <v>1.5314598227242665E-5</v>
      </c>
      <c r="D247" t="s">
        <v>77</v>
      </c>
      <c r="E247" t="s">
        <v>548</v>
      </c>
      <c r="F247" t="s">
        <v>165</v>
      </c>
      <c r="G247" t="s">
        <v>329</v>
      </c>
    </row>
    <row r="248" spans="1:7" x14ac:dyDescent="0.2">
      <c r="A248" t="s">
        <v>330</v>
      </c>
      <c r="B248" s="7">
        <v>6.7564403943717619E-6</v>
      </c>
      <c r="D248" t="s">
        <v>77</v>
      </c>
      <c r="E248" t="s">
        <v>548</v>
      </c>
      <c r="F248" t="s">
        <v>165</v>
      </c>
      <c r="G248" t="s">
        <v>330</v>
      </c>
    </row>
    <row r="249" spans="1:7" x14ac:dyDescent="0.2">
      <c r="A249" t="s">
        <v>331</v>
      </c>
      <c r="B249" s="7">
        <v>1.9818891823490504E-6</v>
      </c>
      <c r="D249" t="s">
        <v>77</v>
      </c>
      <c r="E249" t="s">
        <v>548</v>
      </c>
      <c r="F249" t="s">
        <v>165</v>
      </c>
      <c r="G249" t="s">
        <v>331</v>
      </c>
    </row>
    <row r="250" spans="1:7" x14ac:dyDescent="0.2">
      <c r="A250" t="s">
        <v>332</v>
      </c>
      <c r="B250" s="7">
        <v>5.495238187422368E-6</v>
      </c>
      <c r="D250" t="s">
        <v>77</v>
      </c>
      <c r="E250" t="s">
        <v>548</v>
      </c>
      <c r="F250" t="s">
        <v>165</v>
      </c>
      <c r="G250" t="s">
        <v>332</v>
      </c>
    </row>
    <row r="251" spans="1:7" x14ac:dyDescent="0.2">
      <c r="A251" t="s">
        <v>335</v>
      </c>
      <c r="B251" s="7">
        <v>0</v>
      </c>
      <c r="D251" t="s">
        <v>77</v>
      </c>
      <c r="E251" t="s">
        <v>548</v>
      </c>
      <c r="F251" t="s">
        <v>165</v>
      </c>
      <c r="G251" t="s">
        <v>335</v>
      </c>
    </row>
    <row r="252" spans="1:7" x14ac:dyDescent="0.2">
      <c r="A252" t="s">
        <v>333</v>
      </c>
      <c r="B252" s="7">
        <v>1.7116315665741799E-6</v>
      </c>
      <c r="D252" t="s">
        <v>77</v>
      </c>
      <c r="E252" t="s">
        <v>548</v>
      </c>
      <c r="F252" t="s">
        <v>165</v>
      </c>
      <c r="G252" t="s">
        <v>333</v>
      </c>
    </row>
    <row r="253" spans="1:7" x14ac:dyDescent="0.2">
      <c r="A253" t="s">
        <v>334</v>
      </c>
      <c r="B253" s="7">
        <v>9.0986730644206395E-6</v>
      </c>
      <c r="D253" t="s">
        <v>77</v>
      </c>
      <c r="E253" t="s">
        <v>548</v>
      </c>
      <c r="F253" t="s">
        <v>165</v>
      </c>
      <c r="G253" t="s">
        <v>334</v>
      </c>
    </row>
    <row r="254" spans="1:7" x14ac:dyDescent="0.2">
      <c r="A254" t="s">
        <v>343</v>
      </c>
      <c r="B254" s="7">
        <v>6.8059811854710989E-10</v>
      </c>
      <c r="D254" t="s">
        <v>77</v>
      </c>
      <c r="E254" t="s">
        <v>548</v>
      </c>
      <c r="F254" t="s">
        <v>165</v>
      </c>
      <c r="G254" t="s">
        <v>336</v>
      </c>
    </row>
    <row r="255" spans="1:7" x14ac:dyDescent="0.2">
      <c r="A255" t="s">
        <v>337</v>
      </c>
      <c r="B255" s="7">
        <v>5.8672251598888778E-12</v>
      </c>
      <c r="D255" t="s">
        <v>77</v>
      </c>
      <c r="E255" t="s">
        <v>548</v>
      </c>
      <c r="F255" t="s">
        <v>165</v>
      </c>
      <c r="G255" t="s">
        <v>337</v>
      </c>
    </row>
    <row r="256" spans="1:7" x14ac:dyDescent="0.2">
      <c r="A256" t="s">
        <v>338</v>
      </c>
      <c r="B256" s="7">
        <v>3.9114834399259186E-12</v>
      </c>
      <c r="D256" t="s">
        <v>77</v>
      </c>
      <c r="E256" t="s">
        <v>548</v>
      </c>
      <c r="F256" t="s">
        <v>165</v>
      </c>
      <c r="G256" t="s">
        <v>338</v>
      </c>
    </row>
    <row r="257" spans="1:8" x14ac:dyDescent="0.2">
      <c r="A257" t="s">
        <v>339</v>
      </c>
      <c r="B257" s="7">
        <v>4.2244021151199922E-8</v>
      </c>
      <c r="D257" t="s">
        <v>77</v>
      </c>
      <c r="E257" t="s">
        <v>548</v>
      </c>
      <c r="F257" t="s">
        <v>165</v>
      </c>
      <c r="G257" t="s">
        <v>339</v>
      </c>
    </row>
    <row r="258" spans="1:8" x14ac:dyDescent="0.2">
      <c r="A258" t="s">
        <v>297</v>
      </c>
      <c r="B258" s="7">
        <v>8.2141152238444284E-10</v>
      </c>
      <c r="D258" t="s">
        <v>77</v>
      </c>
      <c r="E258" t="s">
        <v>548</v>
      </c>
      <c r="F258" t="s">
        <v>165</v>
      </c>
      <c r="G258" t="s">
        <v>297</v>
      </c>
    </row>
    <row r="259" spans="1:8" x14ac:dyDescent="0.2">
      <c r="A259" t="s">
        <v>299</v>
      </c>
      <c r="B259" s="7">
        <v>2.5424642359518471E-10</v>
      </c>
      <c r="D259" t="s">
        <v>77</v>
      </c>
      <c r="E259" t="s">
        <v>548</v>
      </c>
      <c r="F259" t="s">
        <v>165</v>
      </c>
      <c r="G259" t="s">
        <v>299</v>
      </c>
    </row>
    <row r="260" spans="1:8" x14ac:dyDescent="0.2">
      <c r="A260" t="s">
        <v>298</v>
      </c>
      <c r="B260" s="7">
        <v>3.1291867519407351E-10</v>
      </c>
      <c r="D260" t="s">
        <v>77</v>
      </c>
      <c r="E260" t="s">
        <v>548</v>
      </c>
      <c r="F260" t="s">
        <v>165</v>
      </c>
      <c r="G260" t="s">
        <v>298</v>
      </c>
    </row>
    <row r="261" spans="1:8" x14ac:dyDescent="0.2">
      <c r="A261" t="s">
        <v>342</v>
      </c>
      <c r="B261" s="7">
        <v>6.258373503881469E-13</v>
      </c>
      <c r="D261" t="s">
        <v>77</v>
      </c>
      <c r="E261" t="s">
        <v>548</v>
      </c>
      <c r="F261" t="s">
        <v>165</v>
      </c>
      <c r="G261" t="s">
        <v>342</v>
      </c>
    </row>
    <row r="262" spans="1:8" x14ac:dyDescent="0.2">
      <c r="A262" t="s">
        <v>340</v>
      </c>
      <c r="B262" s="7">
        <v>1.7014952963677747E-10</v>
      </c>
      <c r="D262" t="s">
        <v>77</v>
      </c>
      <c r="E262" t="s">
        <v>548</v>
      </c>
      <c r="F262" t="s">
        <v>165</v>
      </c>
      <c r="G262" t="s">
        <v>340</v>
      </c>
    </row>
    <row r="263" spans="1:8" x14ac:dyDescent="0.2">
      <c r="A263" t="s">
        <v>341</v>
      </c>
      <c r="B263" s="7">
        <v>2.1122010575599965E-10</v>
      </c>
      <c r="D263" t="s">
        <v>77</v>
      </c>
      <c r="E263" t="s">
        <v>548</v>
      </c>
      <c r="F263" t="s">
        <v>165</v>
      </c>
      <c r="G263" t="s">
        <v>341</v>
      </c>
    </row>
    <row r="264" spans="1:8" x14ac:dyDescent="0.2">
      <c r="A264" t="s">
        <v>157</v>
      </c>
      <c r="B264" s="7">
        <v>-5.5214033406186255E-6</v>
      </c>
      <c r="C264" t="s">
        <v>92</v>
      </c>
      <c r="D264" t="s">
        <v>77</v>
      </c>
      <c r="F264" t="s">
        <v>89</v>
      </c>
      <c r="G264" t="s">
        <v>29</v>
      </c>
      <c r="H264" t="s">
        <v>159</v>
      </c>
    </row>
    <row r="265" spans="1:8" x14ac:dyDescent="0.2">
      <c r="A265" t="s">
        <v>158</v>
      </c>
      <c r="B265" s="7">
        <v>-4.6701389954751309E-6</v>
      </c>
      <c r="C265" t="s">
        <v>92</v>
      </c>
      <c r="D265" t="s">
        <v>77</v>
      </c>
      <c r="F265" t="s">
        <v>89</v>
      </c>
      <c r="G265" t="s">
        <v>30</v>
      </c>
      <c r="H265" t="s">
        <v>160</v>
      </c>
    </row>
    <row r="266" spans="1:8" x14ac:dyDescent="0.2">
      <c r="A266" t="s">
        <v>166</v>
      </c>
      <c r="B266" s="7">
        <v>-3.206660819959009E-6</v>
      </c>
      <c r="C266" t="s">
        <v>92</v>
      </c>
      <c r="D266" t="s">
        <v>77</v>
      </c>
      <c r="F266" t="s">
        <v>89</v>
      </c>
      <c r="G266" t="s">
        <v>31</v>
      </c>
      <c r="H266" t="s">
        <v>161</v>
      </c>
    </row>
    <row r="268" spans="1:8" ht="16" x14ac:dyDescent="0.2">
      <c r="A268" s="10" t="s">
        <v>71</v>
      </c>
      <c r="B268" s="8" t="s">
        <v>823</v>
      </c>
    </row>
    <row r="269" spans="1:8" x14ac:dyDescent="0.2">
      <c r="A269" t="s">
        <v>72</v>
      </c>
      <c r="B269" t="s">
        <v>37</v>
      </c>
    </row>
    <row r="270" spans="1:8" x14ac:dyDescent="0.2">
      <c r="A270" t="s">
        <v>86</v>
      </c>
      <c r="B270" t="s">
        <v>356</v>
      </c>
    </row>
    <row r="271" spans="1:8" x14ac:dyDescent="0.2">
      <c r="A271" t="s">
        <v>87</v>
      </c>
    </row>
    <row r="272" spans="1:8" x14ac:dyDescent="0.2">
      <c r="A272" t="s">
        <v>88</v>
      </c>
      <c r="B272">
        <v>2020</v>
      </c>
    </row>
    <row r="273" spans="1:2" x14ac:dyDescent="0.2">
      <c r="A273" t="s">
        <v>124</v>
      </c>
      <c r="B273" t="s">
        <v>359</v>
      </c>
    </row>
    <row r="274" spans="1:2" x14ac:dyDescent="0.2">
      <c r="A274" t="s">
        <v>73</v>
      </c>
      <c r="B274" t="s">
        <v>823</v>
      </c>
    </row>
    <row r="275" spans="1:2" x14ac:dyDescent="0.2">
      <c r="A275" t="s">
        <v>74</v>
      </c>
      <c r="B275" t="s">
        <v>75</v>
      </c>
    </row>
    <row r="276" spans="1:2" x14ac:dyDescent="0.2">
      <c r="A276" t="s">
        <v>76</v>
      </c>
      <c r="B276" t="s">
        <v>164</v>
      </c>
    </row>
    <row r="277" spans="1:2" x14ac:dyDescent="0.2">
      <c r="A277" t="s">
        <v>78</v>
      </c>
      <c r="B277" t="s">
        <v>774</v>
      </c>
    </row>
    <row r="278" spans="1:2" x14ac:dyDescent="0.2">
      <c r="A278" t="s">
        <v>125</v>
      </c>
      <c r="B278">
        <v>25000</v>
      </c>
    </row>
    <row r="279" spans="1:2" x14ac:dyDescent="0.2">
      <c r="A279" t="s">
        <v>126</v>
      </c>
      <c r="B279">
        <v>1</v>
      </c>
    </row>
    <row r="280" spans="1:2" x14ac:dyDescent="0.2">
      <c r="A280" t="s">
        <v>127</v>
      </c>
      <c r="B280">
        <v>1</v>
      </c>
    </row>
    <row r="281" spans="1:2" x14ac:dyDescent="0.2">
      <c r="A281" t="s">
        <v>128</v>
      </c>
      <c r="B281">
        <v>0</v>
      </c>
    </row>
    <row r="282" spans="1:2" x14ac:dyDescent="0.2">
      <c r="A282" t="s">
        <v>129</v>
      </c>
      <c r="B282">
        <v>1570</v>
      </c>
    </row>
    <row r="283" spans="1:2" x14ac:dyDescent="0.2">
      <c r="A283" t="s">
        <v>130</v>
      </c>
      <c r="B283" s="2">
        <v>63</v>
      </c>
    </row>
    <row r="284" spans="1:2" x14ac:dyDescent="0.2">
      <c r="A284" t="s">
        <v>131</v>
      </c>
      <c r="B284">
        <v>2.5</v>
      </c>
    </row>
    <row r="285" spans="1:2" x14ac:dyDescent="0.2">
      <c r="A285" t="s">
        <v>132</v>
      </c>
      <c r="B285" t="s">
        <v>85</v>
      </c>
    </row>
    <row r="286" spans="1:2" x14ac:dyDescent="0.2">
      <c r="A286" t="s">
        <v>133</v>
      </c>
      <c r="B286">
        <v>0</v>
      </c>
    </row>
    <row r="287" spans="1:2" x14ac:dyDescent="0.2">
      <c r="A287" t="s">
        <v>136</v>
      </c>
      <c r="B287" s="2">
        <v>62.125</v>
      </c>
    </row>
    <row r="288" spans="1:2" x14ac:dyDescent="0.2">
      <c r="A288" t="s">
        <v>137</v>
      </c>
      <c r="B288">
        <v>5.25</v>
      </c>
    </row>
    <row r="289" spans="1:8" x14ac:dyDescent="0.2">
      <c r="A289" t="s">
        <v>134</v>
      </c>
      <c r="B289" s="2">
        <v>271.78987732035739</v>
      </c>
    </row>
    <row r="290" spans="1:8" x14ac:dyDescent="0.2">
      <c r="A290" t="s">
        <v>135</v>
      </c>
      <c r="B290" t="s">
        <v>141</v>
      </c>
    </row>
    <row r="291" spans="1:8" x14ac:dyDescent="0.2">
      <c r="A291" t="s">
        <v>796</v>
      </c>
      <c r="B291" s="6">
        <v>0</v>
      </c>
    </row>
    <row r="292" spans="1:8" x14ac:dyDescent="0.2">
      <c r="A292" t="s">
        <v>83</v>
      </c>
      <c r="B292" t="s">
        <v>824</v>
      </c>
    </row>
    <row r="293" spans="1:8" ht="16" x14ac:dyDescent="0.2">
      <c r="A293" s="10" t="s">
        <v>79</v>
      </c>
    </row>
    <row r="294" spans="1:8" x14ac:dyDescent="0.2">
      <c r="A294" t="s">
        <v>80</v>
      </c>
      <c r="B294" t="s">
        <v>81</v>
      </c>
      <c r="C294" t="s">
        <v>72</v>
      </c>
      <c r="D294" t="s">
        <v>76</v>
      </c>
      <c r="E294" t="s">
        <v>82</v>
      </c>
      <c r="F294" t="s">
        <v>74</v>
      </c>
      <c r="G294" t="s">
        <v>83</v>
      </c>
      <c r="H294" t="s">
        <v>73</v>
      </c>
    </row>
    <row r="295" spans="1:8" x14ac:dyDescent="0.2">
      <c r="A295" t="s">
        <v>823</v>
      </c>
      <c r="B295">
        <v>1</v>
      </c>
      <c r="C295" t="s">
        <v>37</v>
      </c>
      <c r="D295" t="s">
        <v>164</v>
      </c>
      <c r="F295" t="s">
        <v>84</v>
      </c>
      <c r="G295" t="s">
        <v>85</v>
      </c>
      <c r="H295" t="s">
        <v>823</v>
      </c>
    </row>
    <row r="296" spans="1:8" x14ac:dyDescent="0.2">
      <c r="A296" t="s">
        <v>356</v>
      </c>
      <c r="B296" s="7">
        <v>4.0000000000000003E-5</v>
      </c>
      <c r="C296" t="s">
        <v>37</v>
      </c>
      <c r="D296" t="s">
        <v>76</v>
      </c>
      <c r="F296" t="s">
        <v>89</v>
      </c>
      <c r="H296" t="s">
        <v>356</v>
      </c>
    </row>
    <row r="297" spans="1:8" x14ac:dyDescent="0.2">
      <c r="A297" t="s">
        <v>107</v>
      </c>
      <c r="B297" s="7">
        <v>7.5179999999999995E-5</v>
      </c>
      <c r="C297" t="s">
        <v>37</v>
      </c>
      <c r="D297" t="s">
        <v>105</v>
      </c>
      <c r="F297" t="s">
        <v>89</v>
      </c>
      <c r="G297" t="s">
        <v>103</v>
      </c>
      <c r="H297" t="s">
        <v>108</v>
      </c>
    </row>
    <row r="298" spans="1:8" x14ac:dyDescent="0.2">
      <c r="A298" t="s">
        <v>111</v>
      </c>
      <c r="B298" s="7">
        <v>1.2899999999999999E-3</v>
      </c>
      <c r="C298" t="s">
        <v>37</v>
      </c>
      <c r="D298" t="s">
        <v>105</v>
      </c>
      <c r="F298" t="s">
        <v>89</v>
      </c>
      <c r="G298" t="s">
        <v>110</v>
      </c>
      <c r="H298" t="s">
        <v>111</v>
      </c>
    </row>
    <row r="299" spans="1:8" x14ac:dyDescent="0.2">
      <c r="A299" t="s">
        <v>119</v>
      </c>
      <c r="B299" s="7">
        <v>4.0000000000000003E-5</v>
      </c>
      <c r="C299" t="s">
        <v>37</v>
      </c>
      <c r="D299" t="s">
        <v>76</v>
      </c>
      <c r="F299" t="s">
        <v>89</v>
      </c>
      <c r="G299" t="s">
        <v>116</v>
      </c>
      <c r="H299" t="s">
        <v>119</v>
      </c>
    </row>
    <row r="300" spans="1:8" x14ac:dyDescent="0.2">
      <c r="A300" t="s">
        <v>364</v>
      </c>
      <c r="B300" s="7">
        <v>1.9316392691887677E-2</v>
      </c>
      <c r="C300" t="s">
        <v>37</v>
      </c>
      <c r="D300" t="s">
        <v>77</v>
      </c>
      <c r="F300" t="s">
        <v>89</v>
      </c>
      <c r="G300" t="s">
        <v>27</v>
      </c>
      <c r="H300" t="s">
        <v>365</v>
      </c>
    </row>
    <row r="301" spans="1:8" x14ac:dyDescent="0.2">
      <c r="A301" t="s">
        <v>152</v>
      </c>
      <c r="B301" s="7">
        <v>6.0653473052527308E-2</v>
      </c>
      <c r="D301" t="s">
        <v>77</v>
      </c>
      <c r="E301" t="s">
        <v>548</v>
      </c>
      <c r="F301" t="s">
        <v>165</v>
      </c>
      <c r="G301" t="s">
        <v>66</v>
      </c>
    </row>
    <row r="302" spans="1:8" x14ac:dyDescent="0.2">
      <c r="A302" t="s">
        <v>212</v>
      </c>
      <c r="B302" s="7">
        <v>3.0906228307020284E-7</v>
      </c>
      <c r="D302" t="s">
        <v>77</v>
      </c>
      <c r="E302" t="s">
        <v>548</v>
      </c>
      <c r="F302" t="s">
        <v>165</v>
      </c>
      <c r="G302" t="s">
        <v>67</v>
      </c>
    </row>
    <row r="303" spans="1:8" x14ac:dyDescent="0.2">
      <c r="A303" t="s">
        <v>55</v>
      </c>
      <c r="B303" s="7">
        <v>5.0032792408401772E-5</v>
      </c>
      <c r="D303" t="s">
        <v>77</v>
      </c>
      <c r="E303" t="s">
        <v>548</v>
      </c>
      <c r="F303" t="s">
        <v>165</v>
      </c>
      <c r="G303" t="s">
        <v>55</v>
      </c>
    </row>
    <row r="304" spans="1:8" x14ac:dyDescent="0.2">
      <c r="A304" t="s">
        <v>153</v>
      </c>
      <c r="B304" s="7">
        <v>2.2686352001734651E-5</v>
      </c>
      <c r="D304" t="s">
        <v>77</v>
      </c>
      <c r="E304" t="s">
        <v>548</v>
      </c>
      <c r="F304" t="s">
        <v>165</v>
      </c>
      <c r="G304" t="s">
        <v>56</v>
      </c>
    </row>
    <row r="305" spans="1:7" x14ac:dyDescent="0.2">
      <c r="A305" t="s">
        <v>154</v>
      </c>
      <c r="B305" s="7">
        <v>2.3988511584487494E-3</v>
      </c>
      <c r="D305" t="s">
        <v>77</v>
      </c>
      <c r="E305" t="s">
        <v>548</v>
      </c>
      <c r="F305" t="s">
        <v>165</v>
      </c>
      <c r="G305" t="s">
        <v>57</v>
      </c>
    </row>
    <row r="306" spans="1:7" x14ac:dyDescent="0.2">
      <c r="A306" t="s">
        <v>213</v>
      </c>
      <c r="B306" s="7">
        <v>1.1510072045527478E-6</v>
      </c>
      <c r="D306" t="s">
        <v>77</v>
      </c>
      <c r="E306" t="s">
        <v>548</v>
      </c>
      <c r="F306" t="s">
        <v>165</v>
      </c>
      <c r="G306" t="s">
        <v>58</v>
      </c>
    </row>
    <row r="307" spans="1:7" x14ac:dyDescent="0.2">
      <c r="A307" t="s">
        <v>155</v>
      </c>
      <c r="B307" s="7">
        <v>1.1510072045527478E-6</v>
      </c>
      <c r="D307" t="s">
        <v>77</v>
      </c>
      <c r="E307" t="s">
        <v>548</v>
      </c>
      <c r="F307" t="s">
        <v>165</v>
      </c>
      <c r="G307" t="s">
        <v>59</v>
      </c>
    </row>
    <row r="308" spans="1:7" x14ac:dyDescent="0.2">
      <c r="A308" t="s">
        <v>156</v>
      </c>
      <c r="B308" s="7">
        <v>8.6314846172377596E-5</v>
      </c>
      <c r="D308" t="s">
        <v>77</v>
      </c>
      <c r="E308" t="s">
        <v>548</v>
      </c>
      <c r="F308" t="s">
        <v>165</v>
      </c>
      <c r="G308" t="s">
        <v>60</v>
      </c>
    </row>
    <row r="309" spans="1:7" x14ac:dyDescent="0.2">
      <c r="A309" t="s">
        <v>214</v>
      </c>
      <c r="B309" s="7">
        <v>6.6102343757464297E-6</v>
      </c>
      <c r="D309" t="s">
        <v>77</v>
      </c>
      <c r="E309" t="s">
        <v>548</v>
      </c>
      <c r="F309" t="s">
        <v>165</v>
      </c>
      <c r="G309" t="s">
        <v>62</v>
      </c>
    </row>
    <row r="310" spans="1:7" x14ac:dyDescent="0.2">
      <c r="A310" t="s">
        <v>209</v>
      </c>
      <c r="B310" s="7">
        <v>4.0347299974261968E-4</v>
      </c>
      <c r="D310" t="s">
        <v>77</v>
      </c>
      <c r="E310" t="s">
        <v>548</v>
      </c>
      <c r="F310" t="s">
        <v>165</v>
      </c>
      <c r="G310" t="s">
        <v>368</v>
      </c>
    </row>
    <row r="311" spans="1:7" x14ac:dyDescent="0.2">
      <c r="A311" t="s">
        <v>316</v>
      </c>
      <c r="B311" s="7">
        <v>2.8450019212620617E-5</v>
      </c>
      <c r="D311" t="s">
        <v>77</v>
      </c>
      <c r="E311" t="s">
        <v>548</v>
      </c>
      <c r="F311" t="s">
        <v>165</v>
      </c>
      <c r="G311" t="s">
        <v>316</v>
      </c>
    </row>
    <row r="312" spans="1:7" x14ac:dyDescent="0.2">
      <c r="A312" t="s">
        <v>317</v>
      </c>
      <c r="B312" s="7">
        <v>5.7970258583709726E-6</v>
      </c>
      <c r="D312" t="s">
        <v>77</v>
      </c>
      <c r="E312" t="s">
        <v>548</v>
      </c>
      <c r="F312" t="s">
        <v>165</v>
      </c>
      <c r="G312" t="s">
        <v>317</v>
      </c>
    </row>
    <row r="313" spans="1:7" x14ac:dyDescent="0.2">
      <c r="A313" t="s">
        <v>318</v>
      </c>
      <c r="B313" s="7">
        <v>4.6732946919790611E-5</v>
      </c>
      <c r="D313" t="s">
        <v>77</v>
      </c>
      <c r="E313" t="s">
        <v>548</v>
      </c>
      <c r="F313" t="s">
        <v>165</v>
      </c>
      <c r="G313" t="s">
        <v>318</v>
      </c>
    </row>
    <row r="314" spans="1:7" x14ac:dyDescent="0.2">
      <c r="A314" t="s">
        <v>319</v>
      </c>
      <c r="B314" s="7">
        <v>1.9174777839227063E-5</v>
      </c>
      <c r="D314" t="s">
        <v>77</v>
      </c>
      <c r="E314" t="s">
        <v>548</v>
      </c>
      <c r="F314" t="s">
        <v>165</v>
      </c>
      <c r="G314" t="s">
        <v>319</v>
      </c>
    </row>
    <row r="315" spans="1:7" x14ac:dyDescent="0.2">
      <c r="A315" t="s">
        <v>320</v>
      </c>
      <c r="B315" s="7">
        <v>1.4358787126118871E-5</v>
      </c>
      <c r="D315" t="s">
        <v>77</v>
      </c>
      <c r="E315" t="s">
        <v>548</v>
      </c>
      <c r="F315" t="s">
        <v>165</v>
      </c>
      <c r="G315" t="s">
        <v>320</v>
      </c>
    </row>
    <row r="316" spans="1:7" x14ac:dyDescent="0.2">
      <c r="A316" t="s">
        <v>321</v>
      </c>
      <c r="B316" s="7">
        <v>1.016709150545063E-5</v>
      </c>
      <c r="D316" t="s">
        <v>77</v>
      </c>
      <c r="E316" t="s">
        <v>548</v>
      </c>
      <c r="F316" t="s">
        <v>165</v>
      </c>
      <c r="G316" t="s">
        <v>321</v>
      </c>
    </row>
    <row r="317" spans="1:7" x14ac:dyDescent="0.2">
      <c r="A317" t="s">
        <v>322</v>
      </c>
      <c r="B317" s="7">
        <v>6.599690977222338E-6</v>
      </c>
      <c r="D317" t="s">
        <v>77</v>
      </c>
      <c r="E317" t="s">
        <v>548</v>
      </c>
      <c r="F317" t="s">
        <v>165</v>
      </c>
      <c r="G317" t="s">
        <v>322</v>
      </c>
    </row>
    <row r="318" spans="1:7" x14ac:dyDescent="0.2">
      <c r="A318" t="s">
        <v>323</v>
      </c>
      <c r="B318" s="7">
        <v>6.5105059640166308E-5</v>
      </c>
      <c r="D318" t="s">
        <v>77</v>
      </c>
      <c r="E318" t="s">
        <v>548</v>
      </c>
      <c r="F318" t="s">
        <v>165</v>
      </c>
      <c r="G318" t="s">
        <v>323</v>
      </c>
    </row>
    <row r="319" spans="1:7" x14ac:dyDescent="0.2">
      <c r="A319" t="s">
        <v>324</v>
      </c>
      <c r="B319" s="7">
        <v>3.406867504458017E-5</v>
      </c>
      <c r="D319" t="s">
        <v>77</v>
      </c>
      <c r="E319" t="s">
        <v>548</v>
      </c>
      <c r="F319" t="s">
        <v>165</v>
      </c>
      <c r="G319" t="s">
        <v>324</v>
      </c>
    </row>
    <row r="320" spans="1:7" x14ac:dyDescent="0.2">
      <c r="A320" t="s">
        <v>325</v>
      </c>
      <c r="B320" s="7">
        <v>9.8103514526278003E-7</v>
      </c>
      <c r="D320" t="s">
        <v>77</v>
      </c>
      <c r="E320" t="s">
        <v>548</v>
      </c>
      <c r="F320" t="s">
        <v>165</v>
      </c>
      <c r="G320" t="s">
        <v>325</v>
      </c>
    </row>
    <row r="321" spans="1:7" x14ac:dyDescent="0.2">
      <c r="A321" t="s">
        <v>326</v>
      </c>
      <c r="B321" s="7">
        <v>9.7925144499866576E-5</v>
      </c>
      <c r="D321" t="s">
        <v>77</v>
      </c>
      <c r="E321" t="s">
        <v>548</v>
      </c>
      <c r="F321" t="s">
        <v>165</v>
      </c>
      <c r="G321" t="s">
        <v>326</v>
      </c>
    </row>
    <row r="322" spans="1:7" x14ac:dyDescent="0.2">
      <c r="A322" t="s">
        <v>327</v>
      </c>
      <c r="B322" s="7">
        <v>4.8427462170699053E-5</v>
      </c>
      <c r="D322" t="s">
        <v>77</v>
      </c>
      <c r="E322" t="s">
        <v>548</v>
      </c>
      <c r="F322" t="s">
        <v>165</v>
      </c>
      <c r="G322" t="s">
        <v>327</v>
      </c>
    </row>
    <row r="323" spans="1:7" x14ac:dyDescent="0.2">
      <c r="A323" t="s">
        <v>328</v>
      </c>
      <c r="B323" s="7">
        <v>2.0155812984489841E-5</v>
      </c>
      <c r="D323" t="s">
        <v>77</v>
      </c>
      <c r="E323" t="s">
        <v>548</v>
      </c>
      <c r="F323" t="s">
        <v>165</v>
      </c>
      <c r="G323" t="s">
        <v>328</v>
      </c>
    </row>
    <row r="324" spans="1:7" x14ac:dyDescent="0.2">
      <c r="A324" t="s">
        <v>329</v>
      </c>
      <c r="B324" s="7">
        <v>1.5161452244970237E-5</v>
      </c>
      <c r="D324" t="s">
        <v>77</v>
      </c>
      <c r="E324" t="s">
        <v>548</v>
      </c>
      <c r="F324" t="s">
        <v>165</v>
      </c>
      <c r="G324" t="s">
        <v>329</v>
      </c>
    </row>
    <row r="325" spans="1:7" x14ac:dyDescent="0.2">
      <c r="A325" t="s">
        <v>330</v>
      </c>
      <c r="B325" s="7">
        <v>6.6888759904280447E-6</v>
      </c>
      <c r="D325" t="s">
        <v>77</v>
      </c>
      <c r="E325" t="s">
        <v>548</v>
      </c>
      <c r="F325" t="s">
        <v>165</v>
      </c>
      <c r="G325" t="s">
        <v>330</v>
      </c>
    </row>
    <row r="326" spans="1:7" x14ac:dyDescent="0.2">
      <c r="A326" t="s">
        <v>331</v>
      </c>
      <c r="B326" s="7">
        <v>1.9620702905255601E-6</v>
      </c>
      <c r="D326" t="s">
        <v>77</v>
      </c>
      <c r="E326" t="s">
        <v>548</v>
      </c>
      <c r="F326" t="s">
        <v>165</v>
      </c>
      <c r="G326" t="s">
        <v>331</v>
      </c>
    </row>
    <row r="327" spans="1:7" x14ac:dyDescent="0.2">
      <c r="A327" t="s">
        <v>332</v>
      </c>
      <c r="B327" s="7">
        <v>5.4402858055481441E-6</v>
      </c>
      <c r="D327" t="s">
        <v>77</v>
      </c>
      <c r="E327" t="s">
        <v>548</v>
      </c>
      <c r="F327" t="s">
        <v>165</v>
      </c>
      <c r="G327" t="s">
        <v>332</v>
      </c>
    </row>
    <row r="328" spans="1:7" x14ac:dyDescent="0.2">
      <c r="A328" t="s">
        <v>335</v>
      </c>
      <c r="B328" s="7">
        <v>0</v>
      </c>
      <c r="D328" t="s">
        <v>77</v>
      </c>
      <c r="E328" t="s">
        <v>548</v>
      </c>
      <c r="F328" t="s">
        <v>165</v>
      </c>
      <c r="G328" t="s">
        <v>335</v>
      </c>
    </row>
    <row r="329" spans="1:7" x14ac:dyDescent="0.2">
      <c r="A329" t="s">
        <v>333</v>
      </c>
      <c r="B329" s="7">
        <v>1.6945152509084381E-6</v>
      </c>
      <c r="D329" t="s">
        <v>77</v>
      </c>
      <c r="E329" t="s">
        <v>548</v>
      </c>
      <c r="F329" t="s">
        <v>165</v>
      </c>
      <c r="G329" t="s">
        <v>333</v>
      </c>
    </row>
    <row r="330" spans="1:7" x14ac:dyDescent="0.2">
      <c r="A330" t="s">
        <v>334</v>
      </c>
      <c r="B330" s="7">
        <v>9.0076863337764332E-6</v>
      </c>
      <c r="D330" t="s">
        <v>77</v>
      </c>
      <c r="E330" t="s">
        <v>548</v>
      </c>
      <c r="F330" t="s">
        <v>165</v>
      </c>
      <c r="G330" t="s">
        <v>334</v>
      </c>
    </row>
    <row r="331" spans="1:7" x14ac:dyDescent="0.2">
      <c r="A331" t="s">
        <v>343</v>
      </c>
      <c r="B331" s="7">
        <v>6.7379213736163881E-10</v>
      </c>
      <c r="D331" t="s">
        <v>77</v>
      </c>
      <c r="E331" t="s">
        <v>548</v>
      </c>
      <c r="F331" t="s">
        <v>165</v>
      </c>
      <c r="G331" t="s">
        <v>336</v>
      </c>
    </row>
    <row r="332" spans="1:7" x14ac:dyDescent="0.2">
      <c r="A332" t="s">
        <v>337</v>
      </c>
      <c r="B332" s="7">
        <v>5.8085529082899891E-12</v>
      </c>
      <c r="D332" t="s">
        <v>77</v>
      </c>
      <c r="E332" t="s">
        <v>548</v>
      </c>
      <c r="F332" t="s">
        <v>165</v>
      </c>
      <c r="G332" t="s">
        <v>337</v>
      </c>
    </row>
    <row r="333" spans="1:7" x14ac:dyDescent="0.2">
      <c r="A333" t="s">
        <v>338</v>
      </c>
      <c r="B333" s="7">
        <v>3.8723686055266594E-12</v>
      </c>
      <c r="D333" t="s">
        <v>77</v>
      </c>
      <c r="E333" t="s">
        <v>548</v>
      </c>
      <c r="F333" t="s">
        <v>165</v>
      </c>
      <c r="G333" t="s">
        <v>338</v>
      </c>
    </row>
    <row r="334" spans="1:7" x14ac:dyDescent="0.2">
      <c r="A334" t="s">
        <v>339</v>
      </c>
      <c r="B334" s="7">
        <v>4.1821580939687923E-8</v>
      </c>
      <c r="D334" t="s">
        <v>77</v>
      </c>
      <c r="E334" t="s">
        <v>548</v>
      </c>
      <c r="F334" t="s">
        <v>165</v>
      </c>
      <c r="G334" t="s">
        <v>339</v>
      </c>
    </row>
    <row r="335" spans="1:7" x14ac:dyDescent="0.2">
      <c r="A335" t="s">
        <v>297</v>
      </c>
      <c r="B335" s="7">
        <v>8.1319740716059841E-10</v>
      </c>
      <c r="D335" t="s">
        <v>77</v>
      </c>
      <c r="E335" t="s">
        <v>548</v>
      </c>
      <c r="F335" t="s">
        <v>165</v>
      </c>
      <c r="G335" t="s">
        <v>297</v>
      </c>
    </row>
    <row r="336" spans="1:7" x14ac:dyDescent="0.2">
      <c r="A336" t="s">
        <v>299</v>
      </c>
      <c r="B336" s="7">
        <v>2.5170395935923289E-10</v>
      </c>
      <c r="D336" t="s">
        <v>77</v>
      </c>
      <c r="E336" t="s">
        <v>548</v>
      </c>
      <c r="F336" t="s">
        <v>165</v>
      </c>
      <c r="G336" t="s">
        <v>299</v>
      </c>
    </row>
    <row r="337" spans="1:8" x14ac:dyDescent="0.2">
      <c r="A337" t="s">
        <v>298</v>
      </c>
      <c r="B337" s="7">
        <v>3.0978948844213278E-10</v>
      </c>
      <c r="D337" t="s">
        <v>77</v>
      </c>
      <c r="E337" t="s">
        <v>548</v>
      </c>
      <c r="F337" t="s">
        <v>165</v>
      </c>
      <c r="G337" t="s">
        <v>298</v>
      </c>
    </row>
    <row r="338" spans="1:8" x14ac:dyDescent="0.2">
      <c r="A338" t="s">
        <v>342</v>
      </c>
      <c r="B338" s="7">
        <v>6.1957897688426542E-13</v>
      </c>
      <c r="D338" t="s">
        <v>77</v>
      </c>
      <c r="E338" t="s">
        <v>548</v>
      </c>
      <c r="F338" t="s">
        <v>165</v>
      </c>
      <c r="G338" t="s">
        <v>342</v>
      </c>
    </row>
    <row r="339" spans="1:8" x14ac:dyDescent="0.2">
      <c r="A339" t="s">
        <v>340</v>
      </c>
      <c r="B339" s="7">
        <v>1.684480343404097E-10</v>
      </c>
      <c r="D339" t="s">
        <v>77</v>
      </c>
      <c r="E339" t="s">
        <v>548</v>
      </c>
      <c r="F339" t="s">
        <v>165</v>
      </c>
      <c r="G339" t="s">
        <v>340</v>
      </c>
    </row>
    <row r="340" spans="1:8" x14ac:dyDescent="0.2">
      <c r="A340" t="s">
        <v>341</v>
      </c>
      <c r="B340" s="7">
        <v>2.0910790469843966E-10</v>
      </c>
      <c r="D340" t="s">
        <v>77</v>
      </c>
      <c r="E340" t="s">
        <v>548</v>
      </c>
      <c r="F340" t="s">
        <v>165</v>
      </c>
      <c r="G340" t="s">
        <v>341</v>
      </c>
    </row>
    <row r="341" spans="1:8" x14ac:dyDescent="0.2">
      <c r="A341" t="s">
        <v>157</v>
      </c>
      <c r="B341" s="7">
        <v>-5.4954664602228434E-6</v>
      </c>
      <c r="C341" t="s">
        <v>92</v>
      </c>
      <c r="D341" t="s">
        <v>77</v>
      </c>
      <c r="F341" t="s">
        <v>89</v>
      </c>
      <c r="G341" t="s">
        <v>29</v>
      </c>
      <c r="H341" t="s">
        <v>159</v>
      </c>
    </row>
    <row r="342" spans="1:8" x14ac:dyDescent="0.2">
      <c r="A342" t="s">
        <v>158</v>
      </c>
      <c r="B342" s="7">
        <v>-4.653127067963281E-6</v>
      </c>
      <c r="C342" t="s">
        <v>92</v>
      </c>
      <c r="D342" t="s">
        <v>77</v>
      </c>
      <c r="F342" t="s">
        <v>89</v>
      </c>
      <c r="G342" t="s">
        <v>30</v>
      </c>
      <c r="H342" t="s">
        <v>160</v>
      </c>
    </row>
    <row r="343" spans="1:8" x14ac:dyDescent="0.2">
      <c r="A343" t="s">
        <v>166</v>
      </c>
      <c r="B343" s="7">
        <v>-3.1933938505570598E-6</v>
      </c>
      <c r="C343" t="s">
        <v>92</v>
      </c>
      <c r="D343" t="s">
        <v>77</v>
      </c>
      <c r="F343" t="s">
        <v>89</v>
      </c>
      <c r="G343" t="s">
        <v>31</v>
      </c>
      <c r="H343" t="s">
        <v>161</v>
      </c>
    </row>
    <row r="344" spans="1:8" x14ac:dyDescent="0.2">
      <c r="B344" s="6"/>
    </row>
    <row r="347" spans="1:8" x14ac:dyDescent="0.2">
      <c r="B347" s="11"/>
    </row>
    <row r="348" spans="1:8" x14ac:dyDescent="0.2">
      <c r="B348" s="12"/>
    </row>
    <row r="349" spans="1:8" x14ac:dyDescent="0.2">
      <c r="B349" s="11"/>
    </row>
    <row r="351" spans="1:8" ht="16" x14ac:dyDescent="0.2">
      <c r="A351" s="10"/>
      <c r="B351" s="8"/>
    </row>
    <row r="374" spans="1:2" x14ac:dyDescent="0.2">
      <c r="B374" s="6"/>
    </row>
    <row r="376" spans="1:2" ht="16" x14ac:dyDescent="0.2">
      <c r="A376" s="10"/>
    </row>
    <row r="380" spans="1:2" x14ac:dyDescent="0.2">
      <c r="B380" s="11"/>
    </row>
    <row r="381" spans="1:2" x14ac:dyDescent="0.2">
      <c r="B381" s="12"/>
    </row>
    <row r="382" spans="1:2" x14ac:dyDescent="0.2">
      <c r="B382" s="11"/>
    </row>
    <row r="384" spans="1:2" ht="16" x14ac:dyDescent="0.2">
      <c r="A384" s="10"/>
      <c r="B384" s="8"/>
    </row>
    <row r="407" spans="1:2" x14ac:dyDescent="0.2">
      <c r="B407" s="6"/>
    </row>
    <row r="409" spans="1:2" ht="16" x14ac:dyDescent="0.2">
      <c r="A409" s="10"/>
    </row>
    <row r="413" spans="1:2" x14ac:dyDescent="0.2">
      <c r="B413" s="11"/>
    </row>
    <row r="414" spans="1:2" x14ac:dyDescent="0.2">
      <c r="B414" s="12"/>
    </row>
    <row r="415" spans="1:2" x14ac:dyDescent="0.2">
      <c r="B415" s="1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71"/>
  <sheetViews>
    <sheetView topLeftCell="A39" workbookViewId="0">
      <selection activeCell="G64" sqref="G64"/>
    </sheetView>
  </sheetViews>
  <sheetFormatPr baseColWidth="10" defaultColWidth="8.83203125" defaultRowHeight="15" x14ac:dyDescent="0.2"/>
  <cols>
    <col min="1" max="1" width="44.5" customWidth="1"/>
    <col min="2" max="2" width="15.6640625" bestFit="1" customWidth="1"/>
    <col min="7" max="7" width="14" bestFit="1" customWidth="1"/>
  </cols>
  <sheetData>
    <row r="1" spans="1:2" ht="16" x14ac:dyDescent="0.2">
      <c r="A1" s="10" t="s">
        <v>71</v>
      </c>
      <c r="B1" s="8" t="s">
        <v>33</v>
      </c>
    </row>
    <row r="2" spans="1:2" x14ac:dyDescent="0.2">
      <c r="A2" t="s">
        <v>72</v>
      </c>
      <c r="B2" t="s">
        <v>37</v>
      </c>
    </row>
    <row r="3" spans="1:2" x14ac:dyDescent="0.2">
      <c r="A3" t="s">
        <v>86</v>
      </c>
      <c r="B3" t="s">
        <v>33</v>
      </c>
    </row>
    <row r="4" spans="1:2" x14ac:dyDescent="0.2">
      <c r="A4" t="s">
        <v>87</v>
      </c>
    </row>
    <row r="5" spans="1:2" x14ac:dyDescent="0.2">
      <c r="A5" t="s">
        <v>88</v>
      </c>
      <c r="B5">
        <v>2020</v>
      </c>
    </row>
    <row r="6" spans="1:2" x14ac:dyDescent="0.2">
      <c r="A6" t="s">
        <v>124</v>
      </c>
      <c r="B6" t="s">
        <v>168</v>
      </c>
    </row>
    <row r="7" spans="1:2" x14ac:dyDescent="0.2">
      <c r="A7" t="s">
        <v>73</v>
      </c>
      <c r="B7" t="s">
        <v>33</v>
      </c>
    </row>
    <row r="8" spans="1:2" x14ac:dyDescent="0.2">
      <c r="A8" t="s">
        <v>74</v>
      </c>
      <c r="B8" t="s">
        <v>75</v>
      </c>
    </row>
    <row r="9" spans="1:2" x14ac:dyDescent="0.2">
      <c r="A9" t="s">
        <v>76</v>
      </c>
      <c r="B9" t="s">
        <v>76</v>
      </c>
    </row>
    <row r="10" spans="1:2" x14ac:dyDescent="0.2">
      <c r="A10" t="s">
        <v>78</v>
      </c>
      <c r="B10" t="s">
        <v>774</v>
      </c>
    </row>
    <row r="11" spans="1:2" x14ac:dyDescent="0.2">
      <c r="A11" t="s">
        <v>125</v>
      </c>
      <c r="B11">
        <v>15000</v>
      </c>
    </row>
    <row r="12" spans="1:2" x14ac:dyDescent="0.2">
      <c r="A12" t="s">
        <v>126</v>
      </c>
      <c r="B12">
        <v>1</v>
      </c>
    </row>
    <row r="13" spans="1:2" x14ac:dyDescent="0.2">
      <c r="A13" t="s">
        <v>127</v>
      </c>
      <c r="B13">
        <v>1</v>
      </c>
    </row>
    <row r="14" spans="1:2" x14ac:dyDescent="0.2">
      <c r="A14" t="s">
        <v>128</v>
      </c>
      <c r="B14">
        <v>0</v>
      </c>
    </row>
    <row r="15" spans="1:2" x14ac:dyDescent="0.2">
      <c r="A15" t="s">
        <v>129</v>
      </c>
      <c r="B15">
        <v>1000</v>
      </c>
    </row>
    <row r="16" spans="1:2" x14ac:dyDescent="0.2">
      <c r="A16" t="s">
        <v>130</v>
      </c>
      <c r="B16">
        <v>12</v>
      </c>
    </row>
    <row r="17" spans="1:8" x14ac:dyDescent="0.2">
      <c r="A17" t="s">
        <v>131</v>
      </c>
      <c r="B17">
        <v>0</v>
      </c>
    </row>
    <row r="18" spans="1:8" x14ac:dyDescent="0.2">
      <c r="A18" t="s">
        <v>132</v>
      </c>
      <c r="B18" t="s">
        <v>85</v>
      </c>
    </row>
    <row r="19" spans="1:8" x14ac:dyDescent="0.2">
      <c r="A19" t="s">
        <v>133</v>
      </c>
      <c r="B19">
        <v>0</v>
      </c>
    </row>
    <row r="20" spans="1:8" x14ac:dyDescent="0.2">
      <c r="A20" t="s">
        <v>136</v>
      </c>
      <c r="B20">
        <v>0</v>
      </c>
    </row>
    <row r="21" spans="1:8" x14ac:dyDescent="0.2">
      <c r="A21" t="s">
        <v>137</v>
      </c>
      <c r="B21">
        <v>0</v>
      </c>
    </row>
    <row r="22" spans="1:8" x14ac:dyDescent="0.2">
      <c r="A22" t="s">
        <v>134</v>
      </c>
      <c r="B22">
        <v>0</v>
      </c>
    </row>
    <row r="23" spans="1:8" x14ac:dyDescent="0.2">
      <c r="A23" t="s">
        <v>135</v>
      </c>
      <c r="B23" t="s">
        <v>138</v>
      </c>
    </row>
    <row r="24" spans="1:8" x14ac:dyDescent="0.2">
      <c r="A24" t="s">
        <v>796</v>
      </c>
      <c r="B24" s="6">
        <v>0</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813</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33</v>
      </c>
      <c r="B31">
        <v>1</v>
      </c>
      <c r="C31" t="s">
        <v>37</v>
      </c>
      <c r="D31" t="s">
        <v>76</v>
      </c>
      <c r="F31" t="s">
        <v>84</v>
      </c>
      <c r="G31" t="s">
        <v>85</v>
      </c>
      <c r="H31" t="s">
        <v>33</v>
      </c>
    </row>
    <row r="32" spans="1:8" x14ac:dyDescent="0.2">
      <c r="A32" t="s">
        <v>91</v>
      </c>
      <c r="B32" s="4">
        <v>0.70588235294117641</v>
      </c>
      <c r="C32" t="s">
        <v>92</v>
      </c>
      <c r="D32" t="s">
        <v>76</v>
      </c>
      <c r="F32" t="s">
        <v>89</v>
      </c>
      <c r="G32" t="s">
        <v>15</v>
      </c>
      <c r="H32" t="s">
        <v>93</v>
      </c>
    </row>
    <row r="33" spans="1:8" x14ac:dyDescent="0.2">
      <c r="A33" t="s">
        <v>796</v>
      </c>
      <c r="B33" s="11">
        <v>0</v>
      </c>
      <c r="C33" t="s">
        <v>95</v>
      </c>
      <c r="D33" t="s">
        <v>77</v>
      </c>
      <c r="F33" t="s">
        <v>89</v>
      </c>
      <c r="G33" t="s">
        <v>14</v>
      </c>
      <c r="H33" t="s">
        <v>796</v>
      </c>
    </row>
    <row r="34" spans="1:8" x14ac:dyDescent="0.2">
      <c r="A34" s="13" t="s">
        <v>549</v>
      </c>
      <c r="B34">
        <v>12</v>
      </c>
      <c r="C34" t="s">
        <v>92</v>
      </c>
      <c r="D34" t="s">
        <v>193</v>
      </c>
      <c r="F34" t="s">
        <v>89</v>
      </c>
      <c r="H34" s="13" t="s">
        <v>550</v>
      </c>
    </row>
    <row r="35" spans="1:8" x14ac:dyDescent="0.2">
      <c r="A35" s="13" t="s">
        <v>216</v>
      </c>
      <c r="B35" s="2">
        <v>190.8</v>
      </c>
      <c r="C35" t="s">
        <v>95</v>
      </c>
      <c r="D35" t="s">
        <v>193</v>
      </c>
      <c r="F35" t="s">
        <v>89</v>
      </c>
      <c r="H35" s="13" t="s">
        <v>216</v>
      </c>
    </row>
    <row r="38" spans="1:8" ht="16" x14ac:dyDescent="0.2">
      <c r="A38" s="10" t="s">
        <v>71</v>
      </c>
      <c r="B38" s="8" t="s">
        <v>814</v>
      </c>
    </row>
    <row r="39" spans="1:8" x14ac:dyDescent="0.2">
      <c r="A39" t="s">
        <v>72</v>
      </c>
      <c r="B39" t="s">
        <v>37</v>
      </c>
    </row>
    <row r="40" spans="1:8" x14ac:dyDescent="0.2">
      <c r="A40" t="s">
        <v>86</v>
      </c>
      <c r="B40" t="s">
        <v>33</v>
      </c>
    </row>
    <row r="41" spans="1:8" x14ac:dyDescent="0.2">
      <c r="A41" t="s">
        <v>87</v>
      </c>
    </row>
    <row r="42" spans="1:8" x14ac:dyDescent="0.2">
      <c r="A42" t="s">
        <v>88</v>
      </c>
      <c r="B42">
        <v>2020</v>
      </c>
    </row>
    <row r="43" spans="1:8" x14ac:dyDescent="0.2">
      <c r="A43" t="s">
        <v>124</v>
      </c>
      <c r="B43" t="s">
        <v>168</v>
      </c>
    </row>
    <row r="44" spans="1:8" x14ac:dyDescent="0.2">
      <c r="A44" t="s">
        <v>73</v>
      </c>
      <c r="B44" t="s">
        <v>814</v>
      </c>
    </row>
    <row r="45" spans="1:8" x14ac:dyDescent="0.2">
      <c r="A45" t="s">
        <v>74</v>
      </c>
      <c r="B45" t="s">
        <v>75</v>
      </c>
    </row>
    <row r="46" spans="1:8" x14ac:dyDescent="0.2">
      <c r="A46" t="s">
        <v>76</v>
      </c>
      <c r="B46" t="s">
        <v>164</v>
      </c>
    </row>
    <row r="47" spans="1:8" x14ac:dyDescent="0.2">
      <c r="A47" t="s">
        <v>78</v>
      </c>
      <c r="B47" t="s">
        <v>774</v>
      </c>
    </row>
    <row r="48" spans="1:8" x14ac:dyDescent="0.2">
      <c r="A48" t="s">
        <v>125</v>
      </c>
      <c r="B48">
        <v>15000</v>
      </c>
    </row>
    <row r="49" spans="1:8" x14ac:dyDescent="0.2">
      <c r="A49" t="s">
        <v>126</v>
      </c>
      <c r="B49">
        <v>1</v>
      </c>
    </row>
    <row r="50" spans="1:8" x14ac:dyDescent="0.2">
      <c r="A50" t="s">
        <v>127</v>
      </c>
      <c r="B50">
        <v>1</v>
      </c>
    </row>
    <row r="51" spans="1:8" x14ac:dyDescent="0.2">
      <c r="A51" t="s">
        <v>128</v>
      </c>
      <c r="B51">
        <v>0</v>
      </c>
    </row>
    <row r="52" spans="1:8" x14ac:dyDescent="0.2">
      <c r="A52" t="s">
        <v>129</v>
      </c>
      <c r="B52">
        <v>1000</v>
      </c>
    </row>
    <row r="53" spans="1:8" x14ac:dyDescent="0.2">
      <c r="A53" t="s">
        <v>130</v>
      </c>
      <c r="B53">
        <v>12</v>
      </c>
    </row>
    <row r="54" spans="1:8" x14ac:dyDescent="0.2">
      <c r="A54" t="s">
        <v>131</v>
      </c>
      <c r="B54">
        <v>0</v>
      </c>
    </row>
    <row r="55" spans="1:8" x14ac:dyDescent="0.2">
      <c r="A55" t="s">
        <v>132</v>
      </c>
      <c r="B55" t="s">
        <v>85</v>
      </c>
    </row>
    <row r="56" spans="1:8" x14ac:dyDescent="0.2">
      <c r="A56" t="s">
        <v>133</v>
      </c>
      <c r="B56">
        <v>0</v>
      </c>
    </row>
    <row r="57" spans="1:8" x14ac:dyDescent="0.2">
      <c r="A57" t="s">
        <v>136</v>
      </c>
      <c r="B57">
        <v>0</v>
      </c>
    </row>
    <row r="58" spans="1:8" x14ac:dyDescent="0.2">
      <c r="A58" t="s">
        <v>137</v>
      </c>
      <c r="B58">
        <v>0</v>
      </c>
    </row>
    <row r="59" spans="1:8" x14ac:dyDescent="0.2">
      <c r="A59" t="s">
        <v>134</v>
      </c>
      <c r="B59">
        <v>0</v>
      </c>
    </row>
    <row r="60" spans="1:8" x14ac:dyDescent="0.2">
      <c r="A60" t="s">
        <v>135</v>
      </c>
      <c r="B60" t="s">
        <v>138</v>
      </c>
    </row>
    <row r="61" spans="1:8" x14ac:dyDescent="0.2">
      <c r="A61" t="s">
        <v>796</v>
      </c>
      <c r="B61" s="6">
        <v>0</v>
      </c>
    </row>
    <row r="62" spans="1:8" x14ac:dyDescent="0.2">
      <c r="A62" t="s">
        <v>83</v>
      </c>
      <c r="B62" t="s">
        <v>815</v>
      </c>
    </row>
    <row r="63" spans="1:8" ht="16" x14ac:dyDescent="0.2">
      <c r="A63" s="10" t="s">
        <v>79</v>
      </c>
    </row>
    <row r="64" spans="1:8" x14ac:dyDescent="0.2">
      <c r="A64" t="s">
        <v>80</v>
      </c>
      <c r="B64" t="s">
        <v>81</v>
      </c>
      <c r="C64" t="s">
        <v>72</v>
      </c>
      <c r="D64" t="s">
        <v>76</v>
      </c>
      <c r="E64" t="s">
        <v>82</v>
      </c>
      <c r="F64" t="s">
        <v>74</v>
      </c>
      <c r="G64" t="s">
        <v>83</v>
      </c>
      <c r="H64" t="s">
        <v>73</v>
      </c>
    </row>
    <row r="65" spans="1:8" x14ac:dyDescent="0.2">
      <c r="A65" t="s">
        <v>814</v>
      </c>
      <c r="B65">
        <v>1</v>
      </c>
      <c r="C65" t="s">
        <v>37</v>
      </c>
      <c r="D65" t="s">
        <v>164</v>
      </c>
      <c r="F65" t="s">
        <v>84</v>
      </c>
      <c r="G65" t="s">
        <v>85</v>
      </c>
      <c r="H65" t="s">
        <v>814</v>
      </c>
    </row>
    <row r="66" spans="1:8" x14ac:dyDescent="0.2">
      <c r="A66" t="s">
        <v>33</v>
      </c>
      <c r="B66" s="7">
        <v>6.666666666666667E-5</v>
      </c>
      <c r="C66" t="s">
        <v>37</v>
      </c>
      <c r="D66" t="s">
        <v>76</v>
      </c>
      <c r="F66" t="s">
        <v>89</v>
      </c>
      <c r="H66" t="s">
        <v>33</v>
      </c>
    </row>
    <row r="67" spans="1:8" x14ac:dyDescent="0.2">
      <c r="A67" t="s">
        <v>107</v>
      </c>
      <c r="B67" s="7">
        <v>4.7256000000000003E-5</v>
      </c>
      <c r="C67" t="s">
        <v>37</v>
      </c>
      <c r="D67" t="s">
        <v>105</v>
      </c>
      <c r="F67" t="s">
        <v>89</v>
      </c>
      <c r="G67" t="s">
        <v>103</v>
      </c>
      <c r="H67" t="s">
        <v>108</v>
      </c>
    </row>
    <row r="68" spans="1:8" x14ac:dyDescent="0.2">
      <c r="A68" t="s">
        <v>117</v>
      </c>
      <c r="B68" s="7">
        <v>6.666666666666667E-5</v>
      </c>
      <c r="C68" t="s">
        <v>37</v>
      </c>
      <c r="D68" t="s">
        <v>76</v>
      </c>
      <c r="F68" t="s">
        <v>89</v>
      </c>
      <c r="G68" t="s">
        <v>116</v>
      </c>
      <c r="H68" t="s">
        <v>117</v>
      </c>
    </row>
    <row r="69" spans="1:8" x14ac:dyDescent="0.2">
      <c r="A69" t="s">
        <v>157</v>
      </c>
      <c r="B69" s="7">
        <v>-3.8180456867451752E-6</v>
      </c>
      <c r="C69" t="s">
        <v>92</v>
      </c>
      <c r="D69" t="s">
        <v>77</v>
      </c>
      <c r="F69" t="s">
        <v>89</v>
      </c>
      <c r="G69" t="s">
        <v>29</v>
      </c>
      <c r="H69" t="s">
        <v>159</v>
      </c>
    </row>
    <row r="70" spans="1:8" x14ac:dyDescent="0.2">
      <c r="A70" t="s">
        <v>158</v>
      </c>
      <c r="B70" s="7">
        <v>-3.6981099122289053E-6</v>
      </c>
      <c r="C70" t="s">
        <v>92</v>
      </c>
      <c r="D70" t="s">
        <v>77</v>
      </c>
      <c r="F70" t="s">
        <v>89</v>
      </c>
      <c r="G70" t="s">
        <v>30</v>
      </c>
      <c r="H70" t="s">
        <v>160</v>
      </c>
    </row>
    <row r="71" spans="1:8" x14ac:dyDescent="0.2">
      <c r="A71" t="s">
        <v>166</v>
      </c>
      <c r="B71" s="7">
        <v>-3.470493115296593E-6</v>
      </c>
      <c r="C71" t="s">
        <v>92</v>
      </c>
      <c r="D71" t="s">
        <v>77</v>
      </c>
      <c r="F71" t="s">
        <v>89</v>
      </c>
      <c r="G71" t="s">
        <v>31</v>
      </c>
      <c r="H71" t="s">
        <v>161</v>
      </c>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81"/>
  <sheetViews>
    <sheetView topLeftCell="A48" workbookViewId="0">
      <selection activeCell="G73" sqref="G73"/>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966</v>
      </c>
    </row>
    <row r="2" spans="1:2" x14ac:dyDescent="0.2">
      <c r="A2" t="s">
        <v>72</v>
      </c>
      <c r="B2" t="s">
        <v>37</v>
      </c>
    </row>
    <row r="3" spans="1:2" x14ac:dyDescent="0.2">
      <c r="A3" t="s">
        <v>86</v>
      </c>
      <c r="B3" t="s">
        <v>264</v>
      </c>
    </row>
    <row r="4" spans="1:2" x14ac:dyDescent="0.2">
      <c r="A4" t="s">
        <v>87</v>
      </c>
    </row>
    <row r="5" spans="1:2" x14ac:dyDescent="0.2">
      <c r="A5" t="s">
        <v>88</v>
      </c>
      <c r="B5">
        <v>2020</v>
      </c>
    </row>
    <row r="6" spans="1:2" x14ac:dyDescent="0.2">
      <c r="A6" t="s">
        <v>124</v>
      </c>
      <c r="B6" t="s">
        <v>440</v>
      </c>
    </row>
    <row r="7" spans="1:2" x14ac:dyDescent="0.2">
      <c r="A7" t="s">
        <v>73</v>
      </c>
      <c r="B7" t="s">
        <v>264</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23.25</v>
      </c>
    </row>
    <row r="17" spans="1:8" x14ac:dyDescent="0.2">
      <c r="A17" t="s">
        <v>131</v>
      </c>
      <c r="B17">
        <v>0.25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58.368978251949123</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811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966</v>
      </c>
      <c r="B33">
        <v>1</v>
      </c>
      <c r="C33" t="s">
        <v>37</v>
      </c>
      <c r="D33" t="s">
        <v>76</v>
      </c>
      <c r="F33" t="s">
        <v>84</v>
      </c>
      <c r="G33" t="s">
        <v>85</v>
      </c>
      <c r="H33" t="s">
        <v>264</v>
      </c>
    </row>
    <row r="34" spans="1:8" x14ac:dyDescent="0.2">
      <c r="A34" t="s">
        <v>249</v>
      </c>
      <c r="B34" s="4">
        <v>0.94117647058823528</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984</v>
      </c>
      <c r="B37" s="3">
        <v>0.5</v>
      </c>
      <c r="C37" t="s">
        <v>95</v>
      </c>
      <c r="D37" t="s">
        <v>96</v>
      </c>
      <c r="F37" t="s">
        <v>89</v>
      </c>
      <c r="H37" t="s">
        <v>985</v>
      </c>
    </row>
    <row r="38" spans="1:8" x14ac:dyDescent="0.2">
      <c r="A38" t="s">
        <v>186</v>
      </c>
      <c r="B38" s="4">
        <v>1</v>
      </c>
      <c r="C38" t="s">
        <v>95</v>
      </c>
      <c r="D38" t="s">
        <v>76</v>
      </c>
      <c r="F38" t="s">
        <v>89</v>
      </c>
      <c r="G38" t="s">
        <v>52</v>
      </c>
      <c r="H38" t="s">
        <v>186</v>
      </c>
    </row>
    <row r="39" spans="1:8" x14ac:dyDescent="0.2">
      <c r="A39" t="s">
        <v>147</v>
      </c>
      <c r="B39" s="4">
        <v>-0.66666666666666663</v>
      </c>
      <c r="C39" t="s">
        <v>37</v>
      </c>
      <c r="D39" t="s">
        <v>76</v>
      </c>
      <c r="F39" t="s">
        <v>89</v>
      </c>
      <c r="G39" t="s">
        <v>142</v>
      </c>
      <c r="H39" t="s">
        <v>148</v>
      </c>
    </row>
    <row r="40" spans="1:8" x14ac:dyDescent="0.2">
      <c r="A40" t="s">
        <v>147</v>
      </c>
      <c r="B40" s="4">
        <v>-0.16666666666666666</v>
      </c>
      <c r="C40" t="s">
        <v>37</v>
      </c>
      <c r="D40" t="s">
        <v>76</v>
      </c>
      <c r="F40" t="s">
        <v>89</v>
      </c>
      <c r="G40" t="s">
        <v>143</v>
      </c>
      <c r="H40" t="s">
        <v>148</v>
      </c>
    </row>
    <row r="41" spans="1:8" x14ac:dyDescent="0.2">
      <c r="A41" s="13" t="s">
        <v>549</v>
      </c>
      <c r="B41">
        <v>23.25</v>
      </c>
      <c r="C41" t="s">
        <v>92</v>
      </c>
      <c r="D41" t="s">
        <v>193</v>
      </c>
      <c r="F41" t="s">
        <v>89</v>
      </c>
      <c r="H41" s="13" t="s">
        <v>550</v>
      </c>
    </row>
    <row r="42" spans="1:8" x14ac:dyDescent="0.2">
      <c r="A42" s="13" t="s">
        <v>216</v>
      </c>
      <c r="B42" s="2">
        <v>369.67500000000001</v>
      </c>
      <c r="C42" t="s">
        <v>95</v>
      </c>
      <c r="D42" t="s">
        <v>193</v>
      </c>
      <c r="F42" t="s">
        <v>89</v>
      </c>
      <c r="H42" s="13" t="s">
        <v>216</v>
      </c>
    </row>
    <row r="43" spans="1:8" x14ac:dyDescent="0.2">
      <c r="B43" s="11"/>
    </row>
    <row r="45" spans="1:8" ht="16" x14ac:dyDescent="0.2">
      <c r="A45" s="10" t="s">
        <v>71</v>
      </c>
      <c r="B45" s="8" t="s">
        <v>967</v>
      </c>
    </row>
    <row r="46" spans="1:8" x14ac:dyDescent="0.2">
      <c r="A46" t="s">
        <v>72</v>
      </c>
      <c r="B46" t="s">
        <v>37</v>
      </c>
    </row>
    <row r="47" spans="1:8" x14ac:dyDescent="0.2">
      <c r="A47" t="s">
        <v>86</v>
      </c>
      <c r="B47" t="s">
        <v>264</v>
      </c>
    </row>
    <row r="48" spans="1:8" x14ac:dyDescent="0.2">
      <c r="A48" t="s">
        <v>87</v>
      </c>
    </row>
    <row r="49" spans="1:2" x14ac:dyDescent="0.2">
      <c r="A49" t="s">
        <v>88</v>
      </c>
      <c r="B49">
        <v>2020</v>
      </c>
    </row>
    <row r="50" spans="1:2" x14ac:dyDescent="0.2">
      <c r="A50" t="s">
        <v>124</v>
      </c>
      <c r="B50" t="s">
        <v>440</v>
      </c>
    </row>
    <row r="51" spans="1:2" x14ac:dyDescent="0.2">
      <c r="A51" t="s">
        <v>73</v>
      </c>
      <c r="B51" t="s">
        <v>810</v>
      </c>
    </row>
    <row r="52" spans="1:2" x14ac:dyDescent="0.2">
      <c r="A52" t="s">
        <v>74</v>
      </c>
      <c r="B52" t="s">
        <v>75</v>
      </c>
    </row>
    <row r="53" spans="1:2" x14ac:dyDescent="0.2">
      <c r="A53" t="s">
        <v>76</v>
      </c>
      <c r="B53" t="s">
        <v>164</v>
      </c>
    </row>
    <row r="54" spans="1:2" x14ac:dyDescent="0.2">
      <c r="A54" t="s">
        <v>78</v>
      </c>
      <c r="B54" t="s">
        <v>774</v>
      </c>
    </row>
    <row r="55" spans="1:2" x14ac:dyDescent="0.2">
      <c r="A55" t="s">
        <v>125</v>
      </c>
      <c r="B55">
        <v>20000</v>
      </c>
    </row>
    <row r="56" spans="1:2" x14ac:dyDescent="0.2">
      <c r="A56" t="s">
        <v>126</v>
      </c>
      <c r="B56">
        <v>1</v>
      </c>
    </row>
    <row r="57" spans="1:2" x14ac:dyDescent="0.2">
      <c r="A57" t="s">
        <v>127</v>
      </c>
      <c r="B57">
        <v>1.3333333333333333</v>
      </c>
    </row>
    <row r="58" spans="1:2" x14ac:dyDescent="0.2">
      <c r="A58" t="s">
        <v>128</v>
      </c>
      <c r="B58">
        <v>1</v>
      </c>
    </row>
    <row r="59" spans="1:2" x14ac:dyDescent="0.2">
      <c r="A59" t="s">
        <v>129</v>
      </c>
      <c r="B59">
        <v>2000</v>
      </c>
    </row>
    <row r="60" spans="1:2" x14ac:dyDescent="0.2">
      <c r="A60" t="s">
        <v>130</v>
      </c>
      <c r="B60">
        <v>23.25</v>
      </c>
    </row>
    <row r="61" spans="1:2" x14ac:dyDescent="0.2">
      <c r="A61" t="s">
        <v>131</v>
      </c>
      <c r="B61">
        <v>0.25</v>
      </c>
    </row>
    <row r="62" spans="1:2" x14ac:dyDescent="0.2">
      <c r="A62" t="s">
        <v>427</v>
      </c>
      <c r="B62" s="19" t="s">
        <v>43</v>
      </c>
    </row>
    <row r="63" spans="1:2" x14ac:dyDescent="0.2">
      <c r="A63" t="s">
        <v>132</v>
      </c>
      <c r="B63">
        <v>3.25</v>
      </c>
    </row>
    <row r="64" spans="1:2" x14ac:dyDescent="0.2">
      <c r="A64" t="s">
        <v>133</v>
      </c>
      <c r="B64">
        <v>0.5</v>
      </c>
    </row>
    <row r="65" spans="1:8" x14ac:dyDescent="0.2">
      <c r="A65" t="s">
        <v>363</v>
      </c>
      <c r="B65">
        <v>0.4</v>
      </c>
    </row>
    <row r="66" spans="1:8" x14ac:dyDescent="0.2">
      <c r="A66" t="s">
        <v>136</v>
      </c>
      <c r="B66">
        <v>0</v>
      </c>
    </row>
    <row r="67" spans="1:8" x14ac:dyDescent="0.2">
      <c r="A67" t="s">
        <v>137</v>
      </c>
      <c r="B67">
        <v>0</v>
      </c>
    </row>
    <row r="68" spans="1:8" x14ac:dyDescent="0.2">
      <c r="A68" t="s">
        <v>134</v>
      </c>
      <c r="B68" s="2">
        <v>58.368978251949123</v>
      </c>
    </row>
    <row r="69" spans="1:8" x14ac:dyDescent="0.2">
      <c r="A69" t="s">
        <v>135</v>
      </c>
      <c r="B69" t="s">
        <v>138</v>
      </c>
    </row>
    <row r="70" spans="1:8" x14ac:dyDescent="0.2">
      <c r="A70" t="s">
        <v>796</v>
      </c>
      <c r="B70" s="6">
        <v>0</v>
      </c>
    </row>
    <row r="71" spans="1:8" x14ac:dyDescent="0.2">
      <c r="A71" t="s">
        <v>83</v>
      </c>
      <c r="B71" t="s">
        <v>812</v>
      </c>
    </row>
    <row r="72" spans="1:8" ht="16" x14ac:dyDescent="0.2">
      <c r="A72" s="10" t="s">
        <v>79</v>
      </c>
    </row>
    <row r="73" spans="1:8" x14ac:dyDescent="0.2">
      <c r="A73" t="s">
        <v>80</v>
      </c>
      <c r="B73" t="s">
        <v>81</v>
      </c>
      <c r="C73" t="s">
        <v>72</v>
      </c>
      <c r="D73" t="s">
        <v>76</v>
      </c>
      <c r="E73" t="s">
        <v>82</v>
      </c>
      <c r="F73" t="s">
        <v>74</v>
      </c>
      <c r="G73" t="s">
        <v>83</v>
      </c>
      <c r="H73" t="s">
        <v>73</v>
      </c>
    </row>
    <row r="74" spans="1:8" x14ac:dyDescent="0.2">
      <c r="A74" t="s">
        <v>967</v>
      </c>
      <c r="B74">
        <v>1</v>
      </c>
      <c r="C74" t="s">
        <v>37</v>
      </c>
      <c r="D74" t="s">
        <v>164</v>
      </c>
      <c r="F74" t="s">
        <v>84</v>
      </c>
      <c r="G74" t="s">
        <v>85</v>
      </c>
      <c r="H74" t="s">
        <v>810</v>
      </c>
    </row>
    <row r="75" spans="1:8" x14ac:dyDescent="0.2">
      <c r="A75" t="s">
        <v>966</v>
      </c>
      <c r="B75" s="7">
        <v>5.0000000000000002E-5</v>
      </c>
      <c r="C75" t="s">
        <v>37</v>
      </c>
      <c r="D75" t="s">
        <v>76</v>
      </c>
      <c r="F75" t="s">
        <v>89</v>
      </c>
      <c r="H75" t="s">
        <v>264</v>
      </c>
    </row>
    <row r="76" spans="1:8" x14ac:dyDescent="0.2">
      <c r="A76" t="s">
        <v>107</v>
      </c>
      <c r="B76" s="7">
        <v>5.3297249999999999E-5</v>
      </c>
      <c r="C76" t="s">
        <v>37</v>
      </c>
      <c r="D76" t="s">
        <v>105</v>
      </c>
      <c r="F76" t="s">
        <v>89</v>
      </c>
      <c r="G76" t="s">
        <v>103</v>
      </c>
      <c r="H76" t="s">
        <v>108</v>
      </c>
    </row>
    <row r="77" spans="1:8" x14ac:dyDescent="0.2">
      <c r="A77" t="s">
        <v>98</v>
      </c>
      <c r="B77" s="7">
        <v>7.5382508513468297E-3</v>
      </c>
      <c r="C77" t="s">
        <v>37</v>
      </c>
      <c r="D77" t="s">
        <v>96</v>
      </c>
      <c r="F77" t="s">
        <v>89</v>
      </c>
      <c r="G77" t="s">
        <v>28</v>
      </c>
      <c r="H77" t="s">
        <v>100</v>
      </c>
    </row>
    <row r="78" spans="1:8" x14ac:dyDescent="0.2">
      <c r="A78" t="s">
        <v>250</v>
      </c>
      <c r="B78" s="7">
        <v>6.666666666666667E-5</v>
      </c>
      <c r="C78" t="s">
        <v>37</v>
      </c>
      <c r="D78" t="s">
        <v>76</v>
      </c>
      <c r="F78" t="s">
        <v>89</v>
      </c>
      <c r="G78" t="s">
        <v>116</v>
      </c>
      <c r="H78" t="s">
        <v>250</v>
      </c>
    </row>
    <row r="79" spans="1:8" x14ac:dyDescent="0.2">
      <c r="A79" t="s">
        <v>157</v>
      </c>
      <c r="B79" s="7">
        <v>-4.1946004585487268E-6</v>
      </c>
      <c r="C79" t="s">
        <v>92</v>
      </c>
      <c r="D79" t="s">
        <v>77</v>
      </c>
      <c r="F79" t="s">
        <v>89</v>
      </c>
      <c r="G79" t="s">
        <v>29</v>
      </c>
      <c r="H79" t="s">
        <v>159</v>
      </c>
    </row>
    <row r="80" spans="1:8" x14ac:dyDescent="0.2">
      <c r="A80" t="s">
        <v>158</v>
      </c>
      <c r="B80" s="7">
        <v>-4.1336328964445005E-6</v>
      </c>
      <c r="C80" t="s">
        <v>92</v>
      </c>
      <c r="D80" t="s">
        <v>77</v>
      </c>
      <c r="F80" t="s">
        <v>89</v>
      </c>
      <c r="G80" t="s">
        <v>30</v>
      </c>
      <c r="H80" t="s">
        <v>160</v>
      </c>
    </row>
    <row r="81" spans="1:8" x14ac:dyDescent="0.2">
      <c r="A81" t="s">
        <v>166</v>
      </c>
      <c r="B81" s="7">
        <v>-3.8410985523805933E-6</v>
      </c>
      <c r="C81" t="s">
        <v>92</v>
      </c>
      <c r="D81" t="s">
        <v>77</v>
      </c>
      <c r="F81" t="s">
        <v>89</v>
      </c>
      <c r="G81" t="s">
        <v>31</v>
      </c>
      <c r="H81" t="s">
        <v>161</v>
      </c>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81"/>
  <sheetViews>
    <sheetView topLeftCell="A48" workbookViewId="0">
      <selection activeCell="G73" sqref="G73"/>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968</v>
      </c>
    </row>
    <row r="2" spans="1:2" x14ac:dyDescent="0.2">
      <c r="A2" t="s">
        <v>72</v>
      </c>
      <c r="B2" t="s">
        <v>37</v>
      </c>
    </row>
    <row r="3" spans="1:2" x14ac:dyDescent="0.2">
      <c r="A3" t="s">
        <v>86</v>
      </c>
      <c r="B3" t="s">
        <v>265</v>
      </c>
    </row>
    <row r="4" spans="1:2" x14ac:dyDescent="0.2">
      <c r="A4" t="s">
        <v>87</v>
      </c>
    </row>
    <row r="5" spans="1:2" x14ac:dyDescent="0.2">
      <c r="A5" t="s">
        <v>88</v>
      </c>
      <c r="B5">
        <v>2020</v>
      </c>
    </row>
    <row r="6" spans="1:2" x14ac:dyDescent="0.2">
      <c r="A6" t="s">
        <v>124</v>
      </c>
      <c r="B6" t="s">
        <v>444</v>
      </c>
    </row>
    <row r="7" spans="1:2" x14ac:dyDescent="0.2">
      <c r="A7" t="s">
        <v>73</v>
      </c>
      <c r="B7" t="s">
        <v>265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2</v>
      </c>
    </row>
    <row r="14" spans="1:2" x14ac:dyDescent="0.2">
      <c r="A14" t="s">
        <v>128</v>
      </c>
      <c r="B14">
        <v>1</v>
      </c>
    </row>
    <row r="15" spans="1:2" x14ac:dyDescent="0.2">
      <c r="A15" t="s">
        <v>129</v>
      </c>
      <c r="B15">
        <v>3000</v>
      </c>
    </row>
    <row r="16" spans="1:2" x14ac:dyDescent="0.2">
      <c r="A16" t="s">
        <v>130</v>
      </c>
      <c r="B16">
        <v>27.25</v>
      </c>
    </row>
    <row r="17" spans="1:8" x14ac:dyDescent="0.2">
      <c r="A17" t="s">
        <v>131</v>
      </c>
      <c r="B17">
        <v>0.5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v>31.78180669614656</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808</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968</v>
      </c>
      <c r="B33">
        <v>1</v>
      </c>
      <c r="C33" t="s">
        <v>37</v>
      </c>
      <c r="D33" t="s">
        <v>76</v>
      </c>
      <c r="F33" t="s">
        <v>84</v>
      </c>
      <c r="G33" t="s">
        <v>85</v>
      </c>
      <c r="H33" t="s">
        <v>265</v>
      </c>
    </row>
    <row r="34" spans="1:8" x14ac:dyDescent="0.2">
      <c r="A34" t="s">
        <v>249</v>
      </c>
      <c r="B34" s="4">
        <v>1.1176470588235294</v>
      </c>
      <c r="C34" t="s">
        <v>92</v>
      </c>
      <c r="D34" t="s">
        <v>76</v>
      </c>
      <c r="F34" t="s">
        <v>89</v>
      </c>
      <c r="G34" t="s">
        <v>15</v>
      </c>
      <c r="H34" t="s">
        <v>248</v>
      </c>
    </row>
    <row r="35" spans="1:8" x14ac:dyDescent="0.2">
      <c r="A35" t="s">
        <v>227</v>
      </c>
      <c r="B35" s="4">
        <v>5</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984</v>
      </c>
      <c r="B37" s="3">
        <v>0.5</v>
      </c>
      <c r="C37" t="s">
        <v>95</v>
      </c>
      <c r="D37" t="s">
        <v>96</v>
      </c>
      <c r="F37" t="s">
        <v>89</v>
      </c>
      <c r="H37" t="s">
        <v>985</v>
      </c>
    </row>
    <row r="38" spans="1:8" x14ac:dyDescent="0.2">
      <c r="A38" t="s">
        <v>186</v>
      </c>
      <c r="B38" s="4">
        <v>1</v>
      </c>
      <c r="C38" t="s">
        <v>95</v>
      </c>
      <c r="D38" t="s">
        <v>76</v>
      </c>
      <c r="F38" t="s">
        <v>89</v>
      </c>
      <c r="G38" t="s">
        <v>52</v>
      </c>
      <c r="H38" t="s">
        <v>186</v>
      </c>
    </row>
    <row r="39" spans="1:8" x14ac:dyDescent="0.2">
      <c r="A39" t="s">
        <v>147</v>
      </c>
      <c r="B39" s="4">
        <v>-0.79166666666666663</v>
      </c>
      <c r="C39" t="s">
        <v>37</v>
      </c>
      <c r="D39" t="s">
        <v>76</v>
      </c>
      <c r="F39" t="s">
        <v>89</v>
      </c>
      <c r="G39" t="s">
        <v>142</v>
      </c>
      <c r="H39" t="s">
        <v>148</v>
      </c>
    </row>
    <row r="40" spans="1:8" x14ac:dyDescent="0.2">
      <c r="A40" t="s">
        <v>147</v>
      </c>
      <c r="B40" s="4">
        <v>-0.20833333333333331</v>
      </c>
      <c r="C40" t="s">
        <v>37</v>
      </c>
      <c r="D40" t="s">
        <v>76</v>
      </c>
      <c r="F40" t="s">
        <v>89</v>
      </c>
      <c r="G40" t="s">
        <v>143</v>
      </c>
      <c r="H40" t="s">
        <v>148</v>
      </c>
    </row>
    <row r="41" spans="1:8" x14ac:dyDescent="0.2">
      <c r="A41" s="13" t="s">
        <v>549</v>
      </c>
      <c r="B41">
        <v>27.25</v>
      </c>
      <c r="C41" t="s">
        <v>92</v>
      </c>
      <c r="D41" t="s">
        <v>193</v>
      </c>
      <c r="F41" t="s">
        <v>89</v>
      </c>
      <c r="H41" s="13" t="s">
        <v>550</v>
      </c>
    </row>
    <row r="42" spans="1:8" x14ac:dyDescent="0.2">
      <c r="A42" s="13" t="s">
        <v>216</v>
      </c>
      <c r="B42" s="2">
        <v>433.27499999999998</v>
      </c>
      <c r="C42" t="s">
        <v>95</v>
      </c>
      <c r="D42" t="s">
        <v>193</v>
      </c>
      <c r="F42" t="s">
        <v>89</v>
      </c>
      <c r="H42" s="13" t="s">
        <v>216</v>
      </c>
    </row>
    <row r="43" spans="1:8" x14ac:dyDescent="0.2">
      <c r="B43" s="11"/>
    </row>
    <row r="45" spans="1:8" ht="16" x14ac:dyDescent="0.2">
      <c r="A45" s="10" t="s">
        <v>71</v>
      </c>
      <c r="B45" s="8" t="s">
        <v>969</v>
      </c>
    </row>
    <row r="46" spans="1:8" x14ac:dyDescent="0.2">
      <c r="A46" t="s">
        <v>72</v>
      </c>
      <c r="B46" t="s">
        <v>37</v>
      </c>
    </row>
    <row r="47" spans="1:8" x14ac:dyDescent="0.2">
      <c r="A47" t="s">
        <v>86</v>
      </c>
      <c r="B47" t="s">
        <v>265</v>
      </c>
    </row>
    <row r="48" spans="1:8" x14ac:dyDescent="0.2">
      <c r="A48" t="s">
        <v>87</v>
      </c>
    </row>
    <row r="49" spans="1:2" x14ac:dyDescent="0.2">
      <c r="A49" t="s">
        <v>88</v>
      </c>
      <c r="B49">
        <v>2020</v>
      </c>
    </row>
    <row r="50" spans="1:2" x14ac:dyDescent="0.2">
      <c r="A50" t="s">
        <v>124</v>
      </c>
      <c r="B50" t="s">
        <v>444</v>
      </c>
    </row>
    <row r="51" spans="1:2" x14ac:dyDescent="0.2">
      <c r="A51" t="s">
        <v>73</v>
      </c>
      <c r="B51" t="s">
        <v>807</v>
      </c>
    </row>
    <row r="52" spans="1:2" x14ac:dyDescent="0.2">
      <c r="A52" t="s">
        <v>74</v>
      </c>
      <c r="B52" t="s">
        <v>75</v>
      </c>
    </row>
    <row r="53" spans="1:2" x14ac:dyDescent="0.2">
      <c r="A53" t="s">
        <v>76</v>
      </c>
      <c r="B53" t="s">
        <v>164</v>
      </c>
    </row>
    <row r="54" spans="1:2" x14ac:dyDescent="0.2">
      <c r="A54" t="s">
        <v>78</v>
      </c>
      <c r="B54" t="s">
        <v>774</v>
      </c>
    </row>
    <row r="55" spans="1:2" x14ac:dyDescent="0.2">
      <c r="A55" t="s">
        <v>125</v>
      </c>
      <c r="B55">
        <v>30000</v>
      </c>
    </row>
    <row r="56" spans="1:2" x14ac:dyDescent="0.2">
      <c r="A56" t="s">
        <v>126</v>
      </c>
      <c r="B56">
        <v>1</v>
      </c>
    </row>
    <row r="57" spans="1:2" x14ac:dyDescent="0.2">
      <c r="A57" t="s">
        <v>127</v>
      </c>
      <c r="B57">
        <v>2</v>
      </c>
    </row>
    <row r="58" spans="1:2" x14ac:dyDescent="0.2">
      <c r="A58" t="s">
        <v>128</v>
      </c>
      <c r="B58">
        <v>1</v>
      </c>
    </row>
    <row r="59" spans="1:2" x14ac:dyDescent="0.2">
      <c r="A59" t="s">
        <v>129</v>
      </c>
      <c r="B59">
        <v>3000</v>
      </c>
    </row>
    <row r="60" spans="1:2" x14ac:dyDescent="0.2">
      <c r="A60" t="s">
        <v>130</v>
      </c>
      <c r="B60">
        <v>27.25</v>
      </c>
    </row>
    <row r="61" spans="1:2" x14ac:dyDescent="0.2">
      <c r="A61" t="s">
        <v>131</v>
      </c>
      <c r="B61">
        <v>0.5</v>
      </c>
    </row>
    <row r="62" spans="1:2" x14ac:dyDescent="0.2">
      <c r="A62" t="s">
        <v>427</v>
      </c>
      <c r="B62" s="19" t="s">
        <v>43</v>
      </c>
    </row>
    <row r="63" spans="1:2" x14ac:dyDescent="0.2">
      <c r="A63" t="s">
        <v>132</v>
      </c>
      <c r="B63">
        <v>3.25</v>
      </c>
    </row>
    <row r="64" spans="1:2" x14ac:dyDescent="0.2">
      <c r="A64" t="s">
        <v>133</v>
      </c>
      <c r="B64">
        <v>0.5</v>
      </c>
    </row>
    <row r="65" spans="1:8" x14ac:dyDescent="0.2">
      <c r="A65" t="s">
        <v>363</v>
      </c>
      <c r="B65">
        <v>0.4</v>
      </c>
    </row>
    <row r="66" spans="1:8" x14ac:dyDescent="0.2">
      <c r="A66" t="s">
        <v>136</v>
      </c>
      <c r="B66">
        <v>0</v>
      </c>
    </row>
    <row r="67" spans="1:8" x14ac:dyDescent="0.2">
      <c r="A67" t="s">
        <v>137</v>
      </c>
      <c r="B67">
        <v>0</v>
      </c>
    </row>
    <row r="68" spans="1:8" x14ac:dyDescent="0.2">
      <c r="A68" t="s">
        <v>134</v>
      </c>
      <c r="B68">
        <v>31.78180669614656</v>
      </c>
    </row>
    <row r="69" spans="1:8" x14ac:dyDescent="0.2">
      <c r="A69" t="s">
        <v>135</v>
      </c>
      <c r="B69" t="s">
        <v>138</v>
      </c>
    </row>
    <row r="70" spans="1:8" x14ac:dyDescent="0.2">
      <c r="A70" t="s">
        <v>796</v>
      </c>
      <c r="B70" s="6">
        <v>0</v>
      </c>
    </row>
    <row r="71" spans="1:8" x14ac:dyDescent="0.2">
      <c r="A71" t="s">
        <v>83</v>
      </c>
      <c r="B71" t="s">
        <v>809</v>
      </c>
    </row>
    <row r="72" spans="1:8" ht="16" x14ac:dyDescent="0.2">
      <c r="A72" s="10" t="s">
        <v>79</v>
      </c>
    </row>
    <row r="73" spans="1:8" x14ac:dyDescent="0.2">
      <c r="A73" t="s">
        <v>80</v>
      </c>
      <c r="B73" t="s">
        <v>81</v>
      </c>
      <c r="C73" t="s">
        <v>72</v>
      </c>
      <c r="D73" t="s">
        <v>76</v>
      </c>
      <c r="E73" t="s">
        <v>82</v>
      </c>
      <c r="F73" t="s">
        <v>74</v>
      </c>
      <c r="G73" t="s">
        <v>83</v>
      </c>
      <c r="H73" t="s">
        <v>73</v>
      </c>
    </row>
    <row r="74" spans="1:8" x14ac:dyDescent="0.2">
      <c r="A74" t="s">
        <v>969</v>
      </c>
      <c r="B74">
        <v>1</v>
      </c>
      <c r="C74" t="s">
        <v>37</v>
      </c>
      <c r="D74" t="s">
        <v>164</v>
      </c>
      <c r="F74" t="s">
        <v>84</v>
      </c>
      <c r="G74" t="s">
        <v>85</v>
      </c>
      <c r="H74" t="s">
        <v>807</v>
      </c>
    </row>
    <row r="75" spans="1:8" x14ac:dyDescent="0.2">
      <c r="A75" t="s">
        <v>968</v>
      </c>
      <c r="B75" s="7">
        <v>3.3333333333333335E-5</v>
      </c>
      <c r="C75" t="s">
        <v>37</v>
      </c>
      <c r="D75" t="s">
        <v>76</v>
      </c>
      <c r="F75" t="s">
        <v>89</v>
      </c>
      <c r="H75" t="s">
        <v>265</v>
      </c>
    </row>
    <row r="76" spans="1:8" x14ac:dyDescent="0.2">
      <c r="A76" t="s">
        <v>107</v>
      </c>
      <c r="B76" s="7">
        <v>5.5445249999999999E-5</v>
      </c>
      <c r="C76" t="s">
        <v>37</v>
      </c>
      <c r="D76" t="s">
        <v>105</v>
      </c>
      <c r="F76" t="s">
        <v>89</v>
      </c>
      <c r="G76" t="s">
        <v>103</v>
      </c>
      <c r="H76" t="s">
        <v>108</v>
      </c>
    </row>
    <row r="77" spans="1:8" x14ac:dyDescent="0.2">
      <c r="A77" t="s">
        <v>98</v>
      </c>
      <c r="B77" s="7">
        <v>1.3844398595922134E-2</v>
      </c>
      <c r="C77" t="s">
        <v>37</v>
      </c>
      <c r="D77" t="s">
        <v>96</v>
      </c>
      <c r="F77" t="s">
        <v>89</v>
      </c>
      <c r="G77" t="s">
        <v>28</v>
      </c>
      <c r="H77" t="s">
        <v>100</v>
      </c>
    </row>
    <row r="78" spans="1:8" x14ac:dyDescent="0.2">
      <c r="A78" t="s">
        <v>250</v>
      </c>
      <c r="B78" s="7">
        <v>6.666666666666667E-5</v>
      </c>
      <c r="C78" t="s">
        <v>37</v>
      </c>
      <c r="D78" t="s">
        <v>76</v>
      </c>
      <c r="F78" t="s">
        <v>89</v>
      </c>
      <c r="G78" t="s">
        <v>116</v>
      </c>
      <c r="H78" t="s">
        <v>250</v>
      </c>
    </row>
    <row r="79" spans="1:8" x14ac:dyDescent="0.2">
      <c r="A79" t="s">
        <v>157</v>
      </c>
      <c r="B79" s="7">
        <v>-4.3264006015800174E-6</v>
      </c>
      <c r="C79" t="s">
        <v>92</v>
      </c>
      <c r="D79" t="s">
        <v>77</v>
      </c>
      <c r="F79" t="s">
        <v>89</v>
      </c>
      <c r="G79" t="s">
        <v>29</v>
      </c>
      <c r="H79" t="s">
        <v>159</v>
      </c>
    </row>
    <row r="80" spans="1:8" x14ac:dyDescent="0.2">
      <c r="A80" t="s">
        <v>158</v>
      </c>
      <c r="B80" s="7">
        <v>-4.2664398392934627E-6</v>
      </c>
      <c r="C80" t="s">
        <v>92</v>
      </c>
      <c r="D80" t="s">
        <v>77</v>
      </c>
      <c r="F80" t="s">
        <v>89</v>
      </c>
      <c r="G80" t="s">
        <v>30</v>
      </c>
      <c r="H80" t="s">
        <v>160</v>
      </c>
    </row>
    <row r="81" spans="1:8" x14ac:dyDescent="0.2">
      <c r="A81" t="s">
        <v>166</v>
      </c>
      <c r="B81" s="7">
        <v>-3.960170488563306E-6</v>
      </c>
      <c r="C81" t="s">
        <v>92</v>
      </c>
      <c r="D81" t="s">
        <v>77</v>
      </c>
      <c r="F81" t="s">
        <v>89</v>
      </c>
      <c r="G81" t="s">
        <v>31</v>
      </c>
      <c r="H81" t="s">
        <v>161</v>
      </c>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H80"/>
  <sheetViews>
    <sheetView topLeftCell="A47" workbookViewId="0">
      <selection activeCell="G72" sqref="G72"/>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970</v>
      </c>
    </row>
    <row r="2" spans="1:2" x14ac:dyDescent="0.2">
      <c r="A2" t="s">
        <v>72</v>
      </c>
      <c r="B2" t="s">
        <v>37</v>
      </c>
    </row>
    <row r="3" spans="1:2" x14ac:dyDescent="0.2">
      <c r="A3" t="s">
        <v>86</v>
      </c>
      <c r="B3" t="s">
        <v>271</v>
      </c>
    </row>
    <row r="4" spans="1:2" x14ac:dyDescent="0.2">
      <c r="A4" t="s">
        <v>87</v>
      </c>
    </row>
    <row r="5" spans="1:2" x14ac:dyDescent="0.2">
      <c r="A5" t="s">
        <v>88</v>
      </c>
      <c r="B5">
        <v>2020</v>
      </c>
    </row>
    <row r="6" spans="1:2" x14ac:dyDescent="0.2">
      <c r="A6" t="s">
        <v>124</v>
      </c>
      <c r="B6" t="s">
        <v>448</v>
      </c>
    </row>
    <row r="7" spans="1:2" x14ac:dyDescent="0.2">
      <c r="A7" t="s">
        <v>73</v>
      </c>
      <c r="B7" t="s">
        <v>271</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45.25</v>
      </c>
    </row>
    <row r="17" spans="1:8" x14ac:dyDescent="0.2">
      <c r="A17" t="s">
        <v>131</v>
      </c>
      <c r="B17">
        <v>0.25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41.48860759493671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805</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970</v>
      </c>
      <c r="B33">
        <v>1</v>
      </c>
      <c r="C33" t="s">
        <v>37</v>
      </c>
      <c r="D33" t="s">
        <v>76</v>
      </c>
      <c r="F33" t="s">
        <v>84</v>
      </c>
      <c r="G33" t="s">
        <v>85</v>
      </c>
      <c r="H33" t="s">
        <v>271</v>
      </c>
    </row>
    <row r="34" spans="1:8" x14ac:dyDescent="0.2">
      <c r="A34" t="s">
        <v>249</v>
      </c>
      <c r="B34" s="4">
        <v>2.2352941176470589</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984</v>
      </c>
      <c r="B37" s="3">
        <v>0.5</v>
      </c>
      <c r="C37" t="s">
        <v>95</v>
      </c>
      <c r="D37" t="s">
        <v>96</v>
      </c>
      <c r="F37" t="s">
        <v>89</v>
      </c>
      <c r="H37" t="s">
        <v>985</v>
      </c>
    </row>
    <row r="38" spans="1:8" x14ac:dyDescent="0.2">
      <c r="A38" t="s">
        <v>186</v>
      </c>
      <c r="B38" s="4">
        <v>1</v>
      </c>
      <c r="C38" t="s">
        <v>95</v>
      </c>
      <c r="D38" t="s">
        <v>76</v>
      </c>
      <c r="F38" t="s">
        <v>89</v>
      </c>
      <c r="G38" t="s">
        <v>52</v>
      </c>
      <c r="H38" t="s">
        <v>186</v>
      </c>
    </row>
    <row r="39" spans="1:8" x14ac:dyDescent="0.2">
      <c r="A39" t="s">
        <v>147</v>
      </c>
      <c r="B39" s="4">
        <v>-1.5833333333333333</v>
      </c>
      <c r="C39" t="s">
        <v>37</v>
      </c>
      <c r="D39" t="s">
        <v>76</v>
      </c>
      <c r="F39" t="s">
        <v>89</v>
      </c>
      <c r="G39" t="s">
        <v>142</v>
      </c>
      <c r="H39" t="s">
        <v>148</v>
      </c>
    </row>
    <row r="40" spans="1:8" x14ac:dyDescent="0.2">
      <c r="A40" t="s">
        <v>147</v>
      </c>
      <c r="B40" s="4">
        <v>-0.16666666666666666</v>
      </c>
      <c r="C40" t="s">
        <v>37</v>
      </c>
      <c r="D40" t="s">
        <v>76</v>
      </c>
      <c r="F40" t="s">
        <v>89</v>
      </c>
      <c r="G40" t="s">
        <v>143</v>
      </c>
      <c r="H40" t="s">
        <v>148</v>
      </c>
    </row>
    <row r="41" spans="1:8" x14ac:dyDescent="0.2">
      <c r="A41" s="13" t="s">
        <v>549</v>
      </c>
      <c r="B41">
        <v>45.25</v>
      </c>
      <c r="C41" t="s">
        <v>92</v>
      </c>
      <c r="D41" t="s">
        <v>193</v>
      </c>
      <c r="F41" t="s">
        <v>89</v>
      </c>
      <c r="H41" s="13" t="s">
        <v>550</v>
      </c>
    </row>
    <row r="42" spans="1:8" x14ac:dyDescent="0.2">
      <c r="A42" s="13" t="s">
        <v>216</v>
      </c>
      <c r="B42" s="2">
        <v>719.47500000000002</v>
      </c>
      <c r="C42" t="s">
        <v>95</v>
      </c>
      <c r="D42" t="s">
        <v>193</v>
      </c>
      <c r="F42" t="s">
        <v>89</v>
      </c>
      <c r="H42" s="13" t="s">
        <v>216</v>
      </c>
    </row>
    <row r="44" spans="1:8" ht="16" x14ac:dyDescent="0.2">
      <c r="A44" s="10" t="s">
        <v>71</v>
      </c>
      <c r="B44" s="8" t="s">
        <v>971</v>
      </c>
    </row>
    <row r="45" spans="1:8" x14ac:dyDescent="0.2">
      <c r="A45" t="s">
        <v>72</v>
      </c>
      <c r="B45" t="s">
        <v>37</v>
      </c>
    </row>
    <row r="46" spans="1:8" x14ac:dyDescent="0.2">
      <c r="A46" t="s">
        <v>86</v>
      </c>
      <c r="B46" t="s">
        <v>271</v>
      </c>
    </row>
    <row r="47" spans="1:8" x14ac:dyDescent="0.2">
      <c r="A47" t="s">
        <v>87</v>
      </c>
    </row>
    <row r="48" spans="1:8" x14ac:dyDescent="0.2">
      <c r="A48" t="s">
        <v>88</v>
      </c>
      <c r="B48">
        <v>2020</v>
      </c>
    </row>
    <row r="49" spans="1:2" x14ac:dyDescent="0.2">
      <c r="A49" t="s">
        <v>124</v>
      </c>
      <c r="B49" t="s">
        <v>448</v>
      </c>
    </row>
    <row r="50" spans="1:2" x14ac:dyDescent="0.2">
      <c r="A50" t="s">
        <v>73</v>
      </c>
      <c r="B50" t="s">
        <v>804</v>
      </c>
    </row>
    <row r="51" spans="1:2" x14ac:dyDescent="0.2">
      <c r="A51" t="s">
        <v>74</v>
      </c>
      <c r="B51" t="s">
        <v>75</v>
      </c>
    </row>
    <row r="52" spans="1:2" x14ac:dyDescent="0.2">
      <c r="A52" t="s">
        <v>76</v>
      </c>
      <c r="B52" t="s">
        <v>164</v>
      </c>
    </row>
    <row r="53" spans="1:2" x14ac:dyDescent="0.2">
      <c r="A53" t="s">
        <v>78</v>
      </c>
      <c r="B53" t="s">
        <v>774</v>
      </c>
    </row>
    <row r="54" spans="1:2" x14ac:dyDescent="0.2">
      <c r="A54" t="s">
        <v>125</v>
      </c>
      <c r="B54">
        <v>20000</v>
      </c>
    </row>
    <row r="55" spans="1:2" x14ac:dyDescent="0.2">
      <c r="A55" t="s">
        <v>126</v>
      </c>
      <c r="B55">
        <v>1</v>
      </c>
    </row>
    <row r="56" spans="1:2" x14ac:dyDescent="0.2">
      <c r="A56" t="s">
        <v>127</v>
      </c>
      <c r="B56">
        <v>1.3333333333333333</v>
      </c>
    </row>
    <row r="57" spans="1:2" x14ac:dyDescent="0.2">
      <c r="A57" t="s">
        <v>128</v>
      </c>
      <c r="B57">
        <v>1</v>
      </c>
    </row>
    <row r="58" spans="1:2" x14ac:dyDescent="0.2">
      <c r="A58" t="s">
        <v>129</v>
      </c>
      <c r="B58">
        <v>2000</v>
      </c>
    </row>
    <row r="59" spans="1:2" x14ac:dyDescent="0.2">
      <c r="A59" t="s">
        <v>130</v>
      </c>
      <c r="B59">
        <v>45.25</v>
      </c>
    </row>
    <row r="60" spans="1:2" x14ac:dyDescent="0.2">
      <c r="A60" t="s">
        <v>131</v>
      </c>
      <c r="B60">
        <v>0.25</v>
      </c>
    </row>
    <row r="61" spans="1:2" x14ac:dyDescent="0.2">
      <c r="A61" t="s">
        <v>427</v>
      </c>
      <c r="B61" s="19" t="s">
        <v>43</v>
      </c>
    </row>
    <row r="62" spans="1:2" x14ac:dyDescent="0.2">
      <c r="A62" t="s">
        <v>132</v>
      </c>
      <c r="B62">
        <v>3.25</v>
      </c>
    </row>
    <row r="63" spans="1:2" x14ac:dyDescent="0.2">
      <c r="A63" t="s">
        <v>133</v>
      </c>
      <c r="B63">
        <v>0.5</v>
      </c>
    </row>
    <row r="64" spans="1:2" x14ac:dyDescent="0.2">
      <c r="A64" t="s">
        <v>363</v>
      </c>
      <c r="B64">
        <v>0.4</v>
      </c>
    </row>
    <row r="65" spans="1:8" x14ac:dyDescent="0.2">
      <c r="A65" t="s">
        <v>136</v>
      </c>
      <c r="B65">
        <v>0</v>
      </c>
    </row>
    <row r="66" spans="1:8" x14ac:dyDescent="0.2">
      <c r="A66" t="s">
        <v>137</v>
      </c>
      <c r="B66">
        <v>0</v>
      </c>
    </row>
    <row r="67" spans="1:8" x14ac:dyDescent="0.2">
      <c r="A67" t="s">
        <v>134</v>
      </c>
      <c r="B67">
        <v>41.48860759493671</v>
      </c>
    </row>
    <row r="68" spans="1:8" x14ac:dyDescent="0.2">
      <c r="A68" t="s">
        <v>135</v>
      </c>
      <c r="B68" t="s">
        <v>138</v>
      </c>
    </row>
    <row r="69" spans="1:8" x14ac:dyDescent="0.2">
      <c r="A69" t="s">
        <v>796</v>
      </c>
      <c r="B69" s="6">
        <v>0</v>
      </c>
    </row>
    <row r="70" spans="1:8" x14ac:dyDescent="0.2">
      <c r="A70" t="s">
        <v>83</v>
      </c>
      <c r="B70" t="s">
        <v>806</v>
      </c>
    </row>
    <row r="71" spans="1:8" ht="16" x14ac:dyDescent="0.2">
      <c r="A71" s="10" t="s">
        <v>79</v>
      </c>
    </row>
    <row r="72" spans="1:8" x14ac:dyDescent="0.2">
      <c r="A72" t="s">
        <v>80</v>
      </c>
      <c r="B72" t="s">
        <v>81</v>
      </c>
      <c r="C72" t="s">
        <v>72</v>
      </c>
      <c r="D72" t="s">
        <v>76</v>
      </c>
      <c r="E72" t="s">
        <v>82</v>
      </c>
      <c r="F72" t="s">
        <v>74</v>
      </c>
      <c r="G72" t="s">
        <v>83</v>
      </c>
      <c r="H72" t="s">
        <v>73</v>
      </c>
    </row>
    <row r="73" spans="1:8" x14ac:dyDescent="0.2">
      <c r="A73" t="s">
        <v>971</v>
      </c>
      <c r="B73">
        <v>1</v>
      </c>
      <c r="C73" t="s">
        <v>37</v>
      </c>
      <c r="D73" t="s">
        <v>164</v>
      </c>
      <c r="F73" t="s">
        <v>84</v>
      </c>
      <c r="G73" t="s">
        <v>85</v>
      </c>
      <c r="H73" t="s">
        <v>804</v>
      </c>
    </row>
    <row r="74" spans="1:8" x14ac:dyDescent="0.2">
      <c r="A74" t="s">
        <v>970</v>
      </c>
      <c r="B74" s="7">
        <v>5.0000000000000002E-5</v>
      </c>
      <c r="C74" t="s">
        <v>37</v>
      </c>
      <c r="D74" t="s">
        <v>76</v>
      </c>
      <c r="F74" t="s">
        <v>89</v>
      </c>
      <c r="H74" t="s">
        <v>271</v>
      </c>
    </row>
    <row r="75" spans="1:8" x14ac:dyDescent="0.2">
      <c r="A75" t="s">
        <v>107</v>
      </c>
      <c r="B75" s="7">
        <v>9.1424250000000001E-5</v>
      </c>
      <c r="C75" t="s">
        <v>37</v>
      </c>
      <c r="D75" t="s">
        <v>105</v>
      </c>
      <c r="F75" t="s">
        <v>89</v>
      </c>
      <c r="G75" t="s">
        <v>103</v>
      </c>
      <c r="H75" t="s">
        <v>108</v>
      </c>
    </row>
    <row r="76" spans="1:8" x14ac:dyDescent="0.2">
      <c r="A76" t="s">
        <v>98</v>
      </c>
      <c r="B76" s="7">
        <v>1.0605320966560899E-2</v>
      </c>
      <c r="C76" t="s">
        <v>37</v>
      </c>
      <c r="D76" t="s">
        <v>96</v>
      </c>
      <c r="F76" t="s">
        <v>89</v>
      </c>
      <c r="G76" t="s">
        <v>28</v>
      </c>
      <c r="H76" t="s">
        <v>100</v>
      </c>
    </row>
    <row r="77" spans="1:8" x14ac:dyDescent="0.2">
      <c r="A77" t="s">
        <v>250</v>
      </c>
      <c r="B77" s="7">
        <v>6.666666666666667E-5</v>
      </c>
      <c r="C77" t="s">
        <v>37</v>
      </c>
      <c r="D77" t="s">
        <v>76</v>
      </c>
      <c r="F77" t="s">
        <v>89</v>
      </c>
      <c r="G77" t="s">
        <v>116</v>
      </c>
      <c r="H77" t="s">
        <v>250</v>
      </c>
    </row>
    <row r="78" spans="1:8" x14ac:dyDescent="0.2">
      <c r="A78" t="s">
        <v>157</v>
      </c>
      <c r="B78" s="7">
        <v>-6.4129100619129601E-6</v>
      </c>
      <c r="C78" t="s">
        <v>92</v>
      </c>
      <c r="D78" t="s">
        <v>77</v>
      </c>
      <c r="F78" t="s">
        <v>89</v>
      </c>
      <c r="G78" t="s">
        <v>29</v>
      </c>
      <c r="H78" t="s">
        <v>159</v>
      </c>
    </row>
    <row r="79" spans="1:8" x14ac:dyDescent="0.2">
      <c r="A79" t="s">
        <v>158</v>
      </c>
      <c r="B79" s="7">
        <v>-5.307335850102609E-6</v>
      </c>
      <c r="C79" t="s">
        <v>92</v>
      </c>
      <c r="D79" t="s">
        <v>77</v>
      </c>
      <c r="F79" t="s">
        <v>89</v>
      </c>
      <c r="G79" t="s">
        <v>30</v>
      </c>
      <c r="H79" t="s">
        <v>160</v>
      </c>
    </row>
    <row r="80" spans="1:8" x14ac:dyDescent="0.2">
      <c r="A80" t="s">
        <v>166</v>
      </c>
      <c r="B80" s="7">
        <v>-5.1556634746423041E-6</v>
      </c>
      <c r="C80" t="s">
        <v>92</v>
      </c>
      <c r="D80" t="s">
        <v>77</v>
      </c>
      <c r="F80" t="s">
        <v>89</v>
      </c>
      <c r="G80" t="s">
        <v>31</v>
      </c>
      <c r="H80" t="s">
        <v>161</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82"/>
  <sheetViews>
    <sheetView topLeftCell="A42" workbookViewId="0">
      <selection activeCell="G67" sqref="G6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266</v>
      </c>
    </row>
    <row r="2" spans="1:2" x14ac:dyDescent="0.2">
      <c r="A2" t="s">
        <v>72</v>
      </c>
      <c r="B2" t="s">
        <v>37</v>
      </c>
    </row>
    <row r="3" spans="1:2" x14ac:dyDescent="0.2">
      <c r="A3" t="s">
        <v>86</v>
      </c>
      <c r="B3" t="s">
        <v>266</v>
      </c>
    </row>
    <row r="4" spans="1:2" x14ac:dyDescent="0.2">
      <c r="A4" t="s">
        <v>87</v>
      </c>
    </row>
    <row r="5" spans="1:2" x14ac:dyDescent="0.2">
      <c r="A5" t="s">
        <v>88</v>
      </c>
      <c r="B5">
        <v>2020</v>
      </c>
    </row>
    <row r="6" spans="1:2" x14ac:dyDescent="0.2">
      <c r="A6" t="s">
        <v>124</v>
      </c>
      <c r="B6" t="s">
        <v>272</v>
      </c>
    </row>
    <row r="7" spans="1:2" x14ac:dyDescent="0.2">
      <c r="A7" t="s">
        <v>73</v>
      </c>
      <c r="B7" t="s">
        <v>266</v>
      </c>
    </row>
    <row r="8" spans="1:2" x14ac:dyDescent="0.2">
      <c r="A8" t="s">
        <v>74</v>
      </c>
      <c r="B8" t="s">
        <v>75</v>
      </c>
    </row>
    <row r="9" spans="1:2" x14ac:dyDescent="0.2">
      <c r="A9" t="s">
        <v>76</v>
      </c>
      <c r="B9" t="s">
        <v>76</v>
      </c>
    </row>
    <row r="10" spans="1:2" x14ac:dyDescent="0.2">
      <c r="A10" t="s">
        <v>78</v>
      </c>
      <c r="B10" t="s">
        <v>774</v>
      </c>
    </row>
    <row r="11" spans="1:2" x14ac:dyDescent="0.2">
      <c r="A11" t="s">
        <v>125</v>
      </c>
      <c r="B11">
        <v>2800000</v>
      </c>
    </row>
    <row r="12" spans="1:2" x14ac:dyDescent="0.2">
      <c r="A12" t="s">
        <v>126</v>
      </c>
      <c r="B12">
        <v>38</v>
      </c>
    </row>
    <row r="13" spans="1:2" x14ac:dyDescent="0.2">
      <c r="A13" t="s">
        <v>127</v>
      </c>
      <c r="B13">
        <v>1.3333333333333333</v>
      </c>
    </row>
    <row r="14" spans="1:2" x14ac:dyDescent="0.2">
      <c r="A14" t="s">
        <v>128</v>
      </c>
      <c r="B14">
        <v>0</v>
      </c>
    </row>
    <row r="15" spans="1:2" x14ac:dyDescent="0.2">
      <c r="A15" t="s">
        <v>129</v>
      </c>
      <c r="B15">
        <v>70000</v>
      </c>
    </row>
    <row r="16" spans="1:2" x14ac:dyDescent="0.2">
      <c r="A16" t="s">
        <v>130</v>
      </c>
      <c r="B16">
        <v>54000</v>
      </c>
    </row>
    <row r="17" spans="1:8" x14ac:dyDescent="0.2">
      <c r="A17" t="s">
        <v>131</v>
      </c>
      <c r="B17">
        <v>660</v>
      </c>
    </row>
    <row r="18" spans="1:8" x14ac:dyDescent="0.2">
      <c r="A18" t="s">
        <v>132</v>
      </c>
      <c r="B18">
        <v>0</v>
      </c>
    </row>
    <row r="19" spans="1:8" x14ac:dyDescent="0.2">
      <c r="A19" t="s">
        <v>133</v>
      </c>
      <c r="B19">
        <v>0</v>
      </c>
    </row>
    <row r="20" spans="1:8" x14ac:dyDescent="0.2">
      <c r="A20" t="s">
        <v>136</v>
      </c>
      <c r="B20">
        <v>0</v>
      </c>
    </row>
    <row r="21" spans="1:8" x14ac:dyDescent="0.2">
      <c r="A21" t="s">
        <v>137</v>
      </c>
      <c r="B21">
        <v>0</v>
      </c>
    </row>
    <row r="22" spans="1:8" x14ac:dyDescent="0.2">
      <c r="A22" t="s">
        <v>134</v>
      </c>
      <c r="B22">
        <v>0</v>
      </c>
    </row>
    <row r="23" spans="1:8" x14ac:dyDescent="0.2">
      <c r="A23" t="s">
        <v>135</v>
      </c>
      <c r="B23" t="s">
        <v>138</v>
      </c>
    </row>
    <row r="24" spans="1:8" x14ac:dyDescent="0.2">
      <c r="A24" t="s">
        <v>796</v>
      </c>
      <c r="B24" s="6">
        <v>0</v>
      </c>
    </row>
    <row r="25" spans="1:8" x14ac:dyDescent="0.2">
      <c r="A25" t="s">
        <v>260</v>
      </c>
      <c r="B25" s="6" t="s">
        <v>277</v>
      </c>
    </row>
    <row r="26" spans="1:8" x14ac:dyDescent="0.2">
      <c r="A26" t="s">
        <v>262</v>
      </c>
      <c r="B26" s="2">
        <v>0</v>
      </c>
    </row>
    <row r="27" spans="1:8" x14ac:dyDescent="0.2">
      <c r="A27" t="s">
        <v>263</v>
      </c>
      <c r="B27" s="2">
        <v>1000</v>
      </c>
    </row>
    <row r="28" spans="1:8" x14ac:dyDescent="0.2">
      <c r="A28" t="s">
        <v>83</v>
      </c>
      <c r="B28" t="s">
        <v>801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266</v>
      </c>
      <c r="B31">
        <v>1</v>
      </c>
      <c r="C31" t="s">
        <v>37</v>
      </c>
      <c r="D31" t="s">
        <v>76</v>
      </c>
      <c r="F31" t="s">
        <v>84</v>
      </c>
      <c r="G31" t="s">
        <v>85</v>
      </c>
      <c r="H31" t="s">
        <v>266</v>
      </c>
    </row>
    <row r="32" spans="1:8" x14ac:dyDescent="0.2">
      <c r="A32" t="s">
        <v>102</v>
      </c>
      <c r="B32" s="4">
        <v>2.0579268292682928</v>
      </c>
      <c r="C32" t="s">
        <v>92</v>
      </c>
      <c r="D32" t="s">
        <v>76</v>
      </c>
      <c r="F32" t="s">
        <v>89</v>
      </c>
      <c r="G32" t="s">
        <v>15</v>
      </c>
      <c r="H32" t="s">
        <v>101</v>
      </c>
    </row>
    <row r="33" spans="1:8" x14ac:dyDescent="0.2">
      <c r="A33" t="s">
        <v>102</v>
      </c>
      <c r="B33" s="4">
        <v>0.37157012195121952</v>
      </c>
      <c r="C33" t="s">
        <v>92</v>
      </c>
      <c r="D33" t="s">
        <v>76</v>
      </c>
      <c r="F33" t="s">
        <v>89</v>
      </c>
      <c r="G33" t="s">
        <v>16</v>
      </c>
      <c r="H33" t="s">
        <v>101</v>
      </c>
    </row>
    <row r="34" spans="1:8" x14ac:dyDescent="0.2">
      <c r="A34" t="s">
        <v>102</v>
      </c>
      <c r="B34" s="4">
        <v>0.14291158536585366</v>
      </c>
      <c r="C34" t="s">
        <v>92</v>
      </c>
      <c r="D34" t="s">
        <v>76</v>
      </c>
      <c r="F34" t="s">
        <v>89</v>
      </c>
      <c r="G34" t="s">
        <v>276</v>
      </c>
      <c r="H34" t="s">
        <v>101</v>
      </c>
    </row>
    <row r="35" spans="1:8" x14ac:dyDescent="0.2">
      <c r="A35" t="s">
        <v>796</v>
      </c>
      <c r="B35" s="11">
        <v>0</v>
      </c>
      <c r="C35" t="s">
        <v>95</v>
      </c>
      <c r="D35" t="s">
        <v>77</v>
      </c>
      <c r="F35" t="s">
        <v>89</v>
      </c>
      <c r="G35" t="s">
        <v>14</v>
      </c>
      <c r="H35" t="s">
        <v>796</v>
      </c>
    </row>
    <row r="36" spans="1:8" x14ac:dyDescent="0.2">
      <c r="A36" t="s">
        <v>104</v>
      </c>
      <c r="B36" s="2">
        <v>4.5599999999999998E-3</v>
      </c>
      <c r="C36" t="s">
        <v>37</v>
      </c>
      <c r="D36" t="s">
        <v>105</v>
      </c>
      <c r="F36" t="s">
        <v>89</v>
      </c>
      <c r="G36" t="s">
        <v>103</v>
      </c>
      <c r="H36" t="s">
        <v>106</v>
      </c>
    </row>
    <row r="37" spans="1:8" x14ac:dyDescent="0.2">
      <c r="A37" t="s">
        <v>288</v>
      </c>
      <c r="B37" s="2">
        <v>-4.5599999999999998E-3</v>
      </c>
      <c r="C37" t="s">
        <v>37</v>
      </c>
      <c r="D37" t="s">
        <v>105</v>
      </c>
      <c r="F37" t="s">
        <v>89</v>
      </c>
      <c r="G37" t="s">
        <v>286</v>
      </c>
      <c r="H37" t="s">
        <v>287</v>
      </c>
    </row>
    <row r="38" spans="1:8" x14ac:dyDescent="0.2">
      <c r="A38" s="13" t="s">
        <v>549</v>
      </c>
      <c r="B38">
        <v>54000</v>
      </c>
      <c r="C38" t="s">
        <v>92</v>
      </c>
      <c r="D38" t="s">
        <v>193</v>
      </c>
      <c r="F38" t="s">
        <v>89</v>
      </c>
      <c r="H38" s="13" t="s">
        <v>550</v>
      </c>
    </row>
    <row r="39" spans="1:8" x14ac:dyDescent="0.2">
      <c r="B39" s="11"/>
    </row>
    <row r="41" spans="1:8" ht="16" x14ac:dyDescent="0.2">
      <c r="A41" s="10" t="s">
        <v>71</v>
      </c>
      <c r="B41" s="8" t="s">
        <v>802</v>
      </c>
    </row>
    <row r="42" spans="1:8" x14ac:dyDescent="0.2">
      <c r="A42" t="s">
        <v>72</v>
      </c>
      <c r="B42" t="s">
        <v>37</v>
      </c>
    </row>
    <row r="43" spans="1:8" x14ac:dyDescent="0.2">
      <c r="A43" t="s">
        <v>86</v>
      </c>
      <c r="B43" t="s">
        <v>266</v>
      </c>
    </row>
    <row r="44" spans="1:8" x14ac:dyDescent="0.2">
      <c r="A44" t="s">
        <v>87</v>
      </c>
    </row>
    <row r="45" spans="1:8" x14ac:dyDescent="0.2">
      <c r="A45" t="s">
        <v>88</v>
      </c>
      <c r="B45">
        <v>2020</v>
      </c>
    </row>
    <row r="46" spans="1:8" x14ac:dyDescent="0.2">
      <c r="A46" t="s">
        <v>124</v>
      </c>
      <c r="B46" t="s">
        <v>272</v>
      </c>
    </row>
    <row r="47" spans="1:8" x14ac:dyDescent="0.2">
      <c r="A47" t="s">
        <v>73</v>
      </c>
      <c r="B47" t="s">
        <v>802</v>
      </c>
    </row>
    <row r="48" spans="1:8" x14ac:dyDescent="0.2">
      <c r="A48" t="s">
        <v>74</v>
      </c>
      <c r="B48" t="s">
        <v>75</v>
      </c>
    </row>
    <row r="49" spans="1:2" x14ac:dyDescent="0.2">
      <c r="A49" t="s">
        <v>76</v>
      </c>
      <c r="B49" t="s">
        <v>167</v>
      </c>
    </row>
    <row r="50" spans="1:2" x14ac:dyDescent="0.2">
      <c r="A50" t="s">
        <v>78</v>
      </c>
      <c r="B50" t="s">
        <v>774</v>
      </c>
    </row>
    <row r="51" spans="1:2" x14ac:dyDescent="0.2">
      <c r="A51" t="s">
        <v>125</v>
      </c>
      <c r="B51">
        <v>2800000</v>
      </c>
    </row>
    <row r="52" spans="1:2" x14ac:dyDescent="0.2">
      <c r="A52" t="s">
        <v>126</v>
      </c>
      <c r="B52">
        <v>38</v>
      </c>
    </row>
    <row r="53" spans="1:2" x14ac:dyDescent="0.2">
      <c r="A53" t="s">
        <v>127</v>
      </c>
      <c r="B53">
        <v>1.3333333333333333</v>
      </c>
    </row>
    <row r="54" spans="1:2" x14ac:dyDescent="0.2">
      <c r="A54" t="s">
        <v>128</v>
      </c>
      <c r="B54">
        <v>0</v>
      </c>
    </row>
    <row r="55" spans="1:2" x14ac:dyDescent="0.2">
      <c r="A55" t="s">
        <v>129</v>
      </c>
      <c r="B55">
        <v>70000</v>
      </c>
    </row>
    <row r="56" spans="1:2" x14ac:dyDescent="0.2">
      <c r="A56" t="s">
        <v>130</v>
      </c>
      <c r="B56">
        <v>54000</v>
      </c>
    </row>
    <row r="57" spans="1:2" x14ac:dyDescent="0.2">
      <c r="A57" t="s">
        <v>131</v>
      </c>
      <c r="B57">
        <v>660</v>
      </c>
    </row>
    <row r="58" spans="1:2" x14ac:dyDescent="0.2">
      <c r="A58" t="s">
        <v>132</v>
      </c>
      <c r="B58">
        <v>0</v>
      </c>
    </row>
    <row r="59" spans="1:2" x14ac:dyDescent="0.2">
      <c r="A59" t="s">
        <v>133</v>
      </c>
      <c r="B59">
        <v>0</v>
      </c>
    </row>
    <row r="60" spans="1:2" x14ac:dyDescent="0.2">
      <c r="A60" t="s">
        <v>136</v>
      </c>
      <c r="B60">
        <v>0</v>
      </c>
    </row>
    <row r="61" spans="1:2" x14ac:dyDescent="0.2">
      <c r="A61" t="s">
        <v>137</v>
      </c>
      <c r="B61">
        <v>0</v>
      </c>
    </row>
    <row r="62" spans="1:2" x14ac:dyDescent="0.2">
      <c r="A62" t="s">
        <v>134</v>
      </c>
      <c r="B62">
        <v>0</v>
      </c>
    </row>
    <row r="63" spans="1:2" x14ac:dyDescent="0.2">
      <c r="A63" t="s">
        <v>135</v>
      </c>
      <c r="B63" t="s">
        <v>138</v>
      </c>
    </row>
    <row r="64" spans="1:2" x14ac:dyDescent="0.2">
      <c r="A64" t="s">
        <v>796</v>
      </c>
      <c r="B64" s="6">
        <v>0</v>
      </c>
    </row>
    <row r="65" spans="1:12" x14ac:dyDescent="0.2">
      <c r="A65" t="s">
        <v>83</v>
      </c>
      <c r="B65" t="s">
        <v>803</v>
      </c>
    </row>
    <row r="66" spans="1:12" ht="16" x14ac:dyDescent="0.2">
      <c r="A66" s="10" t="s">
        <v>79</v>
      </c>
    </row>
    <row r="67" spans="1:12" x14ac:dyDescent="0.2">
      <c r="A67" t="s">
        <v>80</v>
      </c>
      <c r="B67" t="s">
        <v>81</v>
      </c>
      <c r="C67" t="s">
        <v>72</v>
      </c>
      <c r="D67" t="s">
        <v>76</v>
      </c>
      <c r="E67" t="s">
        <v>82</v>
      </c>
      <c r="F67" t="s">
        <v>74</v>
      </c>
      <c r="G67" t="s">
        <v>83</v>
      </c>
      <c r="H67" t="s">
        <v>73</v>
      </c>
    </row>
    <row r="68" spans="1:12" x14ac:dyDescent="0.2">
      <c r="A68" t="s">
        <v>802</v>
      </c>
      <c r="B68">
        <v>1</v>
      </c>
      <c r="C68" t="s">
        <v>37</v>
      </c>
      <c r="D68" t="s">
        <v>167</v>
      </c>
      <c r="F68" t="s">
        <v>84</v>
      </c>
      <c r="G68" t="s">
        <v>85</v>
      </c>
      <c r="H68" t="s">
        <v>802</v>
      </c>
    </row>
    <row r="69" spans="1:12" x14ac:dyDescent="0.2">
      <c r="A69" t="s">
        <v>266</v>
      </c>
      <c r="B69">
        <v>9.3984962406015038E-9</v>
      </c>
      <c r="C69" t="s">
        <v>37</v>
      </c>
      <c r="D69" t="s">
        <v>76</v>
      </c>
      <c r="F69" t="s">
        <v>89</v>
      </c>
      <c r="H69" t="s">
        <v>266</v>
      </c>
    </row>
    <row r="70" spans="1:12" x14ac:dyDescent="0.2">
      <c r="A70" t="s">
        <v>109</v>
      </c>
      <c r="B70" s="4">
        <v>9.7222222222222224E-2</v>
      </c>
      <c r="C70" t="s">
        <v>37</v>
      </c>
      <c r="D70" t="s">
        <v>96</v>
      </c>
      <c r="F70" t="s">
        <v>89</v>
      </c>
      <c r="G70" t="s">
        <v>28</v>
      </c>
      <c r="H70" t="s">
        <v>122</v>
      </c>
    </row>
    <row r="71" spans="1:12" x14ac:dyDescent="0.2">
      <c r="A71" t="s">
        <v>291</v>
      </c>
      <c r="B71" s="7">
        <v>2.2086466165413533E-7</v>
      </c>
      <c r="C71" t="s">
        <v>95</v>
      </c>
      <c r="D71" t="s">
        <v>77</v>
      </c>
      <c r="F71" t="s">
        <v>89</v>
      </c>
      <c r="G71" t="s">
        <v>293</v>
      </c>
      <c r="H71" t="s">
        <v>292</v>
      </c>
    </row>
    <row r="72" spans="1:12" x14ac:dyDescent="0.2">
      <c r="A72" t="s">
        <v>118</v>
      </c>
      <c r="B72" s="7">
        <v>1.2531328320802004E-8</v>
      </c>
      <c r="C72" t="s">
        <v>37</v>
      </c>
      <c r="D72" t="s">
        <v>76</v>
      </c>
      <c r="F72" t="s">
        <v>89</v>
      </c>
      <c r="G72" t="s">
        <v>116</v>
      </c>
      <c r="H72" t="s">
        <v>118</v>
      </c>
    </row>
    <row r="73" spans="1:12" x14ac:dyDescent="0.2">
      <c r="A73" t="s">
        <v>294</v>
      </c>
      <c r="B73" s="7">
        <v>1.5037593984962406E-7</v>
      </c>
      <c r="D73" t="s">
        <v>77</v>
      </c>
      <c r="E73" t="s">
        <v>163</v>
      </c>
      <c r="F73" t="s">
        <v>165</v>
      </c>
      <c r="G73" t="s">
        <v>295</v>
      </c>
      <c r="L73" s="6"/>
    </row>
    <row r="74" spans="1:12" x14ac:dyDescent="0.2">
      <c r="A74" t="s">
        <v>214</v>
      </c>
      <c r="B74" s="7">
        <v>4.2105263157894742E-9</v>
      </c>
      <c r="D74" t="s">
        <v>77</v>
      </c>
      <c r="E74" t="s">
        <v>163</v>
      </c>
      <c r="F74" t="s">
        <v>165</v>
      </c>
      <c r="G74" t="s">
        <v>300</v>
      </c>
    </row>
    <row r="75" spans="1:12" x14ac:dyDescent="0.2">
      <c r="A75" t="s">
        <v>296</v>
      </c>
      <c r="B75" s="7">
        <v>8.4210526315789483E-9</v>
      </c>
      <c r="D75" t="s">
        <v>77</v>
      </c>
      <c r="E75" t="s">
        <v>163</v>
      </c>
      <c r="F75" t="s">
        <v>165</v>
      </c>
      <c r="G75" t="s">
        <v>300</v>
      </c>
    </row>
    <row r="76" spans="1:12" x14ac:dyDescent="0.2">
      <c r="A76" t="s">
        <v>297</v>
      </c>
      <c r="B76" s="7">
        <v>8.6842105263157895E-9</v>
      </c>
      <c r="D76" t="s">
        <v>77</v>
      </c>
      <c r="E76" t="s">
        <v>163</v>
      </c>
      <c r="F76" t="s">
        <v>165</v>
      </c>
      <c r="G76" t="s">
        <v>300</v>
      </c>
    </row>
    <row r="77" spans="1:12" x14ac:dyDescent="0.2">
      <c r="A77" t="s">
        <v>214</v>
      </c>
      <c r="B77" s="7">
        <v>2.368421052631579E-7</v>
      </c>
      <c r="D77" t="s">
        <v>77</v>
      </c>
      <c r="E77" t="s">
        <v>163</v>
      </c>
      <c r="F77" t="s">
        <v>165</v>
      </c>
      <c r="G77" t="s">
        <v>301</v>
      </c>
    </row>
    <row r="78" spans="1:12" x14ac:dyDescent="0.2">
      <c r="A78" t="s">
        <v>296</v>
      </c>
      <c r="B78" s="7">
        <v>4.736842105263158E-7</v>
      </c>
      <c r="D78" t="s">
        <v>77</v>
      </c>
      <c r="E78" t="s">
        <v>163</v>
      </c>
      <c r="F78" t="s">
        <v>165</v>
      </c>
      <c r="G78" t="s">
        <v>301</v>
      </c>
    </row>
    <row r="79" spans="1:12" x14ac:dyDescent="0.2">
      <c r="A79" t="s">
        <v>214</v>
      </c>
      <c r="B79" s="7">
        <v>1.0526315789473683E-7</v>
      </c>
      <c r="D79" t="s">
        <v>77</v>
      </c>
      <c r="E79" t="s">
        <v>163</v>
      </c>
      <c r="F79" t="s">
        <v>165</v>
      </c>
      <c r="G79" t="s">
        <v>302</v>
      </c>
    </row>
    <row r="80" spans="1:12" x14ac:dyDescent="0.2">
      <c r="A80" t="s">
        <v>296</v>
      </c>
      <c r="B80" s="7">
        <v>2.1052631578947366E-7</v>
      </c>
      <c r="D80" t="s">
        <v>77</v>
      </c>
      <c r="E80" t="s">
        <v>163</v>
      </c>
      <c r="F80" t="s">
        <v>165</v>
      </c>
      <c r="G80" t="s">
        <v>302</v>
      </c>
    </row>
    <row r="81" spans="1:7" x14ac:dyDescent="0.2">
      <c r="A81" t="s">
        <v>298</v>
      </c>
      <c r="B81" s="7">
        <v>2.1052631578947371E-9</v>
      </c>
      <c r="D81" t="s">
        <v>77</v>
      </c>
      <c r="E81" t="s">
        <v>163</v>
      </c>
      <c r="F81" t="s">
        <v>165</v>
      </c>
      <c r="G81" t="s">
        <v>302</v>
      </c>
    </row>
    <row r="82" spans="1:7" x14ac:dyDescent="0.2">
      <c r="A82" t="s">
        <v>299</v>
      </c>
      <c r="B82" s="7">
        <v>4.2105263157894742E-9</v>
      </c>
      <c r="D82" t="s">
        <v>77</v>
      </c>
      <c r="E82" t="s">
        <v>163</v>
      </c>
      <c r="F82" t="s">
        <v>165</v>
      </c>
      <c r="G82" t="s">
        <v>302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H133"/>
  <sheetViews>
    <sheetView tabSelected="1" workbookViewId="0">
      <selection activeCell="G15" sqref="G15"/>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8" ht="16" x14ac:dyDescent="0.2">
      <c r="A1" s="10" t="s">
        <v>71</v>
      </c>
      <c r="B1" s="8" t="s">
        <v>366</v>
      </c>
    </row>
    <row r="2" spans="1:8" x14ac:dyDescent="0.2">
      <c r="A2" t="s">
        <v>72</v>
      </c>
      <c r="B2" t="s">
        <v>95</v>
      </c>
    </row>
    <row r="3" spans="1:8" x14ac:dyDescent="0.2">
      <c r="A3" t="s">
        <v>73</v>
      </c>
      <c r="B3" t="str">
        <f>B1</f>
        <v>charging station, 100W</v>
      </c>
    </row>
    <row r="4" spans="1:8" x14ac:dyDescent="0.2">
      <c r="A4" t="s">
        <v>74</v>
      </c>
      <c r="B4" t="s">
        <v>75</v>
      </c>
    </row>
    <row r="5" spans="1:8" x14ac:dyDescent="0.2">
      <c r="A5" t="s">
        <v>76</v>
      </c>
      <c r="B5" t="s">
        <v>76</v>
      </c>
    </row>
    <row r="6" spans="1:8" x14ac:dyDescent="0.2">
      <c r="A6" t="s">
        <v>78</v>
      </c>
      <c r="B6" t="s">
        <v>774</v>
      </c>
    </row>
    <row r="7" spans="1:8" x14ac:dyDescent="0.2">
      <c r="A7" t="s">
        <v>83</v>
      </c>
      <c r="B7" t="s">
        <v>367</v>
      </c>
    </row>
    <row r="8" spans="1:8" ht="16" x14ac:dyDescent="0.2">
      <c r="A8" s="10" t="s">
        <v>79</v>
      </c>
    </row>
    <row r="9" spans="1:8" x14ac:dyDescent="0.2">
      <c r="A9" t="s">
        <v>80</v>
      </c>
      <c r="B9" t="s">
        <v>81</v>
      </c>
      <c r="C9" t="s">
        <v>72</v>
      </c>
      <c r="D9" t="s">
        <v>76</v>
      </c>
      <c r="E9" t="s">
        <v>82</v>
      </c>
      <c r="F9" t="s">
        <v>74</v>
      </c>
      <c r="G9" t="s">
        <v>83</v>
      </c>
      <c r="H9" t="s">
        <v>73</v>
      </c>
    </row>
    <row r="10" spans="1:8" x14ac:dyDescent="0.2">
      <c r="A10" t="str">
        <f>B1</f>
        <v>charging station, 100W</v>
      </c>
      <c r="B10">
        <v>1</v>
      </c>
      <c r="C10" t="str">
        <f>B2</f>
        <v>GLO</v>
      </c>
      <c r="D10" t="str">
        <f>B5</f>
        <v>unit</v>
      </c>
      <c r="F10" t="s">
        <v>84</v>
      </c>
      <c r="G10" t="s">
        <v>85</v>
      </c>
      <c r="H10" t="str">
        <f>B3</f>
        <v>charging station, 100W</v>
      </c>
    </row>
    <row r="11" spans="1:8" x14ac:dyDescent="0.2">
      <c r="A11" s="13" t="s">
        <v>174</v>
      </c>
      <c r="B11" s="5">
        <f>0.5/3</f>
        <v>0.16666666666666666</v>
      </c>
      <c r="C11" t="s">
        <v>95</v>
      </c>
      <c r="D11" t="s">
        <v>77</v>
      </c>
      <c r="F11" t="s">
        <v>89</v>
      </c>
      <c r="H11" t="s">
        <v>175</v>
      </c>
    </row>
    <row r="12" spans="1:8" x14ac:dyDescent="0.2">
      <c r="A12" s="13" t="s">
        <v>216</v>
      </c>
      <c r="B12" s="5">
        <f>15900*(B11/1000)</f>
        <v>2.65</v>
      </c>
      <c r="C12" t="s">
        <v>95</v>
      </c>
      <c r="D12" t="s">
        <v>193</v>
      </c>
      <c r="F12" t="s">
        <v>89</v>
      </c>
      <c r="H12" t="s">
        <v>216</v>
      </c>
    </row>
    <row r="13" spans="1:8" x14ac:dyDescent="0.2">
      <c r="A13" s="13" t="s">
        <v>549</v>
      </c>
      <c r="B13" s="5">
        <f>1000*(B11/1000)</f>
        <v>0.16666666666666666</v>
      </c>
      <c r="C13" t="s">
        <v>92</v>
      </c>
      <c r="D13" t="s">
        <v>193</v>
      </c>
      <c r="F13" t="s">
        <v>89</v>
      </c>
      <c r="H13" t="s">
        <v>550</v>
      </c>
    </row>
    <row r="14" spans="1:8" x14ac:dyDescent="0.2">
      <c r="A14" t="s">
        <v>176</v>
      </c>
      <c r="B14" s="5">
        <f>-1*B11</f>
        <v>-0.16666666666666666</v>
      </c>
      <c r="C14" t="s">
        <v>95</v>
      </c>
      <c r="D14" t="s">
        <v>77</v>
      </c>
      <c r="F14" t="s">
        <v>89</v>
      </c>
      <c r="H14" t="s">
        <v>177</v>
      </c>
    </row>
    <row r="15" spans="1:8" x14ac:dyDescent="0.2">
      <c r="B15" s="11"/>
    </row>
    <row r="16" spans="1:8" ht="16" x14ac:dyDescent="0.2">
      <c r="A16" s="10" t="s">
        <v>71</v>
      </c>
      <c r="B16" s="8" t="s">
        <v>186</v>
      </c>
    </row>
    <row r="17" spans="1:8" x14ac:dyDescent="0.2">
      <c r="A17" t="s">
        <v>72</v>
      </c>
      <c r="B17" t="s">
        <v>95</v>
      </c>
    </row>
    <row r="18" spans="1:8" x14ac:dyDescent="0.2">
      <c r="A18" t="s">
        <v>73</v>
      </c>
      <c r="B18" t="str">
        <f>B16</f>
        <v>charging station, 500W</v>
      </c>
    </row>
    <row r="19" spans="1:8" x14ac:dyDescent="0.2">
      <c r="A19" t="s">
        <v>74</v>
      </c>
      <c r="B19" t="s">
        <v>75</v>
      </c>
    </row>
    <row r="20" spans="1:8" x14ac:dyDescent="0.2">
      <c r="A20" t="s">
        <v>76</v>
      </c>
      <c r="B20" t="s">
        <v>76</v>
      </c>
    </row>
    <row r="21" spans="1:8" x14ac:dyDescent="0.2">
      <c r="A21" t="s">
        <v>78</v>
      </c>
      <c r="B21" t="s">
        <v>774</v>
      </c>
    </row>
    <row r="22" spans="1:8" x14ac:dyDescent="0.2">
      <c r="A22" t="s">
        <v>83</v>
      </c>
      <c r="B22" t="s">
        <v>215</v>
      </c>
    </row>
    <row r="23" spans="1:8" ht="16" x14ac:dyDescent="0.2">
      <c r="A23" s="10" t="s">
        <v>79</v>
      </c>
    </row>
    <row r="24" spans="1:8" x14ac:dyDescent="0.2">
      <c r="A24" t="s">
        <v>80</v>
      </c>
      <c r="B24" t="s">
        <v>81</v>
      </c>
      <c r="C24" t="s">
        <v>72</v>
      </c>
      <c r="D24" t="s">
        <v>76</v>
      </c>
      <c r="E24" t="s">
        <v>82</v>
      </c>
      <c r="F24" t="s">
        <v>74</v>
      </c>
      <c r="G24" t="s">
        <v>83</v>
      </c>
      <c r="H24" t="s">
        <v>73</v>
      </c>
    </row>
    <row r="25" spans="1:8" x14ac:dyDescent="0.2">
      <c r="A25" t="str">
        <f>B16</f>
        <v>charging station, 500W</v>
      </c>
      <c r="B25">
        <v>1</v>
      </c>
      <c r="C25" t="str">
        <f>B17</f>
        <v>GLO</v>
      </c>
      <c r="D25" t="str">
        <f>B20</f>
        <v>unit</v>
      </c>
      <c r="F25" t="s">
        <v>84</v>
      </c>
      <c r="G25" t="s">
        <v>85</v>
      </c>
      <c r="H25" t="str">
        <f>B18</f>
        <v>charging station, 500W</v>
      </c>
    </row>
    <row r="26" spans="1:8" x14ac:dyDescent="0.2">
      <c r="A26" s="13" t="s">
        <v>174</v>
      </c>
      <c r="B26" s="5">
        <v>0.5</v>
      </c>
      <c r="C26" t="s">
        <v>95</v>
      </c>
      <c r="D26" t="s">
        <v>77</v>
      </c>
      <c r="F26" t="s">
        <v>89</v>
      </c>
      <c r="H26" t="s">
        <v>175</v>
      </c>
    </row>
    <row r="27" spans="1:8" x14ac:dyDescent="0.2">
      <c r="A27" s="13" t="s">
        <v>216</v>
      </c>
      <c r="B27" s="5">
        <f>15900*(B26/1000)</f>
        <v>7.95</v>
      </c>
      <c r="C27" t="s">
        <v>95</v>
      </c>
      <c r="D27" t="s">
        <v>193</v>
      </c>
      <c r="F27" t="s">
        <v>89</v>
      </c>
      <c r="H27" t="s">
        <v>216</v>
      </c>
    </row>
    <row r="28" spans="1:8" x14ac:dyDescent="0.2">
      <c r="A28" s="13" t="s">
        <v>549</v>
      </c>
      <c r="B28" s="5">
        <f>1000*(B26/1000)</f>
        <v>0.5</v>
      </c>
      <c r="C28" t="s">
        <v>92</v>
      </c>
      <c r="D28" t="s">
        <v>193</v>
      </c>
      <c r="F28" t="s">
        <v>89</v>
      </c>
      <c r="H28" t="s">
        <v>550</v>
      </c>
    </row>
    <row r="29" spans="1:8" x14ac:dyDescent="0.2">
      <c r="A29" t="s">
        <v>176</v>
      </c>
      <c r="B29" s="5">
        <f>-1*B26</f>
        <v>-0.5</v>
      </c>
      <c r="C29" t="s">
        <v>95</v>
      </c>
      <c r="D29" t="s">
        <v>77</v>
      </c>
      <c r="F29" t="s">
        <v>89</v>
      </c>
      <c r="H29" t="s">
        <v>177</v>
      </c>
    </row>
    <row r="30" spans="1:8" x14ac:dyDescent="0.2">
      <c r="B30" s="11"/>
    </row>
    <row r="31" spans="1:8" ht="16" x14ac:dyDescent="0.2">
      <c r="A31" s="10" t="s">
        <v>71</v>
      </c>
      <c r="B31" s="8" t="s">
        <v>187</v>
      </c>
    </row>
    <row r="32" spans="1:8" x14ac:dyDescent="0.2">
      <c r="A32" t="s">
        <v>72</v>
      </c>
      <c r="B32" t="s">
        <v>95</v>
      </c>
    </row>
    <row r="33" spans="1:8" x14ac:dyDescent="0.2">
      <c r="A33" t="s">
        <v>73</v>
      </c>
      <c r="B33" t="str">
        <f>B31</f>
        <v>charging station, 3kW</v>
      </c>
    </row>
    <row r="34" spans="1:8" x14ac:dyDescent="0.2">
      <c r="A34" t="s">
        <v>74</v>
      </c>
      <c r="B34" t="s">
        <v>75</v>
      </c>
    </row>
    <row r="35" spans="1:8" x14ac:dyDescent="0.2">
      <c r="A35" t="s">
        <v>76</v>
      </c>
      <c r="B35" t="s">
        <v>76</v>
      </c>
    </row>
    <row r="36" spans="1:8" x14ac:dyDescent="0.2">
      <c r="A36" t="s">
        <v>78</v>
      </c>
      <c r="B36" t="s">
        <v>774</v>
      </c>
    </row>
    <row r="37" spans="1:8" x14ac:dyDescent="0.2">
      <c r="A37" t="s">
        <v>83</v>
      </c>
      <c r="B37" t="s">
        <v>173</v>
      </c>
    </row>
    <row r="38" spans="1:8" ht="16" x14ac:dyDescent="0.2">
      <c r="A38" s="10" t="s">
        <v>79</v>
      </c>
    </row>
    <row r="39" spans="1:8" x14ac:dyDescent="0.2">
      <c r="A39" t="s">
        <v>80</v>
      </c>
      <c r="B39" t="s">
        <v>81</v>
      </c>
      <c r="C39" t="s">
        <v>72</v>
      </c>
      <c r="D39" t="s">
        <v>76</v>
      </c>
      <c r="E39" t="s">
        <v>82</v>
      </c>
      <c r="F39" t="s">
        <v>74</v>
      </c>
      <c r="G39" t="s">
        <v>83</v>
      </c>
      <c r="H39" t="s">
        <v>73</v>
      </c>
    </row>
    <row r="40" spans="1:8" x14ac:dyDescent="0.2">
      <c r="A40" t="str">
        <f>B31</f>
        <v>charging station, 3kW</v>
      </c>
      <c r="B40">
        <v>1</v>
      </c>
      <c r="C40" t="str">
        <f>B32</f>
        <v>GLO</v>
      </c>
      <c r="D40" t="str">
        <f>B35</f>
        <v>unit</v>
      </c>
      <c r="F40" t="s">
        <v>84</v>
      </c>
      <c r="G40" t="s">
        <v>85</v>
      </c>
      <c r="H40" t="str">
        <f>B33</f>
        <v>charging station, 3kW</v>
      </c>
    </row>
    <row r="41" spans="1:8" x14ac:dyDescent="0.2">
      <c r="A41" s="13" t="s">
        <v>174</v>
      </c>
      <c r="B41" s="5">
        <v>3</v>
      </c>
      <c r="C41" t="s">
        <v>95</v>
      </c>
      <c r="D41" t="s">
        <v>77</v>
      </c>
      <c r="F41" t="s">
        <v>89</v>
      </c>
      <c r="H41" t="s">
        <v>175</v>
      </c>
    </row>
    <row r="42" spans="1:8" x14ac:dyDescent="0.2">
      <c r="A42" s="13" t="s">
        <v>216</v>
      </c>
      <c r="B42" s="5">
        <f>15900*(B41/1000)</f>
        <v>47.7</v>
      </c>
      <c r="C42" t="s">
        <v>95</v>
      </c>
      <c r="D42" t="s">
        <v>193</v>
      </c>
      <c r="F42" t="s">
        <v>89</v>
      </c>
      <c r="H42" t="s">
        <v>216</v>
      </c>
    </row>
    <row r="43" spans="1:8" x14ac:dyDescent="0.2">
      <c r="A43" s="13" t="s">
        <v>549</v>
      </c>
      <c r="B43" s="5">
        <f>1000*(B41/1000)</f>
        <v>3</v>
      </c>
      <c r="C43" t="s">
        <v>92</v>
      </c>
      <c r="D43" t="s">
        <v>193</v>
      </c>
      <c r="F43" t="s">
        <v>89</v>
      </c>
      <c r="H43" t="s">
        <v>550</v>
      </c>
    </row>
    <row r="44" spans="1:8" x14ac:dyDescent="0.2">
      <c r="A44" t="s">
        <v>176</v>
      </c>
      <c r="B44" s="5">
        <f>-1*B41</f>
        <v>-3</v>
      </c>
      <c r="C44" t="s">
        <v>95</v>
      </c>
      <c r="D44" t="s">
        <v>77</v>
      </c>
      <c r="F44" t="s">
        <v>89</v>
      </c>
      <c r="H44" t="s">
        <v>177</v>
      </c>
    </row>
    <row r="46" spans="1:8" ht="16" x14ac:dyDescent="0.2">
      <c r="A46" s="10" t="s">
        <v>71</v>
      </c>
      <c r="B46" s="10" t="s">
        <v>796</v>
      </c>
    </row>
    <row r="47" spans="1:8" x14ac:dyDescent="0.2">
      <c r="A47" t="s">
        <v>83</v>
      </c>
      <c r="B47" t="s">
        <v>795</v>
      </c>
    </row>
    <row r="48" spans="1:8" x14ac:dyDescent="0.2">
      <c r="A48" t="s">
        <v>72</v>
      </c>
      <c r="B48" t="s">
        <v>95</v>
      </c>
    </row>
    <row r="49" spans="1:7" x14ac:dyDescent="0.2">
      <c r="A49" t="s">
        <v>178</v>
      </c>
      <c r="B49">
        <v>1</v>
      </c>
    </row>
    <row r="50" spans="1:7" x14ac:dyDescent="0.2">
      <c r="A50" t="s">
        <v>73</v>
      </c>
      <c r="B50" t="s">
        <v>796</v>
      </c>
    </row>
    <row r="51" spans="1:7" x14ac:dyDescent="0.2">
      <c r="A51" t="s">
        <v>76</v>
      </c>
      <c r="B51" t="s">
        <v>77</v>
      </c>
    </row>
    <row r="52" spans="1:7" ht="16" x14ac:dyDescent="0.2">
      <c r="A52" s="10" t="s">
        <v>79</v>
      </c>
    </row>
    <row r="53" spans="1:7" x14ac:dyDescent="0.2">
      <c r="A53" t="s">
        <v>80</v>
      </c>
      <c r="B53" t="s">
        <v>81</v>
      </c>
      <c r="C53" t="s">
        <v>180</v>
      </c>
      <c r="D53" t="s">
        <v>72</v>
      </c>
      <c r="E53" t="s">
        <v>76</v>
      </c>
      <c r="F53" t="s">
        <v>74</v>
      </c>
      <c r="G53" t="s">
        <v>73</v>
      </c>
    </row>
    <row r="54" spans="1:7" x14ac:dyDescent="0.2">
      <c r="A54" t="s">
        <v>796</v>
      </c>
      <c r="B54">
        <v>1</v>
      </c>
      <c r="C54" t="s">
        <v>179</v>
      </c>
      <c r="D54" t="s">
        <v>95</v>
      </c>
      <c r="E54" t="s">
        <v>77</v>
      </c>
      <c r="F54" t="s">
        <v>84</v>
      </c>
      <c r="G54" t="s">
        <v>796</v>
      </c>
    </row>
    <row r="55" spans="1:7" x14ac:dyDescent="0.2">
      <c r="A55" t="s">
        <v>183</v>
      </c>
      <c r="B55">
        <v>1.77</v>
      </c>
      <c r="C55" t="s">
        <v>184</v>
      </c>
      <c r="D55" t="s">
        <v>95</v>
      </c>
      <c r="E55" t="s">
        <v>77</v>
      </c>
      <c r="F55" t="s">
        <v>89</v>
      </c>
      <c r="G55" t="s">
        <v>185</v>
      </c>
    </row>
    <row r="56" spans="1:7" x14ac:dyDescent="0.2">
      <c r="A56" t="s">
        <v>181</v>
      </c>
      <c r="B56">
        <v>0.8</v>
      </c>
      <c r="C56" t="s">
        <v>184</v>
      </c>
      <c r="D56" t="s">
        <v>95</v>
      </c>
      <c r="E56" t="s">
        <v>77</v>
      </c>
      <c r="F56" t="s">
        <v>89</v>
      </c>
      <c r="G56" t="s">
        <v>182</v>
      </c>
    </row>
    <row r="57" spans="1:7" x14ac:dyDescent="0.2">
      <c r="A57" t="s">
        <v>202</v>
      </c>
      <c r="B57">
        <v>0.8</v>
      </c>
      <c r="C57" t="s">
        <v>184</v>
      </c>
      <c r="D57" t="s">
        <v>92</v>
      </c>
      <c r="E57" t="s">
        <v>77</v>
      </c>
      <c r="F57" t="s">
        <v>89</v>
      </c>
      <c r="G57" t="s">
        <v>202</v>
      </c>
    </row>
    <row r="58" spans="1:7" x14ac:dyDescent="0.2">
      <c r="A58" t="s">
        <v>183</v>
      </c>
      <c r="B58">
        <v>-3.57</v>
      </c>
      <c r="C58" t="s">
        <v>184</v>
      </c>
      <c r="D58" t="s">
        <v>95</v>
      </c>
      <c r="E58" t="s">
        <v>77</v>
      </c>
      <c r="F58" t="s">
        <v>89</v>
      </c>
      <c r="G58" t="s">
        <v>185</v>
      </c>
    </row>
    <row r="61" spans="1:7" ht="16" x14ac:dyDescent="0.2">
      <c r="A61" s="10" t="s">
        <v>71</v>
      </c>
      <c r="B61" s="10" t="s">
        <v>249</v>
      </c>
    </row>
    <row r="62" spans="1:7" x14ac:dyDescent="0.2">
      <c r="A62" t="s">
        <v>83</v>
      </c>
      <c r="B62" t="s">
        <v>85</v>
      </c>
    </row>
    <row r="63" spans="1:7" x14ac:dyDescent="0.2">
      <c r="A63" t="s">
        <v>72</v>
      </c>
      <c r="B63" t="s">
        <v>92</v>
      </c>
    </row>
    <row r="64" spans="1:7" x14ac:dyDescent="0.2">
      <c r="A64" t="s">
        <v>178</v>
      </c>
      <c r="B64">
        <v>1</v>
      </c>
    </row>
    <row r="65" spans="1:8" x14ac:dyDescent="0.2">
      <c r="A65" t="s">
        <v>73</v>
      </c>
      <c r="B65" t="s">
        <v>248</v>
      </c>
    </row>
    <row r="66" spans="1:8" x14ac:dyDescent="0.2">
      <c r="A66" t="s">
        <v>76</v>
      </c>
      <c r="B66" t="s">
        <v>76</v>
      </c>
    </row>
    <row r="67" spans="1:8" x14ac:dyDescent="0.2">
      <c r="A67" t="s">
        <v>83</v>
      </c>
      <c r="B67" t="s">
        <v>247</v>
      </c>
    </row>
    <row r="68" spans="1:8" ht="16" x14ac:dyDescent="0.2">
      <c r="A68" s="10" t="s">
        <v>79</v>
      </c>
    </row>
    <row r="69" spans="1:8" x14ac:dyDescent="0.2">
      <c r="A69" t="s">
        <v>80</v>
      </c>
      <c r="B69" t="s">
        <v>81</v>
      </c>
      <c r="C69" t="s">
        <v>180</v>
      </c>
      <c r="D69" t="s">
        <v>72</v>
      </c>
      <c r="E69" t="s">
        <v>82</v>
      </c>
      <c r="F69" t="s">
        <v>76</v>
      </c>
      <c r="G69" t="s">
        <v>74</v>
      </c>
      <c r="H69" t="s">
        <v>73</v>
      </c>
    </row>
    <row r="70" spans="1:8" x14ac:dyDescent="0.2">
      <c r="A70" t="s">
        <v>249</v>
      </c>
      <c r="B70">
        <v>1</v>
      </c>
      <c r="C70" t="s">
        <v>179</v>
      </c>
      <c r="D70" t="s">
        <v>92</v>
      </c>
      <c r="F70" t="s">
        <v>76</v>
      </c>
      <c r="G70" t="s">
        <v>84</v>
      </c>
      <c r="H70" t="s">
        <v>248</v>
      </c>
    </row>
    <row r="71" spans="1:8" x14ac:dyDescent="0.2">
      <c r="A71" t="s">
        <v>200</v>
      </c>
      <c r="B71">
        <v>4.6000000000000001E-10</v>
      </c>
      <c r="C71" t="s">
        <v>184</v>
      </c>
      <c r="D71" t="s">
        <v>95</v>
      </c>
      <c r="F71" t="s">
        <v>76</v>
      </c>
      <c r="G71" t="s">
        <v>89</v>
      </c>
      <c r="H71" t="s">
        <v>201</v>
      </c>
    </row>
    <row r="72" spans="1:8" x14ac:dyDescent="0.2">
      <c r="A72" t="s">
        <v>203</v>
      </c>
      <c r="B72">
        <v>1</v>
      </c>
      <c r="C72" t="s">
        <v>184</v>
      </c>
      <c r="D72" t="s">
        <v>95</v>
      </c>
      <c r="F72" t="s">
        <v>77</v>
      </c>
      <c r="G72" t="s">
        <v>89</v>
      </c>
      <c r="H72" t="s">
        <v>204</v>
      </c>
    </row>
    <row r="73" spans="1:8" x14ac:dyDescent="0.2">
      <c r="A73" t="s">
        <v>205</v>
      </c>
      <c r="B73">
        <v>1</v>
      </c>
      <c r="C73" t="s">
        <v>184</v>
      </c>
      <c r="D73" t="s">
        <v>95</v>
      </c>
      <c r="F73" t="s">
        <v>77</v>
      </c>
      <c r="G73" t="s">
        <v>89</v>
      </c>
      <c r="H73" t="s">
        <v>206</v>
      </c>
    </row>
    <row r="74" spans="1:8" x14ac:dyDescent="0.2">
      <c r="A74" t="s">
        <v>217</v>
      </c>
      <c r="B74">
        <v>1.9575</v>
      </c>
      <c r="C74" t="s">
        <v>184</v>
      </c>
      <c r="D74" t="s">
        <v>95</v>
      </c>
      <c r="F74" t="s">
        <v>77</v>
      </c>
      <c r="G74" t="s">
        <v>89</v>
      </c>
      <c r="H74" t="s">
        <v>115</v>
      </c>
    </row>
    <row r="75" spans="1:8" x14ac:dyDescent="0.2">
      <c r="A75" t="s">
        <v>199</v>
      </c>
      <c r="B75">
        <v>1.9575</v>
      </c>
      <c r="C75" t="s">
        <v>184</v>
      </c>
      <c r="D75" t="s">
        <v>92</v>
      </c>
      <c r="F75" t="s">
        <v>77</v>
      </c>
      <c r="G75" t="s">
        <v>89</v>
      </c>
      <c r="H75" t="s">
        <v>199</v>
      </c>
    </row>
    <row r="76" spans="1:8" x14ac:dyDescent="0.2">
      <c r="A76" t="s">
        <v>219</v>
      </c>
      <c r="B76" s="7">
        <v>1.3227E-9</v>
      </c>
      <c r="C76" t="s">
        <v>184</v>
      </c>
      <c r="D76" t="s">
        <v>92</v>
      </c>
      <c r="F76" t="s">
        <v>76</v>
      </c>
      <c r="G76" t="s">
        <v>89</v>
      </c>
      <c r="H76" t="s">
        <v>218</v>
      </c>
    </row>
    <row r="77" spans="1:8" x14ac:dyDescent="0.2">
      <c r="A77" t="s">
        <v>221</v>
      </c>
      <c r="B77">
        <v>-4.5</v>
      </c>
      <c r="C77" t="s">
        <v>184</v>
      </c>
      <c r="D77" t="s">
        <v>92</v>
      </c>
      <c r="F77" t="s">
        <v>77</v>
      </c>
      <c r="G77" t="s">
        <v>89</v>
      </c>
      <c r="H77" t="s">
        <v>220</v>
      </c>
    </row>
    <row r="78" spans="1:8" x14ac:dyDescent="0.2">
      <c r="A78" t="s">
        <v>222</v>
      </c>
      <c r="B78">
        <v>13.580249999999999</v>
      </c>
      <c r="C78" t="s">
        <v>184</v>
      </c>
      <c r="D78" t="s">
        <v>92</v>
      </c>
      <c r="F78" t="s">
        <v>191</v>
      </c>
      <c r="G78" t="s">
        <v>89</v>
      </c>
      <c r="H78" t="s">
        <v>195</v>
      </c>
    </row>
    <row r="79" spans="1:8" x14ac:dyDescent="0.2">
      <c r="A79" t="s">
        <v>223</v>
      </c>
      <c r="B79">
        <v>5.1220999999999997</v>
      </c>
      <c r="C79" t="s">
        <v>184</v>
      </c>
      <c r="D79" t="s">
        <v>95</v>
      </c>
      <c r="F79" t="s">
        <v>77</v>
      </c>
      <c r="G79" t="s">
        <v>89</v>
      </c>
      <c r="H79" t="s">
        <v>192</v>
      </c>
    </row>
    <row r="80" spans="1:8" x14ac:dyDescent="0.2">
      <c r="A80" t="s">
        <v>224</v>
      </c>
      <c r="B80">
        <v>0.33750000000000002</v>
      </c>
      <c r="C80" t="s">
        <v>184</v>
      </c>
      <c r="D80" t="s">
        <v>92</v>
      </c>
      <c r="F80" t="s">
        <v>77</v>
      </c>
      <c r="G80" t="s">
        <v>89</v>
      </c>
      <c r="H80" t="s">
        <v>224</v>
      </c>
    </row>
    <row r="81" spans="1:8" x14ac:dyDescent="0.2">
      <c r="A81" t="s">
        <v>194</v>
      </c>
      <c r="B81">
        <v>6.8902000000000001</v>
      </c>
      <c r="C81" t="s">
        <v>184</v>
      </c>
      <c r="D81" t="s">
        <v>92</v>
      </c>
      <c r="F81" t="s">
        <v>96</v>
      </c>
      <c r="G81" t="s">
        <v>89</v>
      </c>
      <c r="H81" t="s">
        <v>122</v>
      </c>
    </row>
    <row r="82" spans="1:8" x14ac:dyDescent="0.2">
      <c r="A82" t="s">
        <v>183</v>
      </c>
      <c r="B82">
        <v>4.9024999999999999</v>
      </c>
      <c r="C82" t="s">
        <v>184</v>
      </c>
      <c r="D82" t="s">
        <v>95</v>
      </c>
      <c r="F82" t="s">
        <v>77</v>
      </c>
      <c r="G82" t="s">
        <v>89</v>
      </c>
      <c r="H82" t="s">
        <v>185</v>
      </c>
    </row>
    <row r="83" spans="1:8" x14ac:dyDescent="0.2">
      <c r="A83" t="s">
        <v>225</v>
      </c>
      <c r="B83">
        <v>3.7663000000000002</v>
      </c>
      <c r="C83" t="s">
        <v>184</v>
      </c>
      <c r="D83" t="s">
        <v>92</v>
      </c>
      <c r="F83" t="s">
        <v>77</v>
      </c>
      <c r="G83" t="s">
        <v>89</v>
      </c>
      <c r="H83" t="s">
        <v>225</v>
      </c>
    </row>
    <row r="84" spans="1:8" x14ac:dyDescent="0.2">
      <c r="A84" t="s">
        <v>229</v>
      </c>
      <c r="B84">
        <v>0.19269800000000001</v>
      </c>
      <c r="C84" t="s">
        <v>184</v>
      </c>
      <c r="D84" t="s">
        <v>92</v>
      </c>
      <c r="F84" t="s">
        <v>191</v>
      </c>
      <c r="G84" t="s">
        <v>89</v>
      </c>
      <c r="H84" t="s">
        <v>228</v>
      </c>
    </row>
    <row r="85" spans="1:8" x14ac:dyDescent="0.2">
      <c r="A85" t="s">
        <v>231</v>
      </c>
      <c r="B85">
        <v>0.74399999999999999</v>
      </c>
      <c r="C85" t="s">
        <v>184</v>
      </c>
      <c r="D85" t="s">
        <v>92</v>
      </c>
      <c r="F85" t="s">
        <v>77</v>
      </c>
      <c r="G85" t="s">
        <v>89</v>
      </c>
      <c r="H85" t="s">
        <v>230</v>
      </c>
    </row>
    <row r="86" spans="1:8" x14ac:dyDescent="0.2">
      <c r="A86" t="s">
        <v>233</v>
      </c>
      <c r="B86">
        <v>2.4104000000000001</v>
      </c>
      <c r="C86" t="s">
        <v>184</v>
      </c>
      <c r="D86" t="s">
        <v>95</v>
      </c>
      <c r="F86" t="s">
        <v>77</v>
      </c>
      <c r="G86" t="s">
        <v>89</v>
      </c>
      <c r="H86" t="s">
        <v>232</v>
      </c>
    </row>
    <row r="87" spans="1:8" x14ac:dyDescent="0.2">
      <c r="A87" t="s">
        <v>235</v>
      </c>
      <c r="B87">
        <v>0.03</v>
      </c>
      <c r="C87" t="s">
        <v>184</v>
      </c>
      <c r="D87" t="s">
        <v>92</v>
      </c>
      <c r="F87" t="s">
        <v>77</v>
      </c>
      <c r="G87" t="s">
        <v>89</v>
      </c>
      <c r="H87" t="s">
        <v>234</v>
      </c>
    </row>
    <row r="88" spans="1:8" x14ac:dyDescent="0.2">
      <c r="A88" t="s">
        <v>197</v>
      </c>
      <c r="B88">
        <v>0.5625</v>
      </c>
      <c r="C88" t="s">
        <v>184</v>
      </c>
      <c r="D88" t="s">
        <v>95</v>
      </c>
      <c r="F88" t="s">
        <v>77</v>
      </c>
      <c r="G88" t="s">
        <v>89</v>
      </c>
      <c r="H88" t="s">
        <v>198</v>
      </c>
    </row>
    <row r="89" spans="1:8" x14ac:dyDescent="0.2">
      <c r="A89" t="s">
        <v>237</v>
      </c>
      <c r="B89">
        <v>1.59</v>
      </c>
      <c r="C89" t="s">
        <v>184</v>
      </c>
      <c r="D89" t="s">
        <v>95</v>
      </c>
      <c r="F89" t="s">
        <v>77</v>
      </c>
      <c r="G89" t="s">
        <v>89</v>
      </c>
      <c r="H89" t="s">
        <v>236</v>
      </c>
    </row>
    <row r="90" spans="1:8" x14ac:dyDescent="0.2">
      <c r="A90" t="s">
        <v>239</v>
      </c>
      <c r="B90">
        <v>0.35</v>
      </c>
      <c r="C90" t="s">
        <v>184</v>
      </c>
      <c r="D90" t="s">
        <v>92</v>
      </c>
      <c r="F90" t="s">
        <v>211</v>
      </c>
      <c r="G90" t="s">
        <v>89</v>
      </c>
      <c r="H90" t="s">
        <v>238</v>
      </c>
    </row>
    <row r="91" spans="1:8" x14ac:dyDescent="0.2">
      <c r="A91" t="s">
        <v>241</v>
      </c>
      <c r="B91">
        <v>0.159</v>
      </c>
      <c r="C91" t="s">
        <v>184</v>
      </c>
      <c r="D91" t="s">
        <v>92</v>
      </c>
      <c r="F91" t="s">
        <v>77</v>
      </c>
      <c r="G91" t="s">
        <v>89</v>
      </c>
      <c r="H91" t="s">
        <v>240</v>
      </c>
    </row>
    <row r="92" spans="1:8" x14ac:dyDescent="0.2">
      <c r="A92" t="s">
        <v>243</v>
      </c>
      <c r="B92">
        <v>0.75</v>
      </c>
      <c r="C92" t="s">
        <v>184</v>
      </c>
      <c r="D92" t="s">
        <v>92</v>
      </c>
      <c r="F92" t="s">
        <v>242</v>
      </c>
      <c r="G92" t="s">
        <v>89</v>
      </c>
      <c r="H92" t="s">
        <v>243</v>
      </c>
    </row>
    <row r="93" spans="1:8" x14ac:dyDescent="0.2">
      <c r="A93" t="s">
        <v>245</v>
      </c>
      <c r="B93">
        <v>-6.7137031720422395E-4</v>
      </c>
      <c r="C93" t="s">
        <v>184</v>
      </c>
      <c r="D93" t="s">
        <v>196</v>
      </c>
      <c r="F93" t="s">
        <v>210</v>
      </c>
      <c r="G93" t="s">
        <v>89</v>
      </c>
      <c r="H93" t="s">
        <v>244</v>
      </c>
    </row>
    <row r="94" spans="1:8" x14ac:dyDescent="0.2">
      <c r="A94" t="s">
        <v>245</v>
      </c>
      <c r="B94" s="7">
        <v>-7.2629682795775403E-5</v>
      </c>
      <c r="C94" t="s">
        <v>184</v>
      </c>
      <c r="D94" t="s">
        <v>37</v>
      </c>
      <c r="F94" t="s">
        <v>210</v>
      </c>
      <c r="G94" t="s">
        <v>89</v>
      </c>
      <c r="H94" t="s">
        <v>244</v>
      </c>
    </row>
    <row r="95" spans="1:8" x14ac:dyDescent="0.2">
      <c r="A95" t="s">
        <v>246</v>
      </c>
      <c r="B95">
        <v>1.116E-4</v>
      </c>
      <c r="C95" t="s">
        <v>208</v>
      </c>
      <c r="E95" t="s">
        <v>163</v>
      </c>
      <c r="F95" t="s">
        <v>210</v>
      </c>
      <c r="G95" t="s">
        <v>165</v>
      </c>
    </row>
    <row r="98" spans="1:8" ht="16" x14ac:dyDescent="0.2">
      <c r="A98" s="10" t="s">
        <v>71</v>
      </c>
      <c r="B98" s="10" t="s">
        <v>250</v>
      </c>
    </row>
    <row r="99" spans="1:8" x14ac:dyDescent="0.2">
      <c r="A99" t="s">
        <v>83</v>
      </c>
      <c r="B99" t="s">
        <v>85</v>
      </c>
    </row>
    <row r="100" spans="1:8" x14ac:dyDescent="0.2">
      <c r="A100" t="s">
        <v>72</v>
      </c>
      <c r="B100" t="s">
        <v>37</v>
      </c>
    </row>
    <row r="101" spans="1:8" x14ac:dyDescent="0.2">
      <c r="A101" t="s">
        <v>178</v>
      </c>
      <c r="B101">
        <v>1</v>
      </c>
    </row>
    <row r="102" spans="1:8" x14ac:dyDescent="0.2">
      <c r="A102" t="s">
        <v>73</v>
      </c>
      <c r="B102" t="s">
        <v>250</v>
      </c>
    </row>
    <row r="103" spans="1:8" x14ac:dyDescent="0.2">
      <c r="A103" t="s">
        <v>76</v>
      </c>
      <c r="B103" t="s">
        <v>76</v>
      </c>
    </row>
    <row r="104" spans="1:8" x14ac:dyDescent="0.2">
      <c r="A104" t="s">
        <v>83</v>
      </c>
      <c r="B104" t="s">
        <v>259</v>
      </c>
    </row>
    <row r="105" spans="1:8" ht="16" x14ac:dyDescent="0.2">
      <c r="A105" s="10" t="s">
        <v>79</v>
      </c>
    </row>
    <row r="106" spans="1:8" x14ac:dyDescent="0.2">
      <c r="A106" t="s">
        <v>80</v>
      </c>
      <c r="B106" t="s">
        <v>81</v>
      </c>
      <c r="C106" t="s">
        <v>180</v>
      </c>
      <c r="D106" t="s">
        <v>72</v>
      </c>
      <c r="E106" t="s">
        <v>82</v>
      </c>
      <c r="F106" t="s">
        <v>76</v>
      </c>
      <c r="G106" t="s">
        <v>74</v>
      </c>
      <c r="H106" t="s">
        <v>73</v>
      </c>
    </row>
    <row r="107" spans="1:8" x14ac:dyDescent="0.2">
      <c r="A107" t="s">
        <v>250</v>
      </c>
      <c r="B107">
        <v>1</v>
      </c>
      <c r="C107" t="s">
        <v>179</v>
      </c>
      <c r="D107" t="s">
        <v>37</v>
      </c>
      <c r="F107" t="s">
        <v>76</v>
      </c>
      <c r="G107" t="s">
        <v>84</v>
      </c>
      <c r="H107" t="s">
        <v>250</v>
      </c>
    </row>
    <row r="108" spans="1:8" x14ac:dyDescent="0.2">
      <c r="A108" t="s">
        <v>252</v>
      </c>
      <c r="B108">
        <v>0.37662000000000001</v>
      </c>
      <c r="C108" t="s">
        <v>258</v>
      </c>
      <c r="D108" t="s">
        <v>95</v>
      </c>
      <c r="F108" t="s">
        <v>77</v>
      </c>
      <c r="G108" t="s">
        <v>89</v>
      </c>
      <c r="H108" t="s">
        <v>251</v>
      </c>
    </row>
    <row r="109" spans="1:8" x14ac:dyDescent="0.2">
      <c r="A109" t="s">
        <v>241</v>
      </c>
      <c r="B109">
        <v>0.22825000000000001</v>
      </c>
      <c r="C109" t="s">
        <v>258</v>
      </c>
      <c r="D109" t="s">
        <v>92</v>
      </c>
      <c r="F109" t="s">
        <v>77</v>
      </c>
      <c r="G109" t="s">
        <v>89</v>
      </c>
      <c r="H109" t="s">
        <v>240</v>
      </c>
    </row>
    <row r="110" spans="1:8" x14ac:dyDescent="0.2">
      <c r="A110" t="s">
        <v>254</v>
      </c>
      <c r="B110">
        <v>-1.0087999999999999</v>
      </c>
      <c r="C110" t="s">
        <v>258</v>
      </c>
      <c r="D110" t="s">
        <v>37</v>
      </c>
      <c r="F110" t="s">
        <v>77</v>
      </c>
      <c r="G110" t="s">
        <v>89</v>
      </c>
      <c r="H110" t="s">
        <v>253</v>
      </c>
    </row>
    <row r="111" spans="1:8" x14ac:dyDescent="0.2">
      <c r="A111" t="s">
        <v>199</v>
      </c>
      <c r="B111">
        <v>0.97875000000000001</v>
      </c>
      <c r="C111" t="s">
        <v>258</v>
      </c>
      <c r="D111" t="s">
        <v>92</v>
      </c>
      <c r="F111" t="s">
        <v>77</v>
      </c>
      <c r="G111" t="s">
        <v>89</v>
      </c>
      <c r="H111" t="s">
        <v>199</v>
      </c>
    </row>
    <row r="112" spans="1:8" x14ac:dyDescent="0.2">
      <c r="A112" t="s">
        <v>197</v>
      </c>
      <c r="B112">
        <v>1.6875</v>
      </c>
      <c r="C112" t="s">
        <v>258</v>
      </c>
      <c r="D112" t="s">
        <v>95</v>
      </c>
      <c r="F112" t="s">
        <v>77</v>
      </c>
      <c r="G112" t="s">
        <v>89</v>
      </c>
      <c r="H112" t="s">
        <v>198</v>
      </c>
    </row>
    <row r="113" spans="1:8" x14ac:dyDescent="0.2">
      <c r="A113" t="s">
        <v>235</v>
      </c>
      <c r="B113">
        <v>0.03</v>
      </c>
      <c r="C113" t="s">
        <v>258</v>
      </c>
      <c r="D113" t="s">
        <v>92</v>
      </c>
      <c r="F113" t="s">
        <v>77</v>
      </c>
      <c r="G113" t="s">
        <v>89</v>
      </c>
      <c r="H113" t="s">
        <v>234</v>
      </c>
    </row>
    <row r="114" spans="1:8" x14ac:dyDescent="0.2">
      <c r="A114" t="s">
        <v>217</v>
      </c>
      <c r="B114">
        <v>0.97875000000000001</v>
      </c>
      <c r="C114" t="s">
        <v>258</v>
      </c>
      <c r="D114" t="s">
        <v>95</v>
      </c>
      <c r="F114" t="s">
        <v>77</v>
      </c>
      <c r="G114" t="s">
        <v>89</v>
      </c>
      <c r="H114" t="s">
        <v>115</v>
      </c>
    </row>
    <row r="115" spans="1:8" x14ac:dyDescent="0.2">
      <c r="A115" t="s">
        <v>256</v>
      </c>
      <c r="B115">
        <v>-0.84375</v>
      </c>
      <c r="C115" t="s">
        <v>258</v>
      </c>
      <c r="D115" t="s">
        <v>37</v>
      </c>
      <c r="F115" t="s">
        <v>77</v>
      </c>
      <c r="G115" t="s">
        <v>89</v>
      </c>
      <c r="H115" t="s">
        <v>255</v>
      </c>
    </row>
    <row r="116" spans="1:8" x14ac:dyDescent="0.2">
      <c r="A116" t="s">
        <v>257</v>
      </c>
      <c r="B116">
        <v>7.4399999999999994E-2</v>
      </c>
      <c r="C116" t="s">
        <v>258</v>
      </c>
      <c r="D116" t="s">
        <v>37</v>
      </c>
      <c r="F116" t="s">
        <v>77</v>
      </c>
      <c r="G116" t="s">
        <v>89</v>
      </c>
      <c r="H116" t="s">
        <v>230</v>
      </c>
    </row>
    <row r="117" spans="1:8" x14ac:dyDescent="0.2">
      <c r="A117" t="s">
        <v>183</v>
      </c>
      <c r="B117">
        <v>0.22825000000000001</v>
      </c>
      <c r="C117" t="s">
        <v>258</v>
      </c>
      <c r="D117" t="s">
        <v>95</v>
      </c>
      <c r="F117" t="s">
        <v>77</v>
      </c>
      <c r="G117" t="s">
        <v>89</v>
      </c>
      <c r="H117" t="s">
        <v>185</v>
      </c>
    </row>
    <row r="118" spans="1:8" x14ac:dyDescent="0.2">
      <c r="A118" t="s">
        <v>225</v>
      </c>
      <c r="B118">
        <v>0.37662000000000001</v>
      </c>
      <c r="C118" t="s">
        <v>258</v>
      </c>
      <c r="D118" t="s">
        <v>92</v>
      </c>
      <c r="F118" t="s">
        <v>77</v>
      </c>
      <c r="G118" t="s">
        <v>89</v>
      </c>
      <c r="H118" t="s">
        <v>225</v>
      </c>
    </row>
    <row r="119" spans="1:8" x14ac:dyDescent="0.2">
      <c r="A119" t="s">
        <v>246</v>
      </c>
      <c r="B119" s="7">
        <v>6.3239999999999998E-5</v>
      </c>
      <c r="C119" t="s">
        <v>208</v>
      </c>
      <c r="E119" t="s">
        <v>207</v>
      </c>
      <c r="F119" t="s">
        <v>210</v>
      </c>
      <c r="G119" t="s">
        <v>165</v>
      </c>
    </row>
    <row r="120" spans="1:8" x14ac:dyDescent="0.2">
      <c r="A120" t="s">
        <v>246</v>
      </c>
      <c r="B120" s="7">
        <v>1.116E-5</v>
      </c>
      <c r="C120" t="s">
        <v>208</v>
      </c>
      <c r="E120" t="s">
        <v>163</v>
      </c>
      <c r="F120" t="s">
        <v>210</v>
      </c>
      <c r="G120" t="s">
        <v>165</v>
      </c>
    </row>
    <row r="122" spans="1:8" ht="16" x14ac:dyDescent="0.2">
      <c r="A122" s="10" t="s">
        <v>71</v>
      </c>
      <c r="B122" s="21" t="s">
        <v>557</v>
      </c>
    </row>
    <row r="123" spans="1:8" x14ac:dyDescent="0.2">
      <c r="A123" t="s">
        <v>72</v>
      </c>
      <c r="B123" s="7" t="s">
        <v>37</v>
      </c>
    </row>
    <row r="124" spans="1:8" x14ac:dyDescent="0.2">
      <c r="A124" t="s">
        <v>178</v>
      </c>
      <c r="B124" s="7">
        <v>1</v>
      </c>
    </row>
    <row r="125" spans="1:8" ht="16" x14ac:dyDescent="0.2">
      <c r="A125" t="s">
        <v>73</v>
      </c>
      <c r="B125" s="22" t="s">
        <v>558</v>
      </c>
    </row>
    <row r="126" spans="1:8" x14ac:dyDescent="0.2">
      <c r="A126" t="s">
        <v>78</v>
      </c>
      <c r="B126" s="7" t="s">
        <v>559</v>
      </c>
    </row>
    <row r="127" spans="1:8" x14ac:dyDescent="0.2">
      <c r="A127" t="s">
        <v>74</v>
      </c>
      <c r="B127" s="7" t="s">
        <v>75</v>
      </c>
    </row>
    <row r="128" spans="1:8" x14ac:dyDescent="0.2">
      <c r="A128" t="s">
        <v>76</v>
      </c>
      <c r="B128" s="7" t="s">
        <v>77</v>
      </c>
    </row>
    <row r="129" spans="1:7" ht="16" x14ac:dyDescent="0.2">
      <c r="A129" s="10" t="s">
        <v>79</v>
      </c>
      <c r="B129" s="7"/>
    </row>
    <row r="130" spans="1:7" x14ac:dyDescent="0.2">
      <c r="A130" t="s">
        <v>80</v>
      </c>
      <c r="B130" s="7" t="s">
        <v>81</v>
      </c>
      <c r="C130" t="s">
        <v>72</v>
      </c>
      <c r="D130" t="s">
        <v>76</v>
      </c>
      <c r="E130" t="s">
        <v>82</v>
      </c>
      <c r="F130" t="s">
        <v>74</v>
      </c>
      <c r="G130" t="s">
        <v>73</v>
      </c>
    </row>
    <row r="131" spans="1:7" x14ac:dyDescent="0.2">
      <c r="A131" t="s">
        <v>557</v>
      </c>
      <c r="B131" s="7">
        <v>1</v>
      </c>
      <c r="C131" t="s">
        <v>37</v>
      </c>
      <c r="D131" t="s">
        <v>77</v>
      </c>
      <c r="F131" t="s">
        <v>84</v>
      </c>
      <c r="G131" t="s">
        <v>558</v>
      </c>
    </row>
    <row r="132" spans="1:7" x14ac:dyDescent="0.2">
      <c r="A132" t="s">
        <v>555</v>
      </c>
      <c r="B132" s="7">
        <v>1.2E-2</v>
      </c>
      <c r="C132" t="s">
        <v>92</v>
      </c>
      <c r="D132" t="s">
        <v>77</v>
      </c>
      <c r="F132" t="s">
        <v>89</v>
      </c>
      <c r="G132" t="s">
        <v>556</v>
      </c>
    </row>
    <row r="133" spans="1:7" x14ac:dyDescent="0.2">
      <c r="A133" t="s">
        <v>97</v>
      </c>
      <c r="B133" s="7">
        <f>1-B132</f>
        <v>0.98799999999999999</v>
      </c>
      <c r="C133" t="s">
        <v>37</v>
      </c>
      <c r="D133" t="s">
        <v>77</v>
      </c>
      <c r="F133" t="s">
        <v>89</v>
      </c>
      <c r="G133" t="s">
        <v>99</v>
      </c>
    </row>
  </sheetData>
  <autoFilter ref="A1:N133" xr:uid="{00000000-0001-0000-2E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75"/>
  <sheetViews>
    <sheetView topLeftCell="A259" workbookViewId="0">
      <selection activeCell="H273" sqref="H273"/>
    </sheetView>
  </sheetViews>
  <sheetFormatPr baseColWidth="10" defaultColWidth="8.83203125" defaultRowHeight="15" x14ac:dyDescent="0.2"/>
  <cols>
    <col min="1" max="1" width="43.5" bestFit="1" customWidth="1"/>
    <col min="2" max="2" width="34.1640625" bestFit="1" customWidth="1"/>
    <col min="3" max="3" width="4.5" bestFit="1" customWidth="1"/>
    <col min="4" max="4" width="4.6640625" bestFit="1" customWidth="1"/>
    <col min="5" max="5" width="8" bestFit="1" customWidth="1"/>
    <col min="6" max="6" width="8.33203125" customWidth="1"/>
    <col min="7" max="7" width="8.1640625" customWidth="1"/>
    <col min="8" max="8" width="10.33203125" bestFit="1" customWidth="1"/>
    <col min="9" max="9" width="11.33203125" customWidth="1"/>
    <col min="10" max="10" width="14.33203125" customWidth="1"/>
    <col min="11" max="11" width="8.83203125" customWidth="1"/>
    <col min="12" max="12" width="5.6640625" customWidth="1"/>
    <col min="13" max="13" width="18.33203125" customWidth="1"/>
    <col min="14" max="14" width="11.33203125" customWidth="1"/>
    <col min="15" max="15" width="12" customWidth="1"/>
    <col min="16" max="16" width="11.6640625" customWidth="1"/>
    <col min="17" max="18" width="6.5" customWidth="1"/>
    <col min="19" max="53" width="8.83203125" customWidth="1"/>
    <col min="54" max="54" width="48" customWidth="1"/>
    <col min="57" max="57" width="58.1640625" customWidth="1"/>
    <col min="58" max="59" width="29.5" customWidth="1"/>
    <col min="60" max="60" width="27.33203125" customWidth="1"/>
  </cols>
  <sheetData>
    <row r="1" spans="1:60" ht="42.5" customHeight="1" x14ac:dyDescent="0.2">
      <c r="A1" t="s">
        <v>68</v>
      </c>
      <c r="L1" s="41" t="s">
        <v>564</v>
      </c>
      <c r="M1" s="41"/>
      <c r="N1" s="41"/>
      <c r="O1" s="41"/>
      <c r="P1" s="41"/>
      <c r="Q1" s="41"/>
      <c r="R1" s="41"/>
      <c r="S1" s="42" t="s">
        <v>563</v>
      </c>
      <c r="T1" s="42"/>
      <c r="U1" s="42"/>
      <c r="V1" s="42"/>
      <c r="W1" s="42"/>
      <c r="X1" s="42"/>
      <c r="Y1" s="42"/>
      <c r="Z1" s="43" t="s">
        <v>565</v>
      </c>
      <c r="AA1" s="43"/>
      <c r="AB1" s="43"/>
      <c r="AC1" s="43"/>
      <c r="AD1" s="43"/>
      <c r="AE1" s="43"/>
      <c r="AF1" s="43"/>
      <c r="AG1" s="44" t="s">
        <v>566</v>
      </c>
      <c r="AH1" s="44"/>
      <c r="AI1" s="44"/>
      <c r="AJ1" s="44"/>
      <c r="AK1" s="44"/>
      <c r="AL1" s="44"/>
      <c r="AM1" s="44"/>
      <c r="AN1" s="39" t="s">
        <v>567</v>
      </c>
      <c r="AO1" s="39"/>
      <c r="AP1" s="39"/>
      <c r="AQ1" s="39"/>
      <c r="AR1" s="39"/>
      <c r="AS1" s="39"/>
      <c r="AT1" s="39"/>
      <c r="AU1" s="40" t="s">
        <v>568</v>
      </c>
      <c r="AV1" s="40"/>
      <c r="AW1" s="40"/>
      <c r="AX1" s="40"/>
      <c r="AY1" s="40"/>
      <c r="AZ1" s="40"/>
      <c r="BA1" s="40"/>
      <c r="BB1" s="37"/>
      <c r="BC1" s="37"/>
      <c r="BD1" s="37"/>
      <c r="BE1" s="36" t="s">
        <v>573</v>
      </c>
      <c r="BF1" s="36" t="s">
        <v>574</v>
      </c>
      <c r="BG1" s="36"/>
      <c r="BH1" s="36" t="s">
        <v>575</v>
      </c>
    </row>
    <row r="2" spans="1:60" x14ac:dyDescent="0.2">
      <c r="A2" s="8" t="s">
        <v>123</v>
      </c>
      <c r="B2" s="8" t="s">
        <v>0</v>
      </c>
      <c r="C2" s="8" t="s">
        <v>1</v>
      </c>
      <c r="D2" s="8" t="s">
        <v>2</v>
      </c>
      <c r="E2" s="8" t="s">
        <v>36</v>
      </c>
      <c r="F2" s="8" t="s">
        <v>65</v>
      </c>
      <c r="G2" s="8" t="s">
        <v>38</v>
      </c>
      <c r="H2" s="8" t="s">
        <v>3</v>
      </c>
      <c r="I2" s="8" t="s">
        <v>42</v>
      </c>
      <c r="J2" s="8" t="s">
        <v>569</v>
      </c>
      <c r="L2" s="23" t="s">
        <v>560</v>
      </c>
      <c r="M2" s="23" t="s">
        <v>571</v>
      </c>
      <c r="N2" s="23" t="s">
        <v>562</v>
      </c>
      <c r="O2" s="23" t="s">
        <v>561</v>
      </c>
      <c r="P2" s="23" t="s">
        <v>108</v>
      </c>
      <c r="Q2" s="23" t="s">
        <v>86</v>
      </c>
      <c r="R2" s="23" t="s">
        <v>572</v>
      </c>
      <c r="S2" s="25" t="s">
        <v>560</v>
      </c>
      <c r="T2" s="25" t="s">
        <v>571</v>
      </c>
      <c r="U2" s="25" t="s">
        <v>562</v>
      </c>
      <c r="V2" s="25" t="s">
        <v>561</v>
      </c>
      <c r="W2" s="25" t="s">
        <v>108</v>
      </c>
      <c r="X2" s="25" t="s">
        <v>86</v>
      </c>
      <c r="Y2" s="25" t="s">
        <v>572</v>
      </c>
      <c r="Z2" s="27" t="s">
        <v>560</v>
      </c>
      <c r="AA2" s="27" t="s">
        <v>571</v>
      </c>
      <c r="AB2" s="27" t="s">
        <v>562</v>
      </c>
      <c r="AC2" s="27" t="s">
        <v>561</v>
      </c>
      <c r="AD2" s="27" t="s">
        <v>108</v>
      </c>
      <c r="AE2" s="27" t="s">
        <v>86</v>
      </c>
      <c r="AF2" s="27" t="s">
        <v>572</v>
      </c>
      <c r="AG2" s="29" t="s">
        <v>560</v>
      </c>
      <c r="AH2" s="29" t="s">
        <v>571</v>
      </c>
      <c r="AI2" s="29" t="s">
        <v>562</v>
      </c>
      <c r="AJ2" s="29" t="s">
        <v>561</v>
      </c>
      <c r="AK2" s="29" t="s">
        <v>108</v>
      </c>
      <c r="AL2" s="29" t="s">
        <v>86</v>
      </c>
      <c r="AM2" s="29" t="s">
        <v>572</v>
      </c>
      <c r="AN2" s="31" t="s">
        <v>560</v>
      </c>
      <c r="AO2" s="31" t="s">
        <v>571</v>
      </c>
      <c r="AP2" s="31" t="s">
        <v>562</v>
      </c>
      <c r="AQ2" s="31" t="s">
        <v>561</v>
      </c>
      <c r="AR2" s="31" t="s">
        <v>108</v>
      </c>
      <c r="AS2" s="31" t="s">
        <v>86</v>
      </c>
      <c r="AT2" s="31" t="s">
        <v>572</v>
      </c>
      <c r="AU2" s="33" t="s">
        <v>560</v>
      </c>
      <c r="AV2" s="33" t="s">
        <v>571</v>
      </c>
      <c r="AW2" s="33" t="s">
        <v>562</v>
      </c>
      <c r="AX2" s="33" t="s">
        <v>561</v>
      </c>
      <c r="AY2" s="33" t="s">
        <v>108</v>
      </c>
      <c r="AZ2" s="33" t="s">
        <v>86</v>
      </c>
      <c r="BA2" s="33" t="s">
        <v>572</v>
      </c>
      <c r="BB2" s="8"/>
      <c r="BC2" s="8"/>
      <c r="BD2" s="8"/>
      <c r="BE2" t="s">
        <v>576</v>
      </c>
      <c r="BF2" t="s">
        <v>577</v>
      </c>
      <c r="BH2" t="s">
        <v>578</v>
      </c>
    </row>
    <row r="3" spans="1:60" x14ac:dyDescent="0.2">
      <c r="A3" t="str">
        <f>B3&amp;" - "&amp;D3&amp;" - "&amp;IF(I3&lt;&gt;"",I3&amp;" - "&amp;E3,E3)</f>
        <v>Kick Scooter, electric, &lt;1kW - 2020 - NMC - CH</v>
      </c>
      <c r="B3" t="s">
        <v>393</v>
      </c>
      <c r="D3" s="18">
        <v>2020</v>
      </c>
      <c r="E3" t="s">
        <v>37</v>
      </c>
      <c r="F3" t="s">
        <v>138</v>
      </c>
      <c r="G3" t="s">
        <v>39</v>
      </c>
      <c r="H3" t="s">
        <v>32</v>
      </c>
      <c r="I3" t="s">
        <v>43</v>
      </c>
      <c r="J3" t="s">
        <v>138</v>
      </c>
      <c r="L3" s="24">
        <v>0</v>
      </c>
      <c r="M3" s="24">
        <v>0</v>
      </c>
      <c r="N3" s="24">
        <v>2.7305966317886432E-3</v>
      </c>
      <c r="O3" s="24">
        <v>0</v>
      </c>
      <c r="P3" s="24">
        <v>3.9432759253126069E-4</v>
      </c>
      <c r="Q3" s="24">
        <v>6.0442465125233262E-2</v>
      </c>
      <c r="R3" s="24">
        <v>6.3567389349553166E-2</v>
      </c>
      <c r="S3" s="26">
        <v>0</v>
      </c>
      <c r="T3" s="26">
        <v>0</v>
      </c>
      <c r="U3" s="26">
        <v>2.8901572147613101E-4</v>
      </c>
      <c r="V3" s="26">
        <v>0</v>
      </c>
      <c r="W3" s="26">
        <v>2.4916630170601268E-5</v>
      </c>
      <c r="X3" s="26">
        <v>4.2333243249561892E-2</v>
      </c>
      <c r="Y3" s="26">
        <v>4.2647175601208627E-2</v>
      </c>
      <c r="Z3" s="28">
        <v>0</v>
      </c>
      <c r="AA3" s="28">
        <v>1.3758060237990489E-3</v>
      </c>
      <c r="AB3" s="28">
        <v>8.4699063757735321E-5</v>
      </c>
      <c r="AC3" s="28">
        <v>0</v>
      </c>
      <c r="AD3" s="28">
        <v>1.132624888950353E-5</v>
      </c>
      <c r="AE3" s="28">
        <v>4.5171151229257307E-3</v>
      </c>
      <c r="AF3" s="28">
        <v>5.9889464593720181E-3</v>
      </c>
      <c r="AG3" s="30">
        <v>0</v>
      </c>
      <c r="AH3" s="30">
        <v>7.228237882960114E-6</v>
      </c>
      <c r="AI3" s="30">
        <v>1.9352850365053441E-4</v>
      </c>
      <c r="AJ3" s="30">
        <v>0</v>
      </c>
      <c r="AK3" s="30">
        <v>1.057049880912046E-5</v>
      </c>
      <c r="AL3" s="30">
        <v>1.2578173591714779E-2</v>
      </c>
      <c r="AM3" s="30">
        <v>1.2789500832057394E-2</v>
      </c>
      <c r="AN3" s="32">
        <v>0</v>
      </c>
      <c r="AO3" s="32">
        <v>5.1842725945187069E-6</v>
      </c>
      <c r="AP3" s="32">
        <v>2.4402048008400939E-7</v>
      </c>
      <c r="AQ3" s="32">
        <v>0</v>
      </c>
      <c r="AR3" s="32">
        <v>4.1737758779288002E-8</v>
      </c>
      <c r="AS3" s="32">
        <v>9.4428911206493886E-6</v>
      </c>
      <c r="AT3" s="32">
        <v>1.4912921954031393E-5</v>
      </c>
      <c r="AU3" s="34">
        <v>0</v>
      </c>
      <c r="AV3" s="34">
        <v>0</v>
      </c>
      <c r="AW3" s="34">
        <v>0.12769446264574236</v>
      </c>
      <c r="AX3" s="34">
        <v>0</v>
      </c>
      <c r="AY3" s="34">
        <v>1.2917914948549365E-2</v>
      </c>
      <c r="AZ3" s="34">
        <v>0.75018944046854441</v>
      </c>
      <c r="BA3" s="34">
        <v>0.89080181806283609</v>
      </c>
      <c r="BB3" s="6"/>
      <c r="BC3" s="6"/>
      <c r="BD3" t="s">
        <v>886</v>
      </c>
      <c r="BF3" s="5">
        <v>4.2757277000000003E-2</v>
      </c>
      <c r="BG3" s="5">
        <f>BF3-R3</f>
        <v>-2.0810112349553163E-2</v>
      </c>
      <c r="BH3" s="2">
        <v>111.64413</v>
      </c>
    </row>
    <row r="4" spans="1:60" x14ac:dyDescent="0.2">
      <c r="A4" t="str">
        <f t="shared" ref="A4:A175" si="0">B4&amp;" - "&amp;D4&amp;" - "&amp;IF(I4&lt;&gt;"",I4&amp;" - "&amp;E4,E4)</f>
        <v>Kick Scooter, electric, &lt;1kW - 2030 - NMC - CH</v>
      </c>
      <c r="B4" t="s">
        <v>393</v>
      </c>
      <c r="D4" s="18">
        <v>2030</v>
      </c>
      <c r="E4" t="s">
        <v>37</v>
      </c>
      <c r="F4" t="s">
        <v>138</v>
      </c>
      <c r="G4" t="s">
        <v>39</v>
      </c>
      <c r="H4" t="s">
        <v>32</v>
      </c>
      <c r="I4" t="s">
        <v>43</v>
      </c>
      <c r="J4" t="s">
        <v>138</v>
      </c>
      <c r="L4" s="24">
        <v>0</v>
      </c>
      <c r="M4" s="24">
        <v>0</v>
      </c>
      <c r="N4" s="24">
        <v>2.7305966317886432E-3</v>
      </c>
      <c r="O4" s="24">
        <v>0</v>
      </c>
      <c r="P4" s="24">
        <v>3.9143699488326821E-4</v>
      </c>
      <c r="Q4" s="24">
        <v>6.1217155721092972E-2</v>
      </c>
      <c r="R4" s="24">
        <v>6.4339189347764877E-2</v>
      </c>
      <c r="S4" s="26">
        <v>0</v>
      </c>
      <c r="T4" s="26">
        <v>0</v>
      </c>
      <c r="U4" s="26">
        <v>2.8901572147613101E-4</v>
      </c>
      <c r="V4" s="26">
        <v>0</v>
      </c>
      <c r="W4" s="26">
        <v>2.4733980125483441E-5</v>
      </c>
      <c r="X4" s="26">
        <v>3.7266996001377978E-2</v>
      </c>
      <c r="Y4" s="26">
        <v>3.758074570297959E-2</v>
      </c>
      <c r="Z4" s="28">
        <v>0</v>
      </c>
      <c r="AA4" s="28">
        <v>1.3758060237990489E-3</v>
      </c>
      <c r="AB4" s="28">
        <v>8.4699063757735321E-5</v>
      </c>
      <c r="AC4" s="28">
        <v>0</v>
      </c>
      <c r="AD4" s="28">
        <v>1.124322241856749E-5</v>
      </c>
      <c r="AE4" s="28">
        <v>4.264618052457844E-3</v>
      </c>
      <c r="AF4" s="28">
        <v>5.736366362433196E-3</v>
      </c>
      <c r="AG4" s="30">
        <v>0</v>
      </c>
      <c r="AH4" s="30">
        <v>7.228237882960114E-6</v>
      </c>
      <c r="AI4" s="30">
        <v>1.9352850365053441E-4</v>
      </c>
      <c r="AJ4" s="30">
        <v>0</v>
      </c>
      <c r="AK4" s="30">
        <v>1.0493012324343649E-5</v>
      </c>
      <c r="AL4" s="30">
        <v>1.2060778238026371E-2</v>
      </c>
      <c r="AM4" s="30">
        <v>1.2272027991884208E-2</v>
      </c>
      <c r="AN4" s="32">
        <v>0</v>
      </c>
      <c r="AO4" s="32">
        <v>5.1842725945187069E-6</v>
      </c>
      <c r="AP4" s="32">
        <v>2.4402048008400939E-7</v>
      </c>
      <c r="AQ4" s="32">
        <v>0</v>
      </c>
      <c r="AR4" s="32">
        <v>4.1431802336865512E-8</v>
      </c>
      <c r="AS4" s="32">
        <v>8.5700055031524205E-6</v>
      </c>
      <c r="AT4" s="32">
        <v>1.4039730380092001E-5</v>
      </c>
      <c r="AU4" s="34">
        <v>0</v>
      </c>
      <c r="AV4" s="34">
        <v>0</v>
      </c>
      <c r="AW4" s="34">
        <v>0.12769446264574236</v>
      </c>
      <c r="AX4" s="34">
        <v>0</v>
      </c>
      <c r="AY4" s="34">
        <v>1.2823220853399825E-2</v>
      </c>
      <c r="AZ4" s="34">
        <v>0.74472552483209364</v>
      </c>
      <c r="BA4" s="34">
        <v>0.88524320833123582</v>
      </c>
      <c r="BB4" s="6"/>
      <c r="BC4" s="6"/>
      <c r="BD4" t="s">
        <v>580</v>
      </c>
      <c r="BF4" s="5">
        <v>4.2392623000000004E-2</v>
      </c>
      <c r="BG4" s="5">
        <f t="shared" ref="BG4:BG67" si="1">BF4-R4</f>
        <v>-2.1946566347764873E-2</v>
      </c>
      <c r="BH4" s="2">
        <v>101.67288000000001</v>
      </c>
    </row>
    <row r="5" spans="1:60" x14ac:dyDescent="0.2">
      <c r="A5" t="str">
        <f t="shared" si="0"/>
        <v>Kick Scooter, electric, &lt;1kW - 2040 - NMC - CH</v>
      </c>
      <c r="B5" t="s">
        <v>393</v>
      </c>
      <c r="D5" s="18">
        <v>2040</v>
      </c>
      <c r="E5" t="s">
        <v>37</v>
      </c>
      <c r="F5" t="s">
        <v>138</v>
      </c>
      <c r="G5" t="s">
        <v>39</v>
      </c>
      <c r="H5" t="s">
        <v>32</v>
      </c>
      <c r="I5" t="s">
        <v>43</v>
      </c>
      <c r="J5" t="s">
        <v>138</v>
      </c>
      <c r="L5" s="24">
        <v>0</v>
      </c>
      <c r="M5" s="24">
        <v>0</v>
      </c>
      <c r="N5" s="24">
        <v>2.7305966317886432E-3</v>
      </c>
      <c r="O5" s="24">
        <v>0</v>
      </c>
      <c r="P5" s="24">
        <v>3.9034448553599551E-4</v>
      </c>
      <c r="Q5" s="24">
        <v>6.3544195985543631E-2</v>
      </c>
      <c r="R5" s="24">
        <v>6.6665137102868269E-2</v>
      </c>
      <c r="S5" s="26">
        <v>0</v>
      </c>
      <c r="T5" s="26">
        <v>0</v>
      </c>
      <c r="U5" s="26">
        <v>2.8901572147613101E-4</v>
      </c>
      <c r="V5" s="26">
        <v>0</v>
      </c>
      <c r="W5" s="26">
        <v>2.4664947037564892E-5</v>
      </c>
      <c r="X5" s="26">
        <v>3.748451818144883E-2</v>
      </c>
      <c r="Y5" s="26">
        <v>3.7798198849962522E-2</v>
      </c>
      <c r="Z5" s="28">
        <v>0</v>
      </c>
      <c r="AA5" s="28">
        <v>1.3758060237990489E-3</v>
      </c>
      <c r="AB5" s="28">
        <v>8.4699063757735321E-5</v>
      </c>
      <c r="AC5" s="28">
        <v>0</v>
      </c>
      <c r="AD5" s="28">
        <v>1.1211842335064101E-5</v>
      </c>
      <c r="AE5" s="28">
        <v>4.3841796745984173E-3</v>
      </c>
      <c r="AF5" s="28">
        <v>5.8558966044902653E-3</v>
      </c>
      <c r="AG5" s="30">
        <v>0</v>
      </c>
      <c r="AH5" s="30">
        <v>7.228237882960114E-6</v>
      </c>
      <c r="AI5" s="30">
        <v>1.9352850365053441E-4</v>
      </c>
      <c r="AJ5" s="30">
        <v>0</v>
      </c>
      <c r="AK5" s="30">
        <v>1.046372609387682E-5</v>
      </c>
      <c r="AL5" s="30">
        <v>1.2421005229130439E-2</v>
      </c>
      <c r="AM5" s="30">
        <v>1.263222569675781E-2</v>
      </c>
      <c r="AN5" s="32">
        <v>0</v>
      </c>
      <c r="AO5" s="32">
        <v>5.1842725945187069E-6</v>
      </c>
      <c r="AP5" s="32">
        <v>2.4402048008400939E-7</v>
      </c>
      <c r="AQ5" s="32">
        <v>0</v>
      </c>
      <c r="AR5" s="32">
        <v>4.1316165256264889E-8</v>
      </c>
      <c r="AS5" s="32">
        <v>8.651096288226977E-6</v>
      </c>
      <c r="AT5" s="32">
        <v>1.4120705528085958E-5</v>
      </c>
      <c r="AU5" s="34">
        <v>0</v>
      </c>
      <c r="AV5" s="34">
        <v>0</v>
      </c>
      <c r="AW5" s="34">
        <v>0.12769446264574236</v>
      </c>
      <c r="AX5" s="34">
        <v>0</v>
      </c>
      <c r="AY5" s="34">
        <v>1.2787430959170081E-2</v>
      </c>
      <c r="AZ5" s="34">
        <v>0.76962222733176378</v>
      </c>
      <c r="BA5" s="34">
        <v>0.91010412093667625</v>
      </c>
      <c r="BB5" s="6"/>
      <c r="BC5" s="6"/>
      <c r="BD5" t="s">
        <v>581</v>
      </c>
      <c r="BF5" s="5">
        <v>4.3270989000000003E-2</v>
      </c>
      <c r="BG5" s="5">
        <f t="shared" si="1"/>
        <v>-2.3394148102868266E-2</v>
      </c>
      <c r="BH5" s="2">
        <v>101.68076000000001</v>
      </c>
    </row>
    <row r="6" spans="1:60" x14ac:dyDescent="0.2">
      <c r="A6" t="str">
        <f t="shared" si="0"/>
        <v>Kick Scooter, electric, &lt;1kW - 2050 - NMC - CH</v>
      </c>
      <c r="B6" t="s">
        <v>393</v>
      </c>
      <c r="D6" s="18">
        <v>2050</v>
      </c>
      <c r="E6" t="s">
        <v>37</v>
      </c>
      <c r="F6" t="s">
        <v>138</v>
      </c>
      <c r="G6" t="s">
        <v>39</v>
      </c>
      <c r="H6" t="s">
        <v>32</v>
      </c>
      <c r="I6" t="s">
        <v>43</v>
      </c>
      <c r="J6" t="s">
        <v>138</v>
      </c>
      <c r="L6" s="24">
        <v>0</v>
      </c>
      <c r="M6" s="24">
        <v>0</v>
      </c>
      <c r="N6" s="24">
        <v>2.7305966317886432E-3</v>
      </c>
      <c r="O6" s="24">
        <v>0</v>
      </c>
      <c r="P6" s="24">
        <v>3.892519761887227E-4</v>
      </c>
      <c r="Q6" s="24">
        <v>6.5871237024834356E-2</v>
      </c>
      <c r="R6" s="24">
        <v>6.8991085632811727E-2</v>
      </c>
      <c r="S6" s="26">
        <v>0</v>
      </c>
      <c r="T6" s="26">
        <v>0</v>
      </c>
      <c r="U6" s="26">
        <v>2.8901572147613101E-4</v>
      </c>
      <c r="V6" s="26">
        <v>0</v>
      </c>
      <c r="W6" s="26">
        <v>2.4595913949646339E-5</v>
      </c>
      <c r="X6" s="26">
        <v>3.7702041013114661E-2</v>
      </c>
      <c r="Y6" s="26">
        <v>3.8015652648540441E-2</v>
      </c>
      <c r="Z6" s="28">
        <v>0</v>
      </c>
      <c r="AA6" s="28">
        <v>1.3758060237990489E-3</v>
      </c>
      <c r="AB6" s="28">
        <v>8.4699063757735321E-5</v>
      </c>
      <c r="AC6" s="28">
        <v>0</v>
      </c>
      <c r="AD6" s="28">
        <v>1.118046225156072E-5</v>
      </c>
      <c r="AE6" s="28">
        <v>4.5037413748950129E-3</v>
      </c>
      <c r="AF6" s="28">
        <v>5.975426924703358E-3</v>
      </c>
      <c r="AG6" s="30">
        <v>0</v>
      </c>
      <c r="AH6" s="30">
        <v>7.228237882960114E-6</v>
      </c>
      <c r="AI6" s="30">
        <v>1.9352850365053441E-4</v>
      </c>
      <c r="AJ6" s="30">
        <v>0</v>
      </c>
      <c r="AK6" s="30">
        <v>1.043443986340999E-5</v>
      </c>
      <c r="AL6" s="30">
        <v>1.278123259879028E-2</v>
      </c>
      <c r="AM6" s="30">
        <v>1.2992423780187183E-2</v>
      </c>
      <c r="AN6" s="32">
        <v>0</v>
      </c>
      <c r="AO6" s="32">
        <v>5.1842725945187069E-6</v>
      </c>
      <c r="AP6" s="32">
        <v>2.4402048008400939E-7</v>
      </c>
      <c r="AQ6" s="32">
        <v>0</v>
      </c>
      <c r="AR6" s="32">
        <v>4.1200528175664258E-8</v>
      </c>
      <c r="AS6" s="32">
        <v>8.732187134617715E-6</v>
      </c>
      <c r="AT6" s="32">
        <v>1.4201680737396094E-5</v>
      </c>
      <c r="AU6" s="34">
        <v>0</v>
      </c>
      <c r="AV6" s="34">
        <v>0</v>
      </c>
      <c r="AW6" s="34">
        <v>0.12769446264574236</v>
      </c>
      <c r="AX6" s="34">
        <v>0</v>
      </c>
      <c r="AY6" s="34">
        <v>1.2751641064940332E-2</v>
      </c>
      <c r="AZ6" s="34">
        <v>0.79451893756601544</v>
      </c>
      <c r="BA6" s="34">
        <v>0.93496504127669811</v>
      </c>
      <c r="BB6" s="6"/>
      <c r="BC6" s="6"/>
      <c r="BD6" t="s">
        <v>582</v>
      </c>
      <c r="BF6" s="5">
        <v>4.4148325000000002E-2</v>
      </c>
      <c r="BG6" s="5">
        <f t="shared" si="1"/>
        <v>-2.4842760632811725E-2</v>
      </c>
      <c r="BH6" s="2">
        <v>101.68783000000001</v>
      </c>
    </row>
    <row r="7" spans="1:60" x14ac:dyDescent="0.2">
      <c r="A7" t="str">
        <f>B7&amp;" - "&amp;D7&amp;" - "&amp;IF(I7&lt;&gt;"",I7&amp;" - "&amp;E7,E7)</f>
        <v>Kick Scooter, electric, &lt;1kW - 2020 - LFP - CH</v>
      </c>
      <c r="B7" t="s">
        <v>393</v>
      </c>
      <c r="D7" s="18">
        <v>2020</v>
      </c>
      <c r="E7" t="s">
        <v>37</v>
      </c>
      <c r="F7" t="s">
        <v>138</v>
      </c>
      <c r="G7" t="s">
        <v>39</v>
      </c>
      <c r="H7" t="s">
        <v>32</v>
      </c>
      <c r="I7" t="s">
        <v>44</v>
      </c>
      <c r="J7" t="s">
        <v>138</v>
      </c>
      <c r="L7" s="24">
        <v>0</v>
      </c>
      <c r="M7" s="24">
        <v>0</v>
      </c>
      <c r="N7" s="24">
        <v>2.7305966317886432E-3</v>
      </c>
      <c r="O7" s="24">
        <v>0</v>
      </c>
      <c r="P7" s="24">
        <v>4.0172479123675342E-4</v>
      </c>
      <c r="Q7" s="24">
        <v>6.9580018247470912E-2</v>
      </c>
      <c r="R7" s="24">
        <v>7.2712339670496312E-2</v>
      </c>
      <c r="S7" s="26">
        <v>0</v>
      </c>
      <c r="T7" s="26">
        <v>0</v>
      </c>
      <c r="U7" s="26">
        <v>2.8901572147613101E-4</v>
      </c>
      <c r="V7" s="26">
        <v>0</v>
      </c>
      <c r="W7" s="26">
        <v>2.538404170338311E-5</v>
      </c>
      <c r="X7" s="26">
        <v>3.0222831373616581E-2</v>
      </c>
      <c r="Y7" s="26">
        <v>3.0537231136796093E-2</v>
      </c>
      <c r="Z7" s="28">
        <v>0</v>
      </c>
      <c r="AA7" s="28">
        <v>1.3758060237990489E-3</v>
      </c>
      <c r="AB7" s="28">
        <v>8.4699063757735321E-5</v>
      </c>
      <c r="AC7" s="28">
        <v>0</v>
      </c>
      <c r="AD7" s="28">
        <v>1.153871820489105E-5</v>
      </c>
      <c r="AE7" s="28">
        <v>4.5592045087369621E-3</v>
      </c>
      <c r="AF7" s="28">
        <v>6.0312483144986375E-3</v>
      </c>
      <c r="AG7" s="30">
        <v>0</v>
      </c>
      <c r="AH7" s="30">
        <v>7.228237882960114E-6</v>
      </c>
      <c r="AI7" s="30">
        <v>1.9352850365053441E-4</v>
      </c>
      <c r="AJ7" s="30">
        <v>0</v>
      </c>
      <c r="AK7" s="30">
        <v>1.0768790994572939E-5</v>
      </c>
      <c r="AL7" s="30">
        <v>1.412614338775362E-2</v>
      </c>
      <c r="AM7" s="30">
        <v>1.4337668920281687E-2</v>
      </c>
      <c r="AN7" s="32">
        <v>0</v>
      </c>
      <c r="AO7" s="32">
        <v>5.1842725945187069E-6</v>
      </c>
      <c r="AP7" s="32">
        <v>2.4402048008400939E-7</v>
      </c>
      <c r="AQ7" s="32">
        <v>0</v>
      </c>
      <c r="AR7" s="32">
        <v>4.2520718179188063E-8</v>
      </c>
      <c r="AS7" s="32">
        <v>8.2109735283876001E-6</v>
      </c>
      <c r="AT7" s="32">
        <v>1.3681787321169504E-5</v>
      </c>
      <c r="AU7" s="34">
        <v>0</v>
      </c>
      <c r="AV7" s="34">
        <v>0</v>
      </c>
      <c r="AW7" s="34">
        <v>0.12769446264574236</v>
      </c>
      <c r="AX7" s="34">
        <v>0</v>
      </c>
      <c r="AY7" s="34">
        <v>1.316024235739661E-2</v>
      </c>
      <c r="AZ7" s="34">
        <v>0.84498513582149248</v>
      </c>
      <c r="BA7" s="34">
        <v>0.98583984082463139</v>
      </c>
      <c r="BB7" s="6"/>
      <c r="BC7" s="6"/>
      <c r="BD7" t="s">
        <v>887</v>
      </c>
      <c r="BF7" s="5">
        <v>5.141751E-2</v>
      </c>
      <c r="BG7" s="5">
        <f t="shared" si="1"/>
        <v>-2.1294829670496312E-2</v>
      </c>
      <c r="BH7" s="2">
        <v>136.42158000000001</v>
      </c>
    </row>
    <row r="8" spans="1:60" x14ac:dyDescent="0.2">
      <c r="A8" t="str">
        <f t="shared" ref="A8:A10" si="2">B8&amp;" - "&amp;D8&amp;" - "&amp;IF(I8&lt;&gt;"",I8&amp;" - "&amp;E8,E8)</f>
        <v>Kick Scooter, electric, &lt;1kW - 2030 - LFP - CH</v>
      </c>
      <c r="B8" t="s">
        <v>393</v>
      </c>
      <c r="D8" s="18">
        <v>2030</v>
      </c>
      <c r="E8" t="s">
        <v>37</v>
      </c>
      <c r="F8" t="s">
        <v>138</v>
      </c>
      <c r="G8" t="s">
        <v>39</v>
      </c>
      <c r="H8" t="s">
        <v>32</v>
      </c>
      <c r="I8" t="s">
        <v>44</v>
      </c>
      <c r="J8" t="s">
        <v>138</v>
      </c>
      <c r="L8" s="24">
        <v>0</v>
      </c>
      <c r="M8" s="24">
        <v>0</v>
      </c>
      <c r="N8" s="24">
        <v>2.7305966317886432E-3</v>
      </c>
      <c r="O8" s="24">
        <v>0</v>
      </c>
      <c r="P8" s="24">
        <v>4.0031363332985927E-4</v>
      </c>
      <c r="Q8" s="24">
        <v>7.3207844707499609E-2</v>
      </c>
      <c r="R8" s="24">
        <v>7.6338754972618106E-2</v>
      </c>
      <c r="S8" s="26">
        <v>0</v>
      </c>
      <c r="T8" s="26">
        <v>0</v>
      </c>
      <c r="U8" s="26">
        <v>2.8901572147613101E-4</v>
      </c>
      <c r="V8" s="26">
        <v>0</v>
      </c>
      <c r="W8" s="26">
        <v>2.5294873964821651E-5</v>
      </c>
      <c r="X8" s="26">
        <v>3.0676555335729629E-2</v>
      </c>
      <c r="Y8" s="26">
        <v>3.0990865931170581E-2</v>
      </c>
      <c r="Z8" s="28">
        <v>0</v>
      </c>
      <c r="AA8" s="28">
        <v>1.3758060237990489E-3</v>
      </c>
      <c r="AB8" s="28">
        <v>8.4699063757735321E-5</v>
      </c>
      <c r="AC8" s="28">
        <v>0</v>
      </c>
      <c r="AD8" s="28">
        <v>1.1498185597032499E-5</v>
      </c>
      <c r="AE8" s="28">
        <v>4.7533115568695076E-3</v>
      </c>
      <c r="AF8" s="28">
        <v>6.2253148300233244E-3</v>
      </c>
      <c r="AG8" s="30">
        <v>0</v>
      </c>
      <c r="AH8" s="30">
        <v>7.228237882960114E-6</v>
      </c>
      <c r="AI8" s="30">
        <v>1.9352850365053441E-4</v>
      </c>
      <c r="AJ8" s="30">
        <v>0</v>
      </c>
      <c r="AK8" s="30">
        <v>1.0730962946886619E-5</v>
      </c>
      <c r="AL8" s="30">
        <v>1.473502641962713E-2</v>
      </c>
      <c r="AM8" s="30">
        <v>1.4946514124107512E-2</v>
      </c>
      <c r="AN8" s="32">
        <v>0</v>
      </c>
      <c r="AO8" s="32">
        <v>5.1842725945187069E-6</v>
      </c>
      <c r="AP8" s="32">
        <v>2.4402048008400939E-7</v>
      </c>
      <c r="AQ8" s="32">
        <v>0</v>
      </c>
      <c r="AR8" s="32">
        <v>4.2371353616745593E-8</v>
      </c>
      <c r="AS8" s="32">
        <v>8.3503145534200556E-6</v>
      </c>
      <c r="AT8" s="32">
        <v>1.3820978981639517E-5</v>
      </c>
      <c r="AU8" s="34">
        <v>0</v>
      </c>
      <c r="AV8" s="34">
        <v>0</v>
      </c>
      <c r="AW8" s="34">
        <v>0.12769446264574236</v>
      </c>
      <c r="AX8" s="34">
        <v>0</v>
      </c>
      <c r="AY8" s="34">
        <v>1.3114013744016526E-2</v>
      </c>
      <c r="AZ8" s="34">
        <v>0.88387435929298963</v>
      </c>
      <c r="BA8" s="34">
        <v>1.0246828356827484</v>
      </c>
      <c r="BB8" s="6"/>
      <c r="BC8" s="6"/>
      <c r="BD8" t="s">
        <v>583</v>
      </c>
      <c r="BF8" s="5">
        <v>5.2830629999999996E-2</v>
      </c>
      <c r="BG8" s="5">
        <f t="shared" si="1"/>
        <v>-2.3508124972618109E-2</v>
      </c>
      <c r="BH8" s="2">
        <v>136.71681000000001</v>
      </c>
    </row>
    <row r="9" spans="1:60" x14ac:dyDescent="0.2">
      <c r="A9" t="str">
        <f t="shared" si="2"/>
        <v>Kick Scooter, electric, &lt;1kW - 2040 - LFP - CH</v>
      </c>
      <c r="B9" t="s">
        <v>393</v>
      </c>
      <c r="D9" s="18">
        <v>2040</v>
      </c>
      <c r="E9" t="s">
        <v>37</v>
      </c>
      <c r="F9" t="s">
        <v>138</v>
      </c>
      <c r="G9" t="s">
        <v>39</v>
      </c>
      <c r="H9" t="s">
        <v>32</v>
      </c>
      <c r="I9" t="s">
        <v>44</v>
      </c>
      <c r="J9" t="s">
        <v>138</v>
      </c>
      <c r="L9" s="24">
        <v>0</v>
      </c>
      <c r="M9" s="24">
        <v>0</v>
      </c>
      <c r="N9" s="24">
        <v>2.7305966317886432E-3</v>
      </c>
      <c r="O9" s="24">
        <v>0</v>
      </c>
      <c r="P9" s="24">
        <v>4.0020741714331899E-4</v>
      </c>
      <c r="Q9" s="24">
        <v>7.7095101085898496E-2</v>
      </c>
      <c r="R9" s="24">
        <v>8.0225905134830452E-2</v>
      </c>
      <c r="S9" s="26">
        <v>0</v>
      </c>
      <c r="T9" s="26">
        <v>0</v>
      </c>
      <c r="U9" s="26">
        <v>2.8901572147613101E-4</v>
      </c>
      <c r="V9" s="26">
        <v>0</v>
      </c>
      <c r="W9" s="26">
        <v>2.528816241460735E-5</v>
      </c>
      <c r="X9" s="26">
        <v>3.1926707586981462E-2</v>
      </c>
      <c r="Y9" s="26">
        <v>3.2241011470872202E-2</v>
      </c>
      <c r="Z9" s="28">
        <v>0</v>
      </c>
      <c r="AA9" s="28">
        <v>1.3758060237990489E-3</v>
      </c>
      <c r="AB9" s="28">
        <v>8.4699063757735321E-5</v>
      </c>
      <c r="AC9" s="28">
        <v>0</v>
      </c>
      <c r="AD9" s="28">
        <v>1.149513475558079E-5</v>
      </c>
      <c r="AE9" s="28">
        <v>5.0245472474234288E-3</v>
      </c>
      <c r="AF9" s="28">
        <v>6.4965474697357938E-3</v>
      </c>
      <c r="AG9" s="30">
        <v>0</v>
      </c>
      <c r="AH9" s="30">
        <v>7.228237882960114E-6</v>
      </c>
      <c r="AI9" s="30">
        <v>1.9352850365053441E-4</v>
      </c>
      <c r="AJ9" s="30">
        <v>0</v>
      </c>
      <c r="AK9" s="30">
        <v>1.0728115674480119E-5</v>
      </c>
      <c r="AL9" s="30">
        <v>1.557387774406593E-2</v>
      </c>
      <c r="AM9" s="30">
        <v>1.5785362601273906E-2</v>
      </c>
      <c r="AN9" s="32">
        <v>0</v>
      </c>
      <c r="AO9" s="32">
        <v>5.1842725945187069E-6</v>
      </c>
      <c r="AP9" s="32">
        <v>2.4402048008400939E-7</v>
      </c>
      <c r="AQ9" s="32">
        <v>0</v>
      </c>
      <c r="AR9" s="32">
        <v>4.2360111122798313E-8</v>
      </c>
      <c r="AS9" s="32">
        <v>8.6866864943204297E-6</v>
      </c>
      <c r="AT9" s="32">
        <v>1.4157339680045944E-5</v>
      </c>
      <c r="AU9" s="34">
        <v>0</v>
      </c>
      <c r="AV9" s="34">
        <v>0</v>
      </c>
      <c r="AW9" s="34">
        <v>0.12769446264574236</v>
      </c>
      <c r="AX9" s="34">
        <v>0</v>
      </c>
      <c r="AY9" s="34">
        <v>1.3110534170966406E-2</v>
      </c>
      <c r="AZ9" s="34">
        <v>0.92987516313264695</v>
      </c>
      <c r="BA9" s="34">
        <v>1.0706801599493558</v>
      </c>
      <c r="BB9" s="6"/>
      <c r="BC9" s="6"/>
      <c r="BD9" t="s">
        <v>584</v>
      </c>
      <c r="BF9" s="5">
        <v>5.4881872999999998E-2</v>
      </c>
      <c r="BG9" s="5">
        <f t="shared" si="1"/>
        <v>-2.5344032134830455E-2</v>
      </c>
      <c r="BH9" s="2">
        <v>141.80978999999999</v>
      </c>
    </row>
    <row r="10" spans="1:60" x14ac:dyDescent="0.2">
      <c r="A10" t="str">
        <f t="shared" si="2"/>
        <v>Kick Scooter, electric, &lt;1kW - 2050 - LFP - CH</v>
      </c>
      <c r="B10" t="s">
        <v>393</v>
      </c>
      <c r="D10" s="18">
        <v>2050</v>
      </c>
      <c r="E10" t="s">
        <v>37</v>
      </c>
      <c r="F10" t="s">
        <v>138</v>
      </c>
      <c r="G10" t="s">
        <v>39</v>
      </c>
      <c r="H10" t="s">
        <v>32</v>
      </c>
      <c r="I10" t="s">
        <v>44</v>
      </c>
      <c r="J10" t="s">
        <v>138</v>
      </c>
      <c r="L10" s="24">
        <v>0</v>
      </c>
      <c r="M10" s="24">
        <v>0</v>
      </c>
      <c r="N10" s="24">
        <v>2.7305966317886432E-3</v>
      </c>
      <c r="O10" s="24">
        <v>0</v>
      </c>
      <c r="P10" s="24">
        <v>3.9812861463531392E-4</v>
      </c>
      <c r="Q10" s="24">
        <v>7.7861926011240978E-2</v>
      </c>
      <c r="R10" s="24">
        <v>8.0990651257664942E-2</v>
      </c>
      <c r="S10" s="26">
        <v>0</v>
      </c>
      <c r="T10" s="26">
        <v>0</v>
      </c>
      <c r="U10" s="26">
        <v>2.8901572147613101E-4</v>
      </c>
      <c r="V10" s="26">
        <v>0</v>
      </c>
      <c r="W10" s="26">
        <v>2.5156807788984551E-5</v>
      </c>
      <c r="X10" s="26">
        <v>3.1111600347466309E-2</v>
      </c>
      <c r="Y10" s="26">
        <v>3.1425772876731421E-2</v>
      </c>
      <c r="Z10" s="28">
        <v>0</v>
      </c>
      <c r="AA10" s="28">
        <v>1.3758060237990489E-3</v>
      </c>
      <c r="AB10" s="28">
        <v>8.4699063757735321E-5</v>
      </c>
      <c r="AC10" s="28">
        <v>0</v>
      </c>
      <c r="AD10" s="28">
        <v>1.1435425430025729E-5</v>
      </c>
      <c r="AE10" s="28">
        <v>4.9924348793066731E-3</v>
      </c>
      <c r="AF10" s="28">
        <v>6.4643753922934829E-3</v>
      </c>
      <c r="AG10" s="30">
        <v>0</v>
      </c>
      <c r="AH10" s="30">
        <v>7.228237882960114E-6</v>
      </c>
      <c r="AI10" s="30">
        <v>1.9352850365053441E-4</v>
      </c>
      <c r="AJ10" s="30">
        <v>0</v>
      </c>
      <c r="AK10" s="30">
        <v>1.067239048595297E-5</v>
      </c>
      <c r="AL10" s="30">
        <v>1.545548078039102E-2</v>
      </c>
      <c r="AM10" s="30">
        <v>1.5666909912410466E-2</v>
      </c>
      <c r="AN10" s="32">
        <v>0</v>
      </c>
      <c r="AO10" s="32">
        <v>5.1842725945187069E-6</v>
      </c>
      <c r="AP10" s="32">
        <v>2.4402048008400939E-7</v>
      </c>
      <c r="AQ10" s="32">
        <v>0</v>
      </c>
      <c r="AR10" s="32">
        <v>4.2140079455544352E-8</v>
      </c>
      <c r="AS10" s="32">
        <v>8.5124961848837509E-6</v>
      </c>
      <c r="AT10" s="32">
        <v>1.3982929338942011E-5</v>
      </c>
      <c r="AU10" s="34">
        <v>0</v>
      </c>
      <c r="AV10" s="34">
        <v>0</v>
      </c>
      <c r="AW10" s="34">
        <v>0.12769446264574236</v>
      </c>
      <c r="AX10" s="34">
        <v>0</v>
      </c>
      <c r="AY10" s="34">
        <v>1.3042433955557023E-2</v>
      </c>
      <c r="AZ10" s="34">
        <v>0.93366777202691098</v>
      </c>
      <c r="BA10" s="34">
        <v>1.0744046686282103</v>
      </c>
      <c r="BB10" s="6"/>
      <c r="BC10" s="6"/>
      <c r="BD10" t="s">
        <v>585</v>
      </c>
      <c r="BF10" s="5">
        <v>5.4586436999999995E-2</v>
      </c>
      <c r="BG10" s="5">
        <f t="shared" si="1"/>
        <v>-2.6404214257664947E-2</v>
      </c>
      <c r="BH10" s="2">
        <v>136.73195000000001</v>
      </c>
    </row>
    <row r="11" spans="1:60" x14ac:dyDescent="0.2">
      <c r="A11" t="str">
        <f>B11&amp;" - "&amp;D11&amp;" - "&amp;IF(I11&lt;&gt;"",I11&amp;" - "&amp;E11,E11)</f>
        <v>Kick Scooter, electric, &lt;1kW - 2020 - NCA - CH</v>
      </c>
      <c r="B11" t="s">
        <v>393</v>
      </c>
      <c r="D11" s="18">
        <v>2020</v>
      </c>
      <c r="E11" t="s">
        <v>37</v>
      </c>
      <c r="F11" t="s">
        <v>138</v>
      </c>
      <c r="G11" t="s">
        <v>39</v>
      </c>
      <c r="H11" t="s">
        <v>32</v>
      </c>
      <c r="I11" t="s">
        <v>45</v>
      </c>
      <c r="J11" t="s">
        <v>138</v>
      </c>
      <c r="L11" s="24">
        <v>0</v>
      </c>
      <c r="M11" s="24">
        <v>0</v>
      </c>
      <c r="N11" s="24">
        <v>2.7305966317886432E-3</v>
      </c>
      <c r="O11" s="24">
        <v>0</v>
      </c>
      <c r="P11" s="24">
        <v>3.9336274052619648E-4</v>
      </c>
      <c r="Q11" s="24">
        <v>5.6701555000814807E-2</v>
      </c>
      <c r="R11" s="24">
        <v>5.9825514373129648E-2</v>
      </c>
      <c r="S11" s="26">
        <v>0</v>
      </c>
      <c r="T11" s="26">
        <v>0</v>
      </c>
      <c r="U11" s="26">
        <v>2.8901572147613101E-4</v>
      </c>
      <c r="V11" s="26">
        <v>0</v>
      </c>
      <c r="W11" s="26">
        <v>2.4855663448934071E-5</v>
      </c>
      <c r="X11" s="26">
        <v>2.4503305468957931E-2</v>
      </c>
      <c r="Y11" s="26">
        <v>2.4817176853882995E-2</v>
      </c>
      <c r="Z11" s="28">
        <v>0</v>
      </c>
      <c r="AA11" s="28">
        <v>1.3758060237990489E-3</v>
      </c>
      <c r="AB11" s="28">
        <v>8.4699063757735321E-5</v>
      </c>
      <c r="AC11" s="28">
        <v>0</v>
      </c>
      <c r="AD11" s="28">
        <v>1.129853550053995E-5</v>
      </c>
      <c r="AE11" s="28">
        <v>3.506567301055728E-3</v>
      </c>
      <c r="AF11" s="28">
        <v>4.9783709241130528E-3</v>
      </c>
      <c r="AG11" s="30">
        <v>0</v>
      </c>
      <c r="AH11" s="30">
        <v>7.228237882960114E-6</v>
      </c>
      <c r="AI11" s="30">
        <v>1.9352850365053441E-4</v>
      </c>
      <c r="AJ11" s="30">
        <v>0</v>
      </c>
      <c r="AK11" s="30">
        <v>1.0544634611017971E-5</v>
      </c>
      <c r="AL11" s="30">
        <v>1.060568824245043E-2</v>
      </c>
      <c r="AM11" s="30">
        <v>1.0816989618594942E-2</v>
      </c>
      <c r="AN11" s="32">
        <v>0</v>
      </c>
      <c r="AO11" s="32">
        <v>5.1842725945187069E-6</v>
      </c>
      <c r="AP11" s="32">
        <v>2.4402048008400939E-7</v>
      </c>
      <c r="AQ11" s="32">
        <v>0</v>
      </c>
      <c r="AR11" s="32">
        <v>4.1635633640170602E-8</v>
      </c>
      <c r="AS11" s="32">
        <v>6.8864675315944368E-6</v>
      </c>
      <c r="AT11" s="32">
        <v>1.2356396239837323E-5</v>
      </c>
      <c r="AU11" s="34">
        <v>0</v>
      </c>
      <c r="AV11" s="34">
        <v>0</v>
      </c>
      <c r="AW11" s="34">
        <v>0.12769446264574236</v>
      </c>
      <c r="AX11" s="34">
        <v>0</v>
      </c>
      <c r="AY11" s="34">
        <v>1.2886307025656248E-2</v>
      </c>
      <c r="AZ11" s="34">
        <v>0.67883660481052754</v>
      </c>
      <c r="BA11" s="34">
        <v>0.8194173744819262</v>
      </c>
      <c r="BB11" s="6"/>
      <c r="BC11" s="6"/>
      <c r="BD11" t="s">
        <v>888</v>
      </c>
      <c r="BF11" s="5">
        <v>4.2527005E-2</v>
      </c>
      <c r="BG11" s="5">
        <f t="shared" si="1"/>
        <v>-1.7298509373129649E-2</v>
      </c>
      <c r="BH11" s="2">
        <v>104.41923</v>
      </c>
    </row>
    <row r="12" spans="1:60" x14ac:dyDescent="0.2">
      <c r="A12" t="str">
        <f t="shared" ref="A12:A14" si="3">B12&amp;" - "&amp;D12&amp;" - "&amp;IF(I12&lt;&gt;"",I12&amp;" - "&amp;E12,E12)</f>
        <v>Kick Scooter, electric, &lt;1kW - 2030 - NCA - CH</v>
      </c>
      <c r="B12" t="s">
        <v>393</v>
      </c>
      <c r="D12" s="18">
        <v>2030</v>
      </c>
      <c r="E12" t="s">
        <v>37</v>
      </c>
      <c r="F12" t="s">
        <v>138</v>
      </c>
      <c r="G12" t="s">
        <v>39</v>
      </c>
      <c r="H12" t="s">
        <v>32</v>
      </c>
      <c r="I12" t="s">
        <v>45</v>
      </c>
      <c r="J12" t="s">
        <v>138</v>
      </c>
      <c r="L12" s="24">
        <v>0</v>
      </c>
      <c r="M12" s="24">
        <v>0</v>
      </c>
      <c r="N12" s="24">
        <v>2.7305966317886432E-3</v>
      </c>
      <c r="O12" s="24">
        <v>0</v>
      </c>
      <c r="P12" s="24">
        <v>3.9143699488326821E-4</v>
      </c>
      <c r="Q12" s="24">
        <v>5.9487400011632857E-2</v>
      </c>
      <c r="R12" s="24">
        <v>6.2609433638304762E-2</v>
      </c>
      <c r="S12" s="26">
        <v>0</v>
      </c>
      <c r="T12" s="26">
        <v>0</v>
      </c>
      <c r="U12" s="26">
        <v>2.8901572147613101E-4</v>
      </c>
      <c r="V12" s="26">
        <v>0</v>
      </c>
      <c r="W12" s="26">
        <v>2.4733980125483441E-5</v>
      </c>
      <c r="X12" s="26">
        <v>2.4175436103919881E-2</v>
      </c>
      <c r="Y12" s="26">
        <v>2.4489185805521497E-2</v>
      </c>
      <c r="Z12" s="28">
        <v>0</v>
      </c>
      <c r="AA12" s="28">
        <v>1.3758060237990489E-3</v>
      </c>
      <c r="AB12" s="28">
        <v>8.4699063757735321E-5</v>
      </c>
      <c r="AC12" s="28">
        <v>0</v>
      </c>
      <c r="AD12" s="28">
        <v>1.124322241856749E-5</v>
      </c>
      <c r="AE12" s="28">
        <v>3.6028765472681979E-3</v>
      </c>
      <c r="AF12" s="28">
        <v>5.0746248572435494E-3</v>
      </c>
      <c r="AG12" s="30">
        <v>0</v>
      </c>
      <c r="AH12" s="30">
        <v>7.228237882960114E-6</v>
      </c>
      <c r="AI12" s="30">
        <v>1.9352850365053441E-4</v>
      </c>
      <c r="AJ12" s="30">
        <v>0</v>
      </c>
      <c r="AK12" s="30">
        <v>1.0493012324343649E-5</v>
      </c>
      <c r="AL12" s="30">
        <v>1.092185880165587E-2</v>
      </c>
      <c r="AM12" s="30">
        <v>1.1133108555513707E-2</v>
      </c>
      <c r="AN12" s="32">
        <v>0</v>
      </c>
      <c r="AO12" s="32">
        <v>5.1842725945187069E-6</v>
      </c>
      <c r="AP12" s="32">
        <v>2.4402048008400939E-7</v>
      </c>
      <c r="AQ12" s="32">
        <v>0</v>
      </c>
      <c r="AR12" s="32">
        <v>4.1431802336865512E-8</v>
      </c>
      <c r="AS12" s="32">
        <v>6.8254318282043871E-6</v>
      </c>
      <c r="AT12" s="32">
        <v>1.2295156705143968E-5</v>
      </c>
      <c r="AU12" s="34">
        <v>0</v>
      </c>
      <c r="AV12" s="34">
        <v>0</v>
      </c>
      <c r="AW12" s="34">
        <v>0.12769446264574236</v>
      </c>
      <c r="AX12" s="34">
        <v>0</v>
      </c>
      <c r="AY12" s="34">
        <v>1.2823220853399825E-2</v>
      </c>
      <c r="AZ12" s="34">
        <v>0.7056928010710064</v>
      </c>
      <c r="BA12" s="34">
        <v>0.84621048457014858</v>
      </c>
      <c r="BB12" s="6"/>
      <c r="BC12" s="6"/>
      <c r="BD12" t="s">
        <v>586</v>
      </c>
      <c r="BF12" s="5">
        <v>4.3247173E-2</v>
      </c>
      <c r="BG12" s="5">
        <f t="shared" si="1"/>
        <v>-1.9362260638304762E-2</v>
      </c>
      <c r="BH12" s="2">
        <v>101.18416000000001</v>
      </c>
    </row>
    <row r="13" spans="1:60" x14ac:dyDescent="0.2">
      <c r="A13" t="str">
        <f t="shared" si="3"/>
        <v>Kick Scooter, electric, &lt;1kW - 2040 - NCA - CH</v>
      </c>
      <c r="B13" t="s">
        <v>393</v>
      </c>
      <c r="D13" s="18">
        <v>2040</v>
      </c>
      <c r="E13" t="s">
        <v>37</v>
      </c>
      <c r="F13" t="s">
        <v>138</v>
      </c>
      <c r="G13" t="s">
        <v>39</v>
      </c>
      <c r="H13" t="s">
        <v>32</v>
      </c>
      <c r="I13" t="s">
        <v>45</v>
      </c>
      <c r="J13" t="s">
        <v>138</v>
      </c>
      <c r="L13" s="24">
        <v>0</v>
      </c>
      <c r="M13" s="24">
        <v>0</v>
      </c>
      <c r="N13" s="24">
        <v>2.7305966317886432E-3</v>
      </c>
      <c r="O13" s="24">
        <v>0</v>
      </c>
      <c r="P13" s="24">
        <v>3.9034448553599551E-4</v>
      </c>
      <c r="Q13" s="24">
        <v>6.1814440276083571E-2</v>
      </c>
      <c r="R13" s="24">
        <v>6.4935381393408209E-2</v>
      </c>
      <c r="S13" s="26">
        <v>0</v>
      </c>
      <c r="T13" s="26">
        <v>0</v>
      </c>
      <c r="U13" s="26">
        <v>2.8901572147613101E-4</v>
      </c>
      <c r="V13" s="26">
        <v>0</v>
      </c>
      <c r="W13" s="26">
        <v>2.4664947037564892E-5</v>
      </c>
      <c r="X13" s="26">
        <v>2.439295828399075E-2</v>
      </c>
      <c r="Y13" s="26">
        <v>2.4706638952504446E-2</v>
      </c>
      <c r="Z13" s="28">
        <v>0</v>
      </c>
      <c r="AA13" s="28">
        <v>1.3758060237990489E-3</v>
      </c>
      <c r="AB13" s="28">
        <v>8.4699063757735321E-5</v>
      </c>
      <c r="AC13" s="28">
        <v>0</v>
      </c>
      <c r="AD13" s="28">
        <v>1.1211842335064101E-5</v>
      </c>
      <c r="AE13" s="28">
        <v>3.7224381694087698E-3</v>
      </c>
      <c r="AF13" s="28">
        <v>5.1941550993006179E-3</v>
      </c>
      <c r="AG13" s="30">
        <v>0</v>
      </c>
      <c r="AH13" s="30">
        <v>7.228237882960114E-6</v>
      </c>
      <c r="AI13" s="30">
        <v>1.9352850365053441E-4</v>
      </c>
      <c r="AJ13" s="30">
        <v>0</v>
      </c>
      <c r="AK13" s="30">
        <v>1.046372609387682E-5</v>
      </c>
      <c r="AL13" s="30">
        <v>1.128208579275994E-2</v>
      </c>
      <c r="AM13" s="30">
        <v>1.1493306260387311E-2</v>
      </c>
      <c r="AN13" s="32">
        <v>0</v>
      </c>
      <c r="AO13" s="32">
        <v>5.1842725945187069E-6</v>
      </c>
      <c r="AP13" s="32">
        <v>2.4402048008400939E-7</v>
      </c>
      <c r="AQ13" s="32">
        <v>0</v>
      </c>
      <c r="AR13" s="32">
        <v>4.1316165256264889E-8</v>
      </c>
      <c r="AS13" s="32">
        <v>6.9065226132792782E-6</v>
      </c>
      <c r="AT13" s="32">
        <v>1.2376131853138259E-5</v>
      </c>
      <c r="AU13" s="34">
        <v>0</v>
      </c>
      <c r="AV13" s="34">
        <v>0</v>
      </c>
      <c r="AW13" s="34">
        <v>0.12769446264574236</v>
      </c>
      <c r="AX13" s="34">
        <v>0</v>
      </c>
      <c r="AY13" s="34">
        <v>1.2787430959170081E-2</v>
      </c>
      <c r="AZ13" s="34">
        <v>0.73058950357067676</v>
      </c>
      <c r="BA13" s="34">
        <v>0.87107139717558923</v>
      </c>
      <c r="BB13" s="6"/>
      <c r="BC13" s="6"/>
      <c r="BD13" t="s">
        <v>587</v>
      </c>
      <c r="BF13" s="5">
        <v>4.4125539999999998E-2</v>
      </c>
      <c r="BG13" s="5">
        <f t="shared" si="1"/>
        <v>-2.0809841393408211E-2</v>
      </c>
      <c r="BH13" s="2">
        <v>101.19204000000001</v>
      </c>
    </row>
    <row r="14" spans="1:60" x14ac:dyDescent="0.2">
      <c r="A14" t="str">
        <f t="shared" si="3"/>
        <v>Kick Scooter, electric, &lt;1kW - 2050 - NCA - CH</v>
      </c>
      <c r="B14" t="s">
        <v>393</v>
      </c>
      <c r="D14" s="18">
        <v>2050</v>
      </c>
      <c r="E14" t="s">
        <v>37</v>
      </c>
      <c r="F14" t="s">
        <v>138</v>
      </c>
      <c r="G14" t="s">
        <v>39</v>
      </c>
      <c r="H14" t="s">
        <v>32</v>
      </c>
      <c r="I14" t="s">
        <v>45</v>
      </c>
      <c r="J14" t="s">
        <v>138</v>
      </c>
      <c r="L14" s="24">
        <v>0</v>
      </c>
      <c r="M14" s="24">
        <v>0</v>
      </c>
      <c r="N14" s="24">
        <v>2.7305966317886432E-3</v>
      </c>
      <c r="O14" s="24">
        <v>0</v>
      </c>
      <c r="P14" s="24">
        <v>3.892519761887227E-4</v>
      </c>
      <c r="Q14" s="24">
        <v>6.4141481315374269E-2</v>
      </c>
      <c r="R14" s="24">
        <v>6.726132992335164E-2</v>
      </c>
      <c r="S14" s="26">
        <v>0</v>
      </c>
      <c r="T14" s="26">
        <v>0</v>
      </c>
      <c r="U14" s="26">
        <v>2.8901572147613101E-4</v>
      </c>
      <c r="V14" s="26">
        <v>0</v>
      </c>
      <c r="W14" s="26">
        <v>2.4595913949646339E-5</v>
      </c>
      <c r="X14" s="26">
        <v>2.4610481115656561E-2</v>
      </c>
      <c r="Y14" s="26">
        <v>2.4924092751082337E-2</v>
      </c>
      <c r="Z14" s="28">
        <v>0</v>
      </c>
      <c r="AA14" s="28">
        <v>1.3758060237990489E-3</v>
      </c>
      <c r="AB14" s="28">
        <v>8.4699063757735321E-5</v>
      </c>
      <c r="AC14" s="28">
        <v>0</v>
      </c>
      <c r="AD14" s="28">
        <v>1.118046225156072E-5</v>
      </c>
      <c r="AE14" s="28">
        <v>3.841999869705365E-3</v>
      </c>
      <c r="AF14" s="28">
        <v>5.3136854195137105E-3</v>
      </c>
      <c r="AG14" s="30">
        <v>0</v>
      </c>
      <c r="AH14" s="30">
        <v>7.228237882960114E-6</v>
      </c>
      <c r="AI14" s="30">
        <v>1.9352850365053441E-4</v>
      </c>
      <c r="AJ14" s="30">
        <v>0</v>
      </c>
      <c r="AK14" s="30">
        <v>1.043443986340999E-5</v>
      </c>
      <c r="AL14" s="30">
        <v>1.164231316241976E-2</v>
      </c>
      <c r="AM14" s="30">
        <v>1.1853504343816663E-2</v>
      </c>
      <c r="AN14" s="32">
        <v>0</v>
      </c>
      <c r="AO14" s="32">
        <v>5.1842725945187069E-6</v>
      </c>
      <c r="AP14" s="32">
        <v>2.4402048008400939E-7</v>
      </c>
      <c r="AQ14" s="32">
        <v>0</v>
      </c>
      <c r="AR14" s="32">
        <v>4.1200528175664258E-8</v>
      </c>
      <c r="AS14" s="32">
        <v>6.9876134596697926E-6</v>
      </c>
      <c r="AT14" s="32">
        <v>1.2457107062448174E-5</v>
      </c>
      <c r="AU14" s="34">
        <v>0</v>
      </c>
      <c r="AV14" s="34">
        <v>0</v>
      </c>
      <c r="AW14" s="34">
        <v>0.12769446264574236</v>
      </c>
      <c r="AX14" s="34">
        <v>0</v>
      </c>
      <c r="AY14" s="34">
        <v>1.2751641064940332E-2</v>
      </c>
      <c r="AZ14" s="34">
        <v>0.75548621380492831</v>
      </c>
      <c r="BA14" s="34">
        <v>0.89593231751561098</v>
      </c>
      <c r="BB14" s="6"/>
      <c r="BC14" s="6"/>
      <c r="BD14" t="s">
        <v>588</v>
      </c>
      <c r="BF14" s="5">
        <v>4.5002875999999997E-2</v>
      </c>
      <c r="BG14" s="5">
        <f t="shared" si="1"/>
        <v>-2.2258453923351643E-2</v>
      </c>
      <c r="BH14" s="2">
        <v>101.19911</v>
      </c>
    </row>
    <row r="15" spans="1:60" x14ac:dyDescent="0.2">
      <c r="A15" t="str">
        <f t="shared" si="0"/>
        <v>Bicycle, conventional, urban - 2020 - None - CH</v>
      </c>
      <c r="B15" t="s">
        <v>33</v>
      </c>
      <c r="D15" s="18">
        <v>2020</v>
      </c>
      <c r="E15" t="s">
        <v>37</v>
      </c>
      <c r="F15" t="s">
        <v>138</v>
      </c>
      <c r="G15" t="s">
        <v>39</v>
      </c>
      <c r="I15" t="s">
        <v>138</v>
      </c>
      <c r="J15" t="s">
        <v>138</v>
      </c>
      <c r="L15" s="24">
        <v>0</v>
      </c>
      <c r="M15" s="24">
        <v>0</v>
      </c>
      <c r="N15" s="24">
        <v>0</v>
      </c>
      <c r="O15" s="24">
        <v>1.195732624675443E-3</v>
      </c>
      <c r="P15" s="24">
        <v>4.0058676066667763E-4</v>
      </c>
      <c r="Q15" s="24">
        <v>6.887182925507696E-3</v>
      </c>
      <c r="R15" s="24">
        <v>8.4835023108498168E-3</v>
      </c>
      <c r="S15" s="26">
        <v>0</v>
      </c>
      <c r="T15" s="26">
        <v>0</v>
      </c>
      <c r="U15" s="26">
        <v>0</v>
      </c>
      <c r="V15" s="26">
        <v>9.8317473549625417E-5</v>
      </c>
      <c r="W15" s="26">
        <v>2.531213223680129E-5</v>
      </c>
      <c r="X15" s="26">
        <v>5.7514618162478825E-4</v>
      </c>
      <c r="Y15" s="26">
        <v>6.9877578741121501E-4</v>
      </c>
      <c r="Z15" s="28">
        <v>0</v>
      </c>
      <c r="AA15" s="28">
        <v>1.3758060237990489E-3</v>
      </c>
      <c r="AB15" s="28">
        <v>0</v>
      </c>
      <c r="AC15" s="28">
        <v>2.3968260093961618E-5</v>
      </c>
      <c r="AD15" s="28">
        <v>1.150603061790835E-5</v>
      </c>
      <c r="AE15" s="28">
        <v>2.4736859984810292E-4</v>
      </c>
      <c r="AF15" s="28">
        <v>1.6586489143590216E-3</v>
      </c>
      <c r="AG15" s="30">
        <v>0</v>
      </c>
      <c r="AH15" s="30">
        <v>7.228237882960114E-6</v>
      </c>
      <c r="AI15" s="30">
        <v>0</v>
      </c>
      <c r="AJ15" s="30">
        <v>8.5554174677296554E-5</v>
      </c>
      <c r="AK15" s="30">
        <v>1.073828450450333E-5</v>
      </c>
      <c r="AL15" s="30">
        <v>4.2647205163513042E-4</v>
      </c>
      <c r="AM15" s="30">
        <v>5.2999274869989046E-4</v>
      </c>
      <c r="AN15" s="32">
        <v>0</v>
      </c>
      <c r="AO15" s="32">
        <v>5.1842725945187069E-6</v>
      </c>
      <c r="AP15" s="32">
        <v>0</v>
      </c>
      <c r="AQ15" s="32">
        <v>6.5490648626579012E-8</v>
      </c>
      <c r="AR15" s="32">
        <v>4.2400262886895747E-8</v>
      </c>
      <c r="AS15" s="32">
        <v>6.0159508973609065E-7</v>
      </c>
      <c r="AT15" s="32">
        <v>5.8937585957682725E-6</v>
      </c>
      <c r="AU15" s="34">
        <v>0</v>
      </c>
      <c r="AV15" s="34">
        <v>0</v>
      </c>
      <c r="AW15" s="34">
        <v>0</v>
      </c>
      <c r="AX15" s="34">
        <v>2.01770987761535E-2</v>
      </c>
      <c r="AY15" s="34">
        <v>1.3122961217573963E-2</v>
      </c>
      <c r="AZ15" s="34">
        <v>8.0562383708599694E-2</v>
      </c>
      <c r="BA15" s="34">
        <v>0.11386244370232715</v>
      </c>
      <c r="BB15" s="6"/>
      <c r="BC15" s="6"/>
      <c r="BD15" t="s">
        <v>889</v>
      </c>
      <c r="BF15" s="5">
        <v>5.9156973999999994E-3</v>
      </c>
      <c r="BG15" s="5">
        <f t="shared" si="1"/>
        <v>-2.5678049108498174E-3</v>
      </c>
      <c r="BH15" s="2">
        <v>9.3159776000000001</v>
      </c>
    </row>
    <row r="16" spans="1:60" x14ac:dyDescent="0.2">
      <c r="A16" t="str">
        <f t="shared" si="0"/>
        <v>Bicycle, conventional, urban - 2030 - None - CH</v>
      </c>
      <c r="B16" t="s">
        <v>33</v>
      </c>
      <c r="D16" s="18">
        <v>2030</v>
      </c>
      <c r="E16" t="s">
        <v>37</v>
      </c>
      <c r="F16" t="s">
        <v>138</v>
      </c>
      <c r="G16" t="s">
        <v>39</v>
      </c>
      <c r="I16" t="s">
        <v>138</v>
      </c>
      <c r="J16" t="s">
        <v>138</v>
      </c>
      <c r="L16" s="24">
        <v>0</v>
      </c>
      <c r="M16" s="24">
        <v>0</v>
      </c>
      <c r="N16" s="24">
        <v>0</v>
      </c>
      <c r="O16" s="24">
        <v>1.195732624675443E-3</v>
      </c>
      <c r="P16" s="24">
        <v>3.9894799664576838E-4</v>
      </c>
      <c r="Q16" s="24">
        <v>7.6911297500214214E-3</v>
      </c>
      <c r="R16" s="24">
        <v>9.2858103713426322E-3</v>
      </c>
      <c r="S16" s="26">
        <v>0</v>
      </c>
      <c r="T16" s="26">
        <v>0</v>
      </c>
      <c r="U16" s="26">
        <v>0</v>
      </c>
      <c r="V16" s="26">
        <v>9.8317473549625417E-5</v>
      </c>
      <c r="W16" s="26">
        <v>2.5208582604923459E-5</v>
      </c>
      <c r="X16" s="26">
        <v>7.1970653224177406E-4</v>
      </c>
      <c r="Y16" s="26">
        <v>8.4323258839632295E-4</v>
      </c>
      <c r="Z16" s="28">
        <v>0</v>
      </c>
      <c r="AA16" s="28">
        <v>1.3758060237990489E-3</v>
      </c>
      <c r="AB16" s="28">
        <v>0</v>
      </c>
      <c r="AC16" s="28">
        <v>2.3968260093961618E-5</v>
      </c>
      <c r="AD16" s="28">
        <v>1.145896049265327E-5</v>
      </c>
      <c r="AE16" s="28">
        <v>2.9315923415507828E-4</v>
      </c>
      <c r="AF16" s="28">
        <v>1.7043924785407421E-3</v>
      </c>
      <c r="AG16" s="30">
        <v>0</v>
      </c>
      <c r="AH16" s="30">
        <v>7.228237882960114E-6</v>
      </c>
      <c r="AI16" s="30">
        <v>0</v>
      </c>
      <c r="AJ16" s="30">
        <v>8.5554174677296554E-5</v>
      </c>
      <c r="AK16" s="30">
        <v>1.0694355158803079E-5</v>
      </c>
      <c r="AL16" s="30">
        <v>5.7951059510734945E-4</v>
      </c>
      <c r="AM16" s="30">
        <v>6.8298736282640924E-4</v>
      </c>
      <c r="AN16" s="32">
        <v>0</v>
      </c>
      <c r="AO16" s="32">
        <v>5.1842725945187069E-6</v>
      </c>
      <c r="AP16" s="32">
        <v>0</v>
      </c>
      <c r="AQ16" s="32">
        <v>6.5490648626579012E-8</v>
      </c>
      <c r="AR16" s="32">
        <v>4.2226807265994808E-8</v>
      </c>
      <c r="AS16" s="32">
        <v>6.3768337118468535E-7</v>
      </c>
      <c r="AT16" s="32">
        <v>5.9296734215959658E-6</v>
      </c>
      <c r="AU16" s="34">
        <v>0</v>
      </c>
      <c r="AV16" s="34">
        <v>0</v>
      </c>
      <c r="AW16" s="34">
        <v>0</v>
      </c>
      <c r="AX16" s="34">
        <v>2.01770987761535E-2</v>
      </c>
      <c r="AY16" s="34">
        <v>1.3069276376229337E-2</v>
      </c>
      <c r="AZ16" s="34">
        <v>8.9127454842569259E-2</v>
      </c>
      <c r="BA16" s="34">
        <v>0.1223738299949521</v>
      </c>
      <c r="BB16" s="6"/>
      <c r="BC16" s="6"/>
      <c r="BD16" t="s">
        <v>589</v>
      </c>
      <c r="BF16" s="5">
        <v>6.2505966E-3</v>
      </c>
      <c r="BG16" s="5">
        <f t="shared" si="1"/>
        <v>-3.0352137713426323E-3</v>
      </c>
      <c r="BH16" s="2">
        <v>9.4949449000000001</v>
      </c>
    </row>
    <row r="17" spans="1:60" x14ac:dyDescent="0.2">
      <c r="A17" t="str">
        <f t="shared" si="0"/>
        <v>Bicycle, conventional, urban - 2040 - None - CH</v>
      </c>
      <c r="B17" t="s">
        <v>33</v>
      </c>
      <c r="D17" s="18">
        <v>2040</v>
      </c>
      <c r="E17" t="s">
        <v>37</v>
      </c>
      <c r="F17" t="s">
        <v>138</v>
      </c>
      <c r="G17" t="s">
        <v>39</v>
      </c>
      <c r="I17" t="s">
        <v>138</v>
      </c>
      <c r="J17" t="s">
        <v>138</v>
      </c>
      <c r="L17" s="24">
        <v>0</v>
      </c>
      <c r="M17" s="24">
        <v>0</v>
      </c>
      <c r="N17" s="24">
        <v>0</v>
      </c>
      <c r="O17" s="24">
        <v>1.195732624675443E-3</v>
      </c>
      <c r="P17" s="24">
        <v>3.9785548729849568E-4</v>
      </c>
      <c r="Q17" s="24">
        <v>8.2270942850229192E-3</v>
      </c>
      <c r="R17" s="24">
        <v>9.820682396996858E-3</v>
      </c>
      <c r="S17" s="26">
        <v>0</v>
      </c>
      <c r="T17" s="26">
        <v>0</v>
      </c>
      <c r="U17" s="26">
        <v>0</v>
      </c>
      <c r="V17" s="26">
        <v>9.8317473549625417E-5</v>
      </c>
      <c r="W17" s="26">
        <v>2.5139549517004909E-5</v>
      </c>
      <c r="X17" s="26">
        <v>8.1608009902565525E-4</v>
      </c>
      <c r="Y17" s="26">
        <v>9.3953712209228555E-4</v>
      </c>
      <c r="Z17" s="28">
        <v>0</v>
      </c>
      <c r="AA17" s="28">
        <v>1.3758060237990489E-3</v>
      </c>
      <c r="AB17" s="28">
        <v>0</v>
      </c>
      <c r="AC17" s="28">
        <v>2.3968260093961618E-5</v>
      </c>
      <c r="AD17" s="28">
        <v>1.1427580409149889E-5</v>
      </c>
      <c r="AE17" s="28">
        <v>3.2368632247491819E-4</v>
      </c>
      <c r="AF17" s="28">
        <v>1.7348881867770786E-3</v>
      </c>
      <c r="AG17" s="30">
        <v>0</v>
      </c>
      <c r="AH17" s="30">
        <v>7.228237882960114E-6</v>
      </c>
      <c r="AI17" s="30">
        <v>0</v>
      </c>
      <c r="AJ17" s="30">
        <v>8.5554174677296554E-5</v>
      </c>
      <c r="AK17" s="30">
        <v>1.066506892833626E-5</v>
      </c>
      <c r="AL17" s="30">
        <v>6.8153629065839693E-4</v>
      </c>
      <c r="AM17" s="30">
        <v>7.8498377214698985E-4</v>
      </c>
      <c r="AN17" s="32">
        <v>0</v>
      </c>
      <c r="AO17" s="32">
        <v>5.1842725945187069E-6</v>
      </c>
      <c r="AP17" s="32">
        <v>0</v>
      </c>
      <c r="AQ17" s="32">
        <v>6.5490648626579012E-8</v>
      </c>
      <c r="AR17" s="32">
        <v>4.2111170185394178E-8</v>
      </c>
      <c r="AS17" s="32">
        <v>6.6174222103354706E-7</v>
      </c>
      <c r="AT17" s="32">
        <v>5.9536166343642268E-6</v>
      </c>
      <c r="AU17" s="34">
        <v>0</v>
      </c>
      <c r="AV17" s="34">
        <v>0</v>
      </c>
      <c r="AW17" s="34">
        <v>0</v>
      </c>
      <c r="AX17" s="34">
        <v>2.01770987761535E-2</v>
      </c>
      <c r="AY17" s="34">
        <v>1.3033486481999585E-2</v>
      </c>
      <c r="AZ17" s="34">
        <v>9.4837502042610489E-2</v>
      </c>
      <c r="BA17" s="34">
        <v>0.12804808730076356</v>
      </c>
      <c r="BB17" s="6"/>
      <c r="BC17" s="6"/>
      <c r="BD17" t="s">
        <v>590</v>
      </c>
      <c r="BF17" s="5">
        <v>6.4738979E-3</v>
      </c>
      <c r="BG17" s="5">
        <f t="shared" si="1"/>
        <v>-3.3467844969968579E-3</v>
      </c>
      <c r="BH17" s="2">
        <v>9.6143221000000008</v>
      </c>
    </row>
    <row r="18" spans="1:60" x14ac:dyDescent="0.2">
      <c r="A18" t="str">
        <f t="shared" si="0"/>
        <v>Bicycle, conventional, urban - 2050 - None - CH</v>
      </c>
      <c r="B18" t="s">
        <v>33</v>
      </c>
      <c r="D18" s="18">
        <v>2050</v>
      </c>
      <c r="E18" t="s">
        <v>37</v>
      </c>
      <c r="F18" t="s">
        <v>138</v>
      </c>
      <c r="G18" t="s">
        <v>39</v>
      </c>
      <c r="I18" t="s">
        <v>138</v>
      </c>
      <c r="J18" t="s">
        <v>138</v>
      </c>
      <c r="L18" s="24">
        <v>0</v>
      </c>
      <c r="M18" s="24">
        <v>0</v>
      </c>
      <c r="N18" s="24">
        <v>0</v>
      </c>
      <c r="O18" s="24">
        <v>1.195732624675443E-3</v>
      </c>
      <c r="P18" s="24">
        <v>3.9676297795122293E-4</v>
      </c>
      <c r="Q18" s="24">
        <v>8.7630587036519932E-3</v>
      </c>
      <c r="R18" s="24">
        <v>1.035555430627866E-2</v>
      </c>
      <c r="S18" s="26">
        <v>0</v>
      </c>
      <c r="T18" s="26">
        <v>0</v>
      </c>
      <c r="U18" s="26">
        <v>0</v>
      </c>
      <c r="V18" s="26">
        <v>9.8317473549625417E-5</v>
      </c>
      <c r="W18" s="26">
        <v>2.5070516429086359E-5</v>
      </c>
      <c r="X18" s="26">
        <v>9.1245364221484372E-4</v>
      </c>
      <c r="Y18" s="26">
        <v>1.0358416321935556E-3</v>
      </c>
      <c r="Z18" s="28">
        <v>0</v>
      </c>
      <c r="AA18" s="28">
        <v>1.3758060237990489E-3</v>
      </c>
      <c r="AB18" s="28">
        <v>0</v>
      </c>
      <c r="AC18" s="28">
        <v>2.3968260093961618E-5</v>
      </c>
      <c r="AD18" s="28">
        <v>1.13962003256465E-5</v>
      </c>
      <c r="AE18" s="28">
        <v>3.5421340437923282E-4</v>
      </c>
      <c r="AF18" s="28">
        <v>1.7653838885978899E-3</v>
      </c>
      <c r="AG18" s="30">
        <v>0</v>
      </c>
      <c r="AH18" s="30">
        <v>7.228237882960114E-6</v>
      </c>
      <c r="AI18" s="30">
        <v>0</v>
      </c>
      <c r="AJ18" s="30">
        <v>8.5554174677296554E-5</v>
      </c>
      <c r="AK18" s="30">
        <v>1.063578269786943E-5</v>
      </c>
      <c r="AL18" s="30">
        <v>7.8356196097703796E-4</v>
      </c>
      <c r="AM18" s="30">
        <v>8.8698015623516402E-4</v>
      </c>
      <c r="AN18" s="32">
        <v>0</v>
      </c>
      <c r="AO18" s="32">
        <v>5.1842725945187069E-6</v>
      </c>
      <c r="AP18" s="32">
        <v>0</v>
      </c>
      <c r="AQ18" s="32">
        <v>6.5490648626579012E-8</v>
      </c>
      <c r="AR18" s="32">
        <v>4.1995533104793547E-8</v>
      </c>
      <c r="AS18" s="32">
        <v>6.858010692256405E-7</v>
      </c>
      <c r="AT18" s="32">
        <v>5.9775598454757192E-6</v>
      </c>
      <c r="AU18" s="34">
        <v>0</v>
      </c>
      <c r="AV18" s="34">
        <v>0</v>
      </c>
      <c r="AW18" s="34">
        <v>0</v>
      </c>
      <c r="AX18" s="34">
        <v>2.01770987761535E-2</v>
      </c>
      <c r="AY18" s="34">
        <v>1.2997696587769846E-2</v>
      </c>
      <c r="AZ18" s="34">
        <v>0.10054754807380653</v>
      </c>
      <c r="BA18" s="34">
        <v>0.13372234343772987</v>
      </c>
      <c r="BB18" s="6"/>
      <c r="BC18" s="6"/>
      <c r="BD18" t="s">
        <v>591</v>
      </c>
      <c r="BF18" s="5">
        <v>6.6970964000000006E-3</v>
      </c>
      <c r="BG18" s="5">
        <f t="shared" si="1"/>
        <v>-3.6584579062786593E-3</v>
      </c>
      <c r="BH18" s="2">
        <v>9.7334630000000004</v>
      </c>
    </row>
    <row r="19" spans="1:60" x14ac:dyDescent="0.2">
      <c r="A19" t="str">
        <f t="shared" si="0"/>
        <v>Bicycle, electric (&lt;25 km/h) - 2020 - NMC - CH</v>
      </c>
      <c r="B19" t="s">
        <v>264</v>
      </c>
      <c r="D19" s="18">
        <v>2020</v>
      </c>
      <c r="E19" t="s">
        <v>37</v>
      </c>
      <c r="F19" t="s">
        <v>138</v>
      </c>
      <c r="G19" t="s">
        <v>39</v>
      </c>
      <c r="H19" t="s">
        <v>32</v>
      </c>
      <c r="I19" t="s">
        <v>43</v>
      </c>
      <c r="J19" t="s">
        <v>138</v>
      </c>
      <c r="L19" s="24">
        <v>0</v>
      </c>
      <c r="M19" s="24">
        <v>0</v>
      </c>
      <c r="N19" s="24">
        <v>7.8217156213787186E-4</v>
      </c>
      <c r="O19" s="24">
        <v>1.195732624675443E-3</v>
      </c>
      <c r="P19" s="24">
        <v>4.5179813632008798E-4</v>
      </c>
      <c r="Q19" s="24">
        <v>1.328900195020182E-2</v>
      </c>
      <c r="R19" s="24">
        <v>1.5718704273335223E-2</v>
      </c>
      <c r="S19" s="26">
        <v>0</v>
      </c>
      <c r="T19" s="26">
        <v>0</v>
      </c>
      <c r="U19" s="26">
        <v>8.2787723282772764E-5</v>
      </c>
      <c r="V19" s="26">
        <v>9.8317473549625417E-5</v>
      </c>
      <c r="W19" s="26">
        <v>2.854805823298327E-5</v>
      </c>
      <c r="X19" s="26">
        <v>1.255020670214965E-2</v>
      </c>
      <c r="Y19" s="26">
        <v>1.2759859957215031E-2</v>
      </c>
      <c r="Z19" s="28">
        <v>0</v>
      </c>
      <c r="AA19" s="28">
        <v>1.3758060237990489E-3</v>
      </c>
      <c r="AB19" s="28">
        <v>2.4261803533979809E-5</v>
      </c>
      <c r="AC19" s="28">
        <v>2.3968260093961618E-5</v>
      </c>
      <c r="AD19" s="28">
        <v>1.2976972032129591E-5</v>
      </c>
      <c r="AE19" s="28">
        <v>1.184976064930756E-3</v>
      </c>
      <c r="AF19" s="28">
        <v>2.6219891243898759E-3</v>
      </c>
      <c r="AG19" s="30">
        <v>0</v>
      </c>
      <c r="AH19" s="30">
        <v>7.228237882960114E-6</v>
      </c>
      <c r="AI19" s="30">
        <v>5.5435684002652831E-5</v>
      </c>
      <c r="AJ19" s="30">
        <v>8.5554174677296554E-5</v>
      </c>
      <c r="AK19" s="30">
        <v>1.2111076557635849E-5</v>
      </c>
      <c r="AL19" s="30">
        <v>3.2773028407887422E-3</v>
      </c>
      <c r="AM19" s="30">
        <v>3.4376320139092877E-3</v>
      </c>
      <c r="AN19" s="32">
        <v>0</v>
      </c>
      <c r="AO19" s="32">
        <v>5.1842725945187069E-6</v>
      </c>
      <c r="AP19" s="32">
        <v>6.9898965624929674E-8</v>
      </c>
      <c r="AQ19" s="32">
        <v>6.5490648626579012E-8</v>
      </c>
      <c r="AR19" s="32">
        <v>4.7820751040050032E-8</v>
      </c>
      <c r="AS19" s="32">
        <v>2.5259502359604321E-6</v>
      </c>
      <c r="AT19" s="32">
        <v>7.8934331957706966E-6</v>
      </c>
      <c r="AU19" s="34">
        <v>0</v>
      </c>
      <c r="AV19" s="34">
        <v>0</v>
      </c>
      <c r="AW19" s="34">
        <v>3.6577712050626814E-2</v>
      </c>
      <c r="AX19" s="34">
        <v>2.01770987761535E-2</v>
      </c>
      <c r="AY19" s="34">
        <v>1.4800612509593357E-2</v>
      </c>
      <c r="AZ19" s="34">
        <v>0.17731219978001517</v>
      </c>
      <c r="BA19" s="34">
        <v>0.24886762311638883</v>
      </c>
      <c r="BB19" s="6"/>
      <c r="BC19" s="6"/>
      <c r="BD19" t="s">
        <v>890</v>
      </c>
      <c r="BF19" s="5">
        <v>1.1042067000000001E-2</v>
      </c>
      <c r="BG19" s="5">
        <f t="shared" si="1"/>
        <v>-4.6766372733352216E-3</v>
      </c>
      <c r="BH19" s="2">
        <v>32.063935999999998</v>
      </c>
    </row>
    <row r="20" spans="1:60" x14ac:dyDescent="0.2">
      <c r="A20" t="str">
        <f t="shared" si="0"/>
        <v>Bicycle, electric (&lt;25 km/h) - 2030 - NMC - CH</v>
      </c>
      <c r="B20" t="s">
        <v>264</v>
      </c>
      <c r="D20" s="18">
        <v>2030</v>
      </c>
      <c r="E20" t="s">
        <v>37</v>
      </c>
      <c r="F20" t="s">
        <v>138</v>
      </c>
      <c r="G20" t="s">
        <v>39</v>
      </c>
      <c r="H20" t="s">
        <v>32</v>
      </c>
      <c r="I20" t="s">
        <v>43</v>
      </c>
      <c r="J20" t="s">
        <v>138</v>
      </c>
      <c r="L20" s="24">
        <v>0</v>
      </c>
      <c r="M20" s="24">
        <v>0</v>
      </c>
      <c r="N20" s="24">
        <v>7.8217156213787186E-4</v>
      </c>
      <c r="O20" s="24">
        <v>1.195732624675443E-3</v>
      </c>
      <c r="P20" s="24">
        <v>4.5014419855824448E-4</v>
      </c>
      <c r="Q20" s="24">
        <v>1.3056994186893239E-2</v>
      </c>
      <c r="R20" s="24">
        <v>1.5485042572264799E-2</v>
      </c>
      <c r="S20" s="26">
        <v>0</v>
      </c>
      <c r="T20" s="26">
        <v>0</v>
      </c>
      <c r="U20" s="26">
        <v>8.2787723282772764E-5</v>
      </c>
      <c r="V20" s="26">
        <v>9.8317473549625417E-5</v>
      </c>
      <c r="W20" s="26">
        <v>2.844354980821769E-5</v>
      </c>
      <c r="X20" s="26">
        <v>1.0701410048596829E-2</v>
      </c>
      <c r="Y20" s="26">
        <v>1.0910958795237445E-2</v>
      </c>
      <c r="Z20" s="28">
        <v>0</v>
      </c>
      <c r="AA20" s="28">
        <v>1.3758060237990489E-3</v>
      </c>
      <c r="AB20" s="28">
        <v>2.4261803533979809E-5</v>
      </c>
      <c r="AC20" s="28">
        <v>2.3968260093961618E-5</v>
      </c>
      <c r="AD20" s="28">
        <v>1.2929466072381411E-5</v>
      </c>
      <c r="AE20" s="28">
        <v>1.0694494518561149E-3</v>
      </c>
      <c r="AF20" s="28">
        <v>2.5064150053554866E-3</v>
      </c>
      <c r="AG20" s="30">
        <v>0</v>
      </c>
      <c r="AH20" s="30">
        <v>7.228237882960114E-6</v>
      </c>
      <c r="AI20" s="30">
        <v>5.5435684002652831E-5</v>
      </c>
      <c r="AJ20" s="30">
        <v>8.5554174677296554E-5</v>
      </c>
      <c r="AK20" s="30">
        <v>1.2066740458734681E-5</v>
      </c>
      <c r="AL20" s="30">
        <v>3.0150227021893518E-3</v>
      </c>
      <c r="AM20" s="30">
        <v>3.1753075392109958E-3</v>
      </c>
      <c r="AN20" s="32">
        <v>0</v>
      </c>
      <c r="AO20" s="32">
        <v>5.1842725945187069E-6</v>
      </c>
      <c r="AP20" s="32">
        <v>6.9898965624929674E-8</v>
      </c>
      <c r="AQ20" s="32">
        <v>6.5490648626579012E-8</v>
      </c>
      <c r="AR20" s="32">
        <v>4.7645689348585192E-8</v>
      </c>
      <c r="AS20" s="32">
        <v>2.2001424793828139E-6</v>
      </c>
      <c r="AT20" s="32">
        <v>7.5674503775016136E-6</v>
      </c>
      <c r="AU20" s="34">
        <v>0</v>
      </c>
      <c r="AV20" s="34">
        <v>0</v>
      </c>
      <c r="AW20" s="34">
        <v>3.6577712050626814E-2</v>
      </c>
      <c r="AX20" s="34">
        <v>2.01770987761535E-2</v>
      </c>
      <c r="AY20" s="34">
        <v>1.4746430586384435E-2</v>
      </c>
      <c r="AZ20" s="34">
        <v>0.16997936361743826</v>
      </c>
      <c r="BA20" s="34">
        <v>0.24148060503060301</v>
      </c>
      <c r="BB20" s="6"/>
      <c r="BC20" s="6"/>
      <c r="BD20" t="s">
        <v>592</v>
      </c>
      <c r="BF20" s="5">
        <v>1.0744254E-2</v>
      </c>
      <c r="BG20" s="5">
        <f t="shared" si="1"/>
        <v>-4.740788572264799E-3</v>
      </c>
      <c r="BH20" s="2">
        <v>28.577304999999999</v>
      </c>
    </row>
    <row r="21" spans="1:60" x14ac:dyDescent="0.2">
      <c r="A21" t="str">
        <f t="shared" si="0"/>
        <v>Bicycle, electric (&lt;25 km/h) - 2040 - NMC - CH</v>
      </c>
      <c r="B21" t="s">
        <v>264</v>
      </c>
      <c r="D21" s="18">
        <v>2040</v>
      </c>
      <c r="E21" t="s">
        <v>37</v>
      </c>
      <c r="F21" t="s">
        <v>138</v>
      </c>
      <c r="G21" t="s">
        <v>39</v>
      </c>
      <c r="H21" t="s">
        <v>32</v>
      </c>
      <c r="I21" t="s">
        <v>43</v>
      </c>
      <c r="J21" t="s">
        <v>138</v>
      </c>
      <c r="L21" s="24">
        <v>0</v>
      </c>
      <c r="M21" s="24">
        <v>0</v>
      </c>
      <c r="N21" s="24">
        <v>7.8217156213787186E-4</v>
      </c>
      <c r="O21" s="24">
        <v>1.195732624675443E-3</v>
      </c>
      <c r="P21" s="24">
        <v>4.472460140397849E-4</v>
      </c>
      <c r="Q21" s="24">
        <v>1.2680690138179381E-2</v>
      </c>
      <c r="R21" s="24">
        <v>1.5105840339032481E-2</v>
      </c>
      <c r="S21" s="26">
        <v>0</v>
      </c>
      <c r="T21" s="26">
        <v>0</v>
      </c>
      <c r="U21" s="26">
        <v>8.2787723282772764E-5</v>
      </c>
      <c r="V21" s="26">
        <v>9.8317473549625417E-5</v>
      </c>
      <c r="W21" s="26">
        <v>2.8260420366655981E-5</v>
      </c>
      <c r="X21" s="26">
        <v>9.0507226984678068E-3</v>
      </c>
      <c r="Y21" s="26">
        <v>9.2600883156668604E-3</v>
      </c>
      <c r="Z21" s="28">
        <v>0</v>
      </c>
      <c r="AA21" s="28">
        <v>1.3758060237990489E-3</v>
      </c>
      <c r="AB21" s="28">
        <v>2.4261803533979809E-5</v>
      </c>
      <c r="AC21" s="28">
        <v>2.3968260093961618E-5</v>
      </c>
      <c r="AD21" s="28">
        <v>1.284622168419881E-5</v>
      </c>
      <c r="AE21" s="28">
        <v>9.5824877247864082E-4</v>
      </c>
      <c r="AF21" s="28">
        <v>2.3951310815898299E-3</v>
      </c>
      <c r="AG21" s="30">
        <v>0</v>
      </c>
      <c r="AH21" s="30">
        <v>7.228237882960114E-6</v>
      </c>
      <c r="AI21" s="30">
        <v>5.5435684002652831E-5</v>
      </c>
      <c r="AJ21" s="30">
        <v>8.5554174677296554E-5</v>
      </c>
      <c r="AK21" s="30">
        <v>1.1989050597357409E-5</v>
      </c>
      <c r="AL21" s="30">
        <v>2.752316042919872E-3</v>
      </c>
      <c r="AM21" s="30">
        <v>2.9125231900801389E-3</v>
      </c>
      <c r="AN21" s="32">
        <v>0</v>
      </c>
      <c r="AO21" s="32">
        <v>5.1842725945187069E-6</v>
      </c>
      <c r="AP21" s="32">
        <v>6.9898965624929674E-8</v>
      </c>
      <c r="AQ21" s="32">
        <v>6.5490648626579012E-8</v>
      </c>
      <c r="AR21" s="32">
        <v>4.7338929870880761E-8</v>
      </c>
      <c r="AS21" s="32">
        <v>1.9062727272207299E-6</v>
      </c>
      <c r="AT21" s="32">
        <v>7.2732738658618254E-6</v>
      </c>
      <c r="AU21" s="34">
        <v>0</v>
      </c>
      <c r="AV21" s="34">
        <v>0</v>
      </c>
      <c r="AW21" s="34">
        <v>3.6577712050626814E-2</v>
      </c>
      <c r="AX21" s="34">
        <v>2.01770987761535E-2</v>
      </c>
      <c r="AY21" s="34">
        <v>1.4651487950302742E-2</v>
      </c>
      <c r="AZ21" s="34">
        <v>0.16168134792499275</v>
      </c>
      <c r="BA21" s="34">
        <v>0.23308764670207582</v>
      </c>
      <c r="BB21" s="6"/>
      <c r="BC21" s="6"/>
      <c r="BD21" t="s">
        <v>593</v>
      </c>
      <c r="BF21" s="5">
        <v>1.0403598E-2</v>
      </c>
      <c r="BG21" s="5">
        <f t="shared" si="1"/>
        <v>-4.7022423390324815E-3</v>
      </c>
      <c r="BH21" s="2">
        <v>25.464594999999999</v>
      </c>
    </row>
    <row r="22" spans="1:60" x14ac:dyDescent="0.2">
      <c r="A22" t="str">
        <f t="shared" si="0"/>
        <v>Bicycle, electric (&lt;25 km/h) - 2050 - NMC - CH</v>
      </c>
      <c r="B22" t="s">
        <v>264</v>
      </c>
      <c r="D22" s="18">
        <v>2050</v>
      </c>
      <c r="E22" t="s">
        <v>37</v>
      </c>
      <c r="F22" t="s">
        <v>138</v>
      </c>
      <c r="G22" t="s">
        <v>39</v>
      </c>
      <c r="H22" t="s">
        <v>32</v>
      </c>
      <c r="I22" t="s">
        <v>43</v>
      </c>
      <c r="J22" t="s">
        <v>138</v>
      </c>
      <c r="L22" s="24">
        <v>0</v>
      </c>
      <c r="M22" s="24">
        <v>0</v>
      </c>
      <c r="N22" s="24">
        <v>7.8217156213787186E-4</v>
      </c>
      <c r="O22" s="24">
        <v>1.195732624675443E-3</v>
      </c>
      <c r="P22" s="24">
        <v>4.4829300216425461E-4</v>
      </c>
      <c r="Q22" s="24">
        <v>1.306679777444421E-2</v>
      </c>
      <c r="R22" s="24">
        <v>1.5492994963421779E-2</v>
      </c>
      <c r="S22" s="26">
        <v>0</v>
      </c>
      <c r="T22" s="26">
        <v>0</v>
      </c>
      <c r="U22" s="26">
        <v>8.2787723282772764E-5</v>
      </c>
      <c r="V22" s="26">
        <v>9.8317473549625417E-5</v>
      </c>
      <c r="W22" s="26">
        <v>2.832657707591125E-5</v>
      </c>
      <c r="X22" s="26">
        <v>8.8779769286049474E-3</v>
      </c>
      <c r="Y22" s="26">
        <v>9.0874087025132576E-3</v>
      </c>
      <c r="Z22" s="28">
        <v>0</v>
      </c>
      <c r="AA22" s="28">
        <v>1.3758060237990489E-3</v>
      </c>
      <c r="AB22" s="28">
        <v>2.4261803533979809E-5</v>
      </c>
      <c r="AC22" s="28">
        <v>2.3968260093961618E-5</v>
      </c>
      <c r="AD22" s="28">
        <v>1.2876294264222889E-5</v>
      </c>
      <c r="AE22" s="28">
        <v>9.6652043551671634E-4</v>
      </c>
      <c r="AF22" s="28">
        <v>2.4034328172079294E-3</v>
      </c>
      <c r="AG22" s="30">
        <v>0</v>
      </c>
      <c r="AH22" s="30">
        <v>7.228237882960114E-6</v>
      </c>
      <c r="AI22" s="30">
        <v>5.5435684002652831E-5</v>
      </c>
      <c r="AJ22" s="30">
        <v>8.5554174677296554E-5</v>
      </c>
      <c r="AK22" s="30">
        <v>1.201711656822145E-5</v>
      </c>
      <c r="AL22" s="30">
        <v>2.7911608441172149E-3</v>
      </c>
      <c r="AM22" s="30">
        <v>2.951396057248346E-3</v>
      </c>
      <c r="AN22" s="32">
        <v>0</v>
      </c>
      <c r="AO22" s="32">
        <v>5.1842725945187069E-6</v>
      </c>
      <c r="AP22" s="32">
        <v>6.9898965624929674E-8</v>
      </c>
      <c r="AQ22" s="32">
        <v>6.5490648626579012E-8</v>
      </c>
      <c r="AR22" s="32">
        <v>4.7449748739789693E-8</v>
      </c>
      <c r="AS22" s="32">
        <v>1.883034516292265E-6</v>
      </c>
      <c r="AT22" s="32">
        <v>7.2501464738022696E-6</v>
      </c>
      <c r="AU22" s="34">
        <v>0</v>
      </c>
      <c r="AV22" s="34">
        <v>0</v>
      </c>
      <c r="AW22" s="34">
        <v>3.6577712050626814E-2</v>
      </c>
      <c r="AX22" s="34">
        <v>2.01770987761535E-2</v>
      </c>
      <c r="AY22" s="34">
        <v>1.4685786598939585E-2</v>
      </c>
      <c r="AZ22" s="34">
        <v>0.16523630757397889</v>
      </c>
      <c r="BA22" s="34">
        <v>0.23667690499969879</v>
      </c>
      <c r="BB22" s="6"/>
      <c r="BC22" s="6"/>
      <c r="BD22" t="s">
        <v>594</v>
      </c>
      <c r="BF22" s="5">
        <v>1.0541487E-2</v>
      </c>
      <c r="BG22" s="5">
        <f t="shared" si="1"/>
        <v>-4.9515079634217789E-3</v>
      </c>
      <c r="BH22" s="2">
        <v>25.105225999999998</v>
      </c>
    </row>
    <row r="23" spans="1:60" x14ac:dyDescent="0.2">
      <c r="A23" t="str">
        <f t="shared" si="0"/>
        <v>Bicycle, electric (&lt;45 km/h) - 2020 - NMC - CH</v>
      </c>
      <c r="B23" t="s">
        <v>265</v>
      </c>
      <c r="D23" s="18">
        <v>2020</v>
      </c>
      <c r="E23" t="s">
        <v>37</v>
      </c>
      <c r="F23" t="s">
        <v>138</v>
      </c>
      <c r="G23" t="s">
        <v>39</v>
      </c>
      <c r="H23" t="s">
        <v>32</v>
      </c>
      <c r="I23" t="s">
        <v>43</v>
      </c>
      <c r="J23" t="s">
        <v>138</v>
      </c>
      <c r="L23" s="24">
        <v>0</v>
      </c>
      <c r="M23" s="24">
        <v>0</v>
      </c>
      <c r="N23" s="24">
        <v>1.4364996721616199E-3</v>
      </c>
      <c r="O23" s="24">
        <v>1.195732624675443E-3</v>
      </c>
      <c r="P23" s="24">
        <v>4.7000662544130072E-4</v>
      </c>
      <c r="Q23" s="24">
        <v>9.8334853630012153E-3</v>
      </c>
      <c r="R23" s="24">
        <v>1.2935724285279579E-2</v>
      </c>
      <c r="S23" s="26">
        <v>0</v>
      </c>
      <c r="T23" s="26">
        <v>0</v>
      </c>
      <c r="U23" s="26">
        <v>1.520440567152036E-4</v>
      </c>
      <c r="V23" s="26">
        <v>9.8317473549625417E-5</v>
      </c>
      <c r="W23" s="26">
        <v>2.9698609698292419E-5</v>
      </c>
      <c r="X23" s="26">
        <v>8.5991611819644376E-3</v>
      </c>
      <c r="Y23" s="26">
        <v>8.8792213219275589E-3</v>
      </c>
      <c r="Z23" s="28">
        <v>0</v>
      </c>
      <c r="AA23" s="28">
        <v>1.3758060237990489E-3</v>
      </c>
      <c r="AB23" s="28">
        <v>4.4558092507674578E-5</v>
      </c>
      <c r="AC23" s="28">
        <v>2.3968260093961618E-5</v>
      </c>
      <c r="AD23" s="28">
        <v>1.3499973423852701E-5</v>
      </c>
      <c r="AE23" s="28">
        <v>8.3795777881196366E-4</v>
      </c>
      <c r="AF23" s="28">
        <v>2.2957901286365014E-3</v>
      </c>
      <c r="AG23" s="30">
        <v>0</v>
      </c>
      <c r="AH23" s="30">
        <v>7.228237882960114E-6</v>
      </c>
      <c r="AI23" s="30">
        <v>1.018105819114773E-4</v>
      </c>
      <c r="AJ23" s="30">
        <v>8.5554174677296554E-5</v>
      </c>
      <c r="AK23" s="30">
        <v>1.259918039874964E-5</v>
      </c>
      <c r="AL23" s="30">
        <v>2.343476825969153E-3</v>
      </c>
      <c r="AM23" s="30">
        <v>2.5506690008396367E-3</v>
      </c>
      <c r="AN23" s="32">
        <v>0</v>
      </c>
      <c r="AO23" s="32">
        <v>5.1842725945187069E-6</v>
      </c>
      <c r="AP23" s="32">
        <v>1.2837316781270141E-7</v>
      </c>
      <c r="AQ23" s="32">
        <v>6.5490648626579012E-8</v>
      </c>
      <c r="AR23" s="32">
        <v>4.974803571672711E-8</v>
      </c>
      <c r="AS23" s="32">
        <v>1.770597549801543E-6</v>
      </c>
      <c r="AT23" s="32">
        <v>7.1984819964762571E-6</v>
      </c>
      <c r="AU23" s="34">
        <v>0</v>
      </c>
      <c r="AV23" s="34">
        <v>0</v>
      </c>
      <c r="AW23" s="34">
        <v>6.7176913496486523E-2</v>
      </c>
      <c r="AX23" s="34">
        <v>2.01770987761535E-2</v>
      </c>
      <c r="AY23" s="34">
        <v>1.5397110746755812E-2</v>
      </c>
      <c r="AZ23" s="34">
        <v>0.12966140408035057</v>
      </c>
      <c r="BA23" s="34">
        <v>0.23241252709974641</v>
      </c>
      <c r="BB23" s="6"/>
      <c r="BC23" s="6"/>
      <c r="BD23" t="s">
        <v>891</v>
      </c>
      <c r="BF23" s="5">
        <v>9.6879966999999997E-3</v>
      </c>
      <c r="BG23" s="5">
        <f t="shared" si="1"/>
        <v>-3.2477275852795789E-3</v>
      </c>
      <c r="BH23" s="2">
        <v>25.702192</v>
      </c>
    </row>
    <row r="24" spans="1:60" x14ac:dyDescent="0.2">
      <c r="A24" t="str">
        <f t="shared" si="0"/>
        <v>Bicycle, electric (&lt;45 km/h) - 2030 - NMC - CH</v>
      </c>
      <c r="B24" t="s">
        <v>265</v>
      </c>
      <c r="D24" s="18">
        <v>2030</v>
      </c>
      <c r="E24" t="s">
        <v>37</v>
      </c>
      <c r="F24" t="s">
        <v>138</v>
      </c>
      <c r="G24" t="s">
        <v>39</v>
      </c>
      <c r="H24" t="s">
        <v>32</v>
      </c>
      <c r="I24" t="s">
        <v>43</v>
      </c>
      <c r="J24" t="s">
        <v>138</v>
      </c>
      <c r="L24" s="24">
        <v>0</v>
      </c>
      <c r="M24" s="24">
        <v>0</v>
      </c>
      <c r="N24" s="24">
        <v>1.4364996721616199E-3</v>
      </c>
      <c r="O24" s="24">
        <v>1.195732624675443E-3</v>
      </c>
      <c r="P24" s="24">
        <v>4.6794299667422991E-4</v>
      </c>
      <c r="Q24" s="24">
        <v>9.7775443944006918E-3</v>
      </c>
      <c r="R24" s="24">
        <v>1.2877719687911984E-2</v>
      </c>
      <c r="S24" s="26">
        <v>0</v>
      </c>
      <c r="T24" s="26">
        <v>0</v>
      </c>
      <c r="U24" s="26">
        <v>1.520440567152036E-4</v>
      </c>
      <c r="V24" s="26">
        <v>9.8317473549625417E-5</v>
      </c>
      <c r="W24" s="26">
        <v>2.956821386555738E-5</v>
      </c>
      <c r="X24" s="26">
        <v>7.3846488576314673E-3</v>
      </c>
      <c r="Y24" s="26">
        <v>7.6645786017618539E-3</v>
      </c>
      <c r="Z24" s="28">
        <v>0</v>
      </c>
      <c r="AA24" s="28">
        <v>1.3758060237990489E-3</v>
      </c>
      <c r="AB24" s="28">
        <v>4.4558092507674578E-5</v>
      </c>
      <c r="AC24" s="28">
        <v>2.3968260093961618E-5</v>
      </c>
      <c r="AD24" s="28">
        <v>1.3440699932790739E-5</v>
      </c>
      <c r="AE24" s="28">
        <v>7.665730032181484E-4</v>
      </c>
      <c r="AF24" s="28">
        <v>2.2243460795516243E-3</v>
      </c>
      <c r="AG24" s="30">
        <v>0</v>
      </c>
      <c r="AH24" s="30">
        <v>7.228237882960114E-6</v>
      </c>
      <c r="AI24" s="30">
        <v>1.018105819114773E-4</v>
      </c>
      <c r="AJ24" s="30">
        <v>8.5554174677296554E-5</v>
      </c>
      <c r="AK24" s="30">
        <v>1.2543861963423409E-5</v>
      </c>
      <c r="AL24" s="30">
        <v>2.1876111027913561E-3</v>
      </c>
      <c r="AM24" s="30">
        <v>2.3947479592265133E-3</v>
      </c>
      <c r="AN24" s="32">
        <v>0</v>
      </c>
      <c r="AO24" s="32">
        <v>5.1842725945187069E-6</v>
      </c>
      <c r="AP24" s="32">
        <v>1.2837316781270141E-7</v>
      </c>
      <c r="AQ24" s="32">
        <v>6.5490648626579012E-8</v>
      </c>
      <c r="AR24" s="32">
        <v>4.9529610120037038E-8</v>
      </c>
      <c r="AS24" s="32">
        <v>1.557545808442301E-6</v>
      </c>
      <c r="AT24" s="32">
        <v>6.9852118295203248E-6</v>
      </c>
      <c r="AU24" s="34">
        <v>0</v>
      </c>
      <c r="AV24" s="34">
        <v>0</v>
      </c>
      <c r="AW24" s="34">
        <v>6.7176913496486523E-2</v>
      </c>
      <c r="AX24" s="34">
        <v>2.01770987761535E-2</v>
      </c>
      <c r="AY24" s="34">
        <v>1.5329507613210733E-2</v>
      </c>
      <c r="AZ24" s="34">
        <v>0.12583044321433179</v>
      </c>
      <c r="BA24" s="34">
        <v>0.22851396310018257</v>
      </c>
      <c r="BB24" s="6"/>
      <c r="BC24" s="6"/>
      <c r="BD24" t="s">
        <v>595</v>
      </c>
      <c r="BF24" s="5">
        <v>9.5288435000000001E-3</v>
      </c>
      <c r="BG24" s="5">
        <f t="shared" si="1"/>
        <v>-3.3488761879119835E-3</v>
      </c>
      <c r="BH24" s="2">
        <v>23.39725</v>
      </c>
    </row>
    <row r="25" spans="1:60" x14ac:dyDescent="0.2">
      <c r="A25" t="str">
        <f t="shared" si="0"/>
        <v>Bicycle, electric (&lt;45 km/h) - 2040 - NMC - CH</v>
      </c>
      <c r="B25" t="s">
        <v>265</v>
      </c>
      <c r="D25" s="18">
        <v>2040</v>
      </c>
      <c r="E25" t="s">
        <v>37</v>
      </c>
      <c r="F25" t="s">
        <v>138</v>
      </c>
      <c r="G25" t="s">
        <v>39</v>
      </c>
      <c r="H25" t="s">
        <v>32</v>
      </c>
      <c r="I25" t="s">
        <v>43</v>
      </c>
      <c r="J25" t="s">
        <v>138</v>
      </c>
      <c r="L25" s="24">
        <v>0</v>
      </c>
      <c r="M25" s="24">
        <v>0</v>
      </c>
      <c r="N25" s="24">
        <v>1.4364996721616199E-3</v>
      </c>
      <c r="O25" s="24">
        <v>1.195732624675443E-3</v>
      </c>
      <c r="P25" s="24">
        <v>4.6431647259092168E-4</v>
      </c>
      <c r="Q25" s="24">
        <v>9.5761609501335328E-3</v>
      </c>
      <c r="R25" s="24">
        <v>1.2672709719561517E-2</v>
      </c>
      <c r="S25" s="26">
        <v>0</v>
      </c>
      <c r="T25" s="26">
        <v>0</v>
      </c>
      <c r="U25" s="26">
        <v>1.520440567152036E-4</v>
      </c>
      <c r="V25" s="26">
        <v>9.8317473549625417E-5</v>
      </c>
      <c r="W25" s="26">
        <v>2.9339062365383309E-5</v>
      </c>
      <c r="X25" s="26">
        <v>6.2810377629805309E-3</v>
      </c>
      <c r="Y25" s="26">
        <v>6.5607383556107431E-3</v>
      </c>
      <c r="Z25" s="28">
        <v>0</v>
      </c>
      <c r="AA25" s="28">
        <v>1.3758060237990489E-3</v>
      </c>
      <c r="AB25" s="28">
        <v>4.4558092507674578E-5</v>
      </c>
      <c r="AC25" s="28">
        <v>2.3968260093961618E-5</v>
      </c>
      <c r="AD25" s="28">
        <v>1.3336535488939229E-5</v>
      </c>
      <c r="AE25" s="28">
        <v>6.9443754179633642E-4</v>
      </c>
      <c r="AF25" s="28">
        <v>2.1521064536859607E-3</v>
      </c>
      <c r="AG25" s="30">
        <v>0</v>
      </c>
      <c r="AH25" s="30">
        <v>7.228237882960114E-6</v>
      </c>
      <c r="AI25" s="30">
        <v>1.018105819114773E-4</v>
      </c>
      <c r="AJ25" s="30">
        <v>8.5554174677296554E-5</v>
      </c>
      <c r="AK25" s="30">
        <v>1.244664794840158E-5</v>
      </c>
      <c r="AL25" s="30">
        <v>2.016975262949929E-3</v>
      </c>
      <c r="AM25" s="30">
        <v>2.2240149053700644E-3</v>
      </c>
      <c r="AN25" s="32">
        <v>0</v>
      </c>
      <c r="AO25" s="32">
        <v>5.1842725945187069E-6</v>
      </c>
      <c r="AP25" s="32">
        <v>1.2837316781270141E-7</v>
      </c>
      <c r="AQ25" s="32">
        <v>6.5490648626579012E-8</v>
      </c>
      <c r="AR25" s="32">
        <v>4.9145759255265523E-8</v>
      </c>
      <c r="AS25" s="32">
        <v>1.3622947149483109E-6</v>
      </c>
      <c r="AT25" s="32">
        <v>6.7895768851615631E-6</v>
      </c>
      <c r="AU25" s="34">
        <v>0</v>
      </c>
      <c r="AV25" s="34">
        <v>0</v>
      </c>
      <c r="AW25" s="34">
        <v>6.7176913496486523E-2</v>
      </c>
      <c r="AX25" s="34">
        <v>2.01770987761535E-2</v>
      </c>
      <c r="AY25" s="34">
        <v>1.5210705047642539E-2</v>
      </c>
      <c r="AZ25" s="34">
        <v>0.12081974100548248</v>
      </c>
      <c r="BA25" s="34">
        <v>0.22338445832576503</v>
      </c>
      <c r="BB25" s="6"/>
      <c r="BC25" s="6"/>
      <c r="BD25" t="s">
        <v>596</v>
      </c>
      <c r="BF25" s="5">
        <v>9.3150726E-3</v>
      </c>
      <c r="BG25" s="5">
        <f t="shared" si="1"/>
        <v>-3.3576371195615171E-3</v>
      </c>
      <c r="BH25" s="2">
        <v>21.298590999999998</v>
      </c>
    </row>
    <row r="26" spans="1:60" x14ac:dyDescent="0.2">
      <c r="A26" t="str">
        <f t="shared" si="0"/>
        <v>Bicycle, electric (&lt;45 km/h) - 2050 - NMC - CH</v>
      </c>
      <c r="B26" t="s">
        <v>265</v>
      </c>
      <c r="D26" s="18">
        <v>2050</v>
      </c>
      <c r="E26" t="s">
        <v>37</v>
      </c>
      <c r="F26" t="s">
        <v>138</v>
      </c>
      <c r="G26" t="s">
        <v>39</v>
      </c>
      <c r="H26" t="s">
        <v>32</v>
      </c>
      <c r="I26" t="s">
        <v>43</v>
      </c>
      <c r="J26" t="s">
        <v>138</v>
      </c>
      <c r="L26" s="24">
        <v>0</v>
      </c>
      <c r="M26" s="24">
        <v>0</v>
      </c>
      <c r="N26" s="24">
        <v>1.4364996721616199E-3</v>
      </c>
      <c r="O26" s="24">
        <v>1.195732624675443E-3</v>
      </c>
      <c r="P26" s="24">
        <v>4.6509033337857321E-4</v>
      </c>
      <c r="Q26" s="24">
        <v>9.8993866474147967E-3</v>
      </c>
      <c r="R26" s="24">
        <v>1.2996709277630433E-2</v>
      </c>
      <c r="S26" s="26">
        <v>0</v>
      </c>
      <c r="T26" s="26">
        <v>0</v>
      </c>
      <c r="U26" s="26">
        <v>1.520440567152036E-4</v>
      </c>
      <c r="V26" s="26">
        <v>9.8317473549625417E-5</v>
      </c>
      <c r="W26" s="26">
        <v>2.9387960802658939E-5</v>
      </c>
      <c r="X26" s="26">
        <v>6.17788644576912E-3</v>
      </c>
      <c r="Y26" s="26">
        <v>6.4576359368366081E-3</v>
      </c>
      <c r="Z26" s="28">
        <v>0</v>
      </c>
      <c r="AA26" s="28">
        <v>1.3758060237990489E-3</v>
      </c>
      <c r="AB26" s="28">
        <v>4.4558092507674578E-5</v>
      </c>
      <c r="AC26" s="28">
        <v>2.3968260093961618E-5</v>
      </c>
      <c r="AD26" s="28">
        <v>1.335876304808745E-5</v>
      </c>
      <c r="AE26" s="28">
        <v>7.0370729650907275E-4</v>
      </c>
      <c r="AF26" s="28">
        <v>2.1613984359578455E-3</v>
      </c>
      <c r="AG26" s="30">
        <v>0</v>
      </c>
      <c r="AH26" s="30">
        <v>7.228237882960114E-6</v>
      </c>
      <c r="AI26" s="30">
        <v>1.018105819114773E-4</v>
      </c>
      <c r="AJ26" s="30">
        <v>8.5554174677296554E-5</v>
      </c>
      <c r="AK26" s="30">
        <v>1.246739236164892E-5</v>
      </c>
      <c r="AL26" s="30">
        <v>2.0555302742088799E-3</v>
      </c>
      <c r="AM26" s="30">
        <v>2.2625906610422627E-3</v>
      </c>
      <c r="AN26" s="32">
        <v>0</v>
      </c>
      <c r="AO26" s="32">
        <v>5.1842725945187069E-6</v>
      </c>
      <c r="AP26" s="32">
        <v>1.2837316781270141E-7</v>
      </c>
      <c r="AQ26" s="32">
        <v>6.5490648626579012E-8</v>
      </c>
      <c r="AR26" s="32">
        <v>4.9227668854024287E-8</v>
      </c>
      <c r="AS26" s="32">
        <v>1.349571522177053E-6</v>
      </c>
      <c r="AT26" s="32">
        <v>6.7769356019890644E-6</v>
      </c>
      <c r="AU26" s="34">
        <v>0</v>
      </c>
      <c r="AV26" s="34">
        <v>0</v>
      </c>
      <c r="AW26" s="34">
        <v>6.7176913496486523E-2</v>
      </c>
      <c r="AX26" s="34">
        <v>2.01770987761535E-2</v>
      </c>
      <c r="AY26" s="34">
        <v>1.5236056222721946E-2</v>
      </c>
      <c r="AZ26" s="34">
        <v>0.12389477893190831</v>
      </c>
      <c r="BA26" s="34">
        <v>0.22648484742727029</v>
      </c>
      <c r="BB26" s="6"/>
      <c r="BC26" s="6"/>
      <c r="BD26" t="s">
        <v>597</v>
      </c>
      <c r="BF26" s="5">
        <v>9.4342258999999991E-3</v>
      </c>
      <c r="BG26" s="5">
        <f t="shared" si="1"/>
        <v>-3.5624833776304338E-3</v>
      </c>
      <c r="BH26" s="2">
        <v>21.073778999999998</v>
      </c>
    </row>
    <row r="27" spans="1:60" x14ac:dyDescent="0.2">
      <c r="A27" t="str">
        <f t="shared" si="0"/>
        <v>Bicycle, electric, cargo bike - 2020 - NMC - CH</v>
      </c>
      <c r="B27" t="s">
        <v>271</v>
      </c>
      <c r="D27" s="18">
        <v>2020</v>
      </c>
      <c r="E27" t="s">
        <v>37</v>
      </c>
      <c r="F27" t="s">
        <v>138</v>
      </c>
      <c r="G27" t="s">
        <v>39</v>
      </c>
      <c r="H27" t="s">
        <v>32</v>
      </c>
      <c r="I27" t="s">
        <v>43</v>
      </c>
      <c r="J27" t="s">
        <v>138</v>
      </c>
      <c r="L27" s="24">
        <v>0</v>
      </c>
      <c r="M27" s="24">
        <v>0</v>
      </c>
      <c r="N27" s="24">
        <v>1.1004118370386139E-3</v>
      </c>
      <c r="O27" s="24">
        <v>1.195732624675443E-3</v>
      </c>
      <c r="P27" s="24">
        <v>7.7499881822161193E-4</v>
      </c>
      <c r="Q27" s="24">
        <v>2.2207853183671349E-2</v>
      </c>
      <c r="R27" s="24">
        <v>2.5278996463607019E-2</v>
      </c>
      <c r="S27" s="26">
        <v>0</v>
      </c>
      <c r="T27" s="26">
        <v>0</v>
      </c>
      <c r="U27" s="26">
        <v>1.164713664772465E-4</v>
      </c>
      <c r="V27" s="26">
        <v>9.8317473549625417E-5</v>
      </c>
      <c r="W27" s="26">
        <v>4.897034674222067E-5</v>
      </c>
      <c r="X27" s="26">
        <v>1.3437941841274189E-2</v>
      </c>
      <c r="Y27" s="26">
        <v>1.3701701028043281E-2</v>
      </c>
      <c r="Z27" s="28">
        <v>0</v>
      </c>
      <c r="AA27" s="28">
        <v>2.7516120475980978E-3</v>
      </c>
      <c r="AB27" s="28">
        <v>3.4133145577070547E-5</v>
      </c>
      <c r="AC27" s="28">
        <v>2.3968260093961618E-5</v>
      </c>
      <c r="AD27" s="28">
        <v>2.2260246735214739E-5</v>
      </c>
      <c r="AE27" s="28">
        <v>1.5194191966950671E-3</v>
      </c>
      <c r="AF27" s="28">
        <v>4.3513928966994117E-3</v>
      </c>
      <c r="AG27" s="30">
        <v>0</v>
      </c>
      <c r="AH27" s="30">
        <v>1.445647576592023E-5</v>
      </c>
      <c r="AI27" s="30">
        <v>7.7990668318491752E-5</v>
      </c>
      <c r="AJ27" s="30">
        <v>8.5554174677296554E-5</v>
      </c>
      <c r="AK27" s="30">
        <v>2.0774919737405581E-5</v>
      </c>
      <c r="AL27" s="30">
        <v>4.1247769659680297E-3</v>
      </c>
      <c r="AM27" s="30">
        <v>4.3235532044671437E-3</v>
      </c>
      <c r="AN27" s="32">
        <v>0</v>
      </c>
      <c r="AO27" s="32">
        <v>1.036854518903741E-5</v>
      </c>
      <c r="AP27" s="32">
        <v>9.8338590782043418E-8</v>
      </c>
      <c r="AQ27" s="32">
        <v>6.5490648626579012E-8</v>
      </c>
      <c r="AR27" s="32">
        <v>8.2030054051068197E-8</v>
      </c>
      <c r="AS27" s="32">
        <v>3.247132157769772E-6</v>
      </c>
      <c r="AT27" s="32">
        <v>1.3861536640266873E-5</v>
      </c>
      <c r="AU27" s="34">
        <v>0</v>
      </c>
      <c r="AV27" s="34">
        <v>0</v>
      </c>
      <c r="AW27" s="34">
        <v>5.1459998369519894E-2</v>
      </c>
      <c r="AX27" s="34">
        <v>2.01770987761535E-2</v>
      </c>
      <c r="AY27" s="34">
        <v>2.5388456219226894E-2</v>
      </c>
      <c r="AZ27" s="34">
        <v>0.28308506081476031</v>
      </c>
      <c r="BA27" s="34">
        <v>0.38011061417966063</v>
      </c>
      <c r="BB27" s="6"/>
      <c r="BC27" s="6"/>
      <c r="BD27" t="s">
        <v>892</v>
      </c>
      <c r="BF27" s="5">
        <v>1.7454895000000002E-2</v>
      </c>
      <c r="BG27" s="5">
        <f t="shared" si="1"/>
        <v>-7.8241014636070173E-3</v>
      </c>
      <c r="BH27" s="2">
        <v>42.150226000000004</v>
      </c>
    </row>
    <row r="28" spans="1:60" x14ac:dyDescent="0.2">
      <c r="A28" t="str">
        <f t="shared" si="0"/>
        <v>Bicycle, electric, cargo bike - 2030 - NMC - CH</v>
      </c>
      <c r="B28" t="s">
        <v>271</v>
      </c>
      <c r="D28" s="18">
        <v>2030</v>
      </c>
      <c r="E28" t="s">
        <v>37</v>
      </c>
      <c r="F28" t="s">
        <v>138</v>
      </c>
      <c r="G28" t="s">
        <v>39</v>
      </c>
      <c r="H28" t="s">
        <v>32</v>
      </c>
      <c r="I28" t="s">
        <v>43</v>
      </c>
      <c r="J28" t="s">
        <v>138</v>
      </c>
      <c r="L28" s="24">
        <v>0</v>
      </c>
      <c r="M28" s="24">
        <v>0</v>
      </c>
      <c r="N28" s="24">
        <v>1.1004118370386139E-3</v>
      </c>
      <c r="O28" s="24">
        <v>1.195732624675443E-3</v>
      </c>
      <c r="P28" s="24">
        <v>7.6836789343330363E-4</v>
      </c>
      <c r="Q28" s="24">
        <v>2.255563105074997E-2</v>
      </c>
      <c r="R28" s="24">
        <v>2.5620143405897331E-2</v>
      </c>
      <c r="S28" s="26">
        <v>0</v>
      </c>
      <c r="T28" s="26">
        <v>0</v>
      </c>
      <c r="U28" s="26">
        <v>1.164713664772465E-4</v>
      </c>
      <c r="V28" s="26">
        <v>9.8317473549625417E-5</v>
      </c>
      <c r="W28" s="26">
        <v>4.855135425027058E-5</v>
      </c>
      <c r="X28" s="26">
        <v>1.0802098385586909E-2</v>
      </c>
      <c r="Y28" s="26">
        <v>1.1065438579864051E-2</v>
      </c>
      <c r="Z28" s="28">
        <v>0</v>
      </c>
      <c r="AA28" s="28">
        <v>2.7516120475980978E-3</v>
      </c>
      <c r="AB28" s="28">
        <v>3.4133145577070547E-5</v>
      </c>
      <c r="AC28" s="28">
        <v>2.3968260093961618E-5</v>
      </c>
      <c r="AD28" s="28">
        <v>2.2069787061728899E-5</v>
      </c>
      <c r="AE28" s="28">
        <v>1.3863481951345851E-3</v>
      </c>
      <c r="AF28" s="28">
        <v>4.2181314354654432E-3</v>
      </c>
      <c r="AG28" s="30">
        <v>0</v>
      </c>
      <c r="AH28" s="30">
        <v>1.445647576592023E-5</v>
      </c>
      <c r="AI28" s="30">
        <v>7.7990668318491752E-5</v>
      </c>
      <c r="AJ28" s="30">
        <v>8.5554174677296554E-5</v>
      </c>
      <c r="AK28" s="30">
        <v>2.0597168588599979E-5</v>
      </c>
      <c r="AL28" s="30">
        <v>3.870340029132017E-3</v>
      </c>
      <c r="AM28" s="30">
        <v>4.0689385164823259E-3</v>
      </c>
      <c r="AN28" s="32">
        <v>0</v>
      </c>
      <c r="AO28" s="32">
        <v>1.036854518903741E-5</v>
      </c>
      <c r="AP28" s="32">
        <v>9.8338590782043418E-8</v>
      </c>
      <c r="AQ28" s="32">
        <v>6.5490648626579012E-8</v>
      </c>
      <c r="AR28" s="32">
        <v>8.1328201214644952E-8</v>
      </c>
      <c r="AS28" s="32">
        <v>2.7871139311076272E-6</v>
      </c>
      <c r="AT28" s="32">
        <v>1.3400816560768306E-5</v>
      </c>
      <c r="AU28" s="34">
        <v>0</v>
      </c>
      <c r="AV28" s="34">
        <v>0</v>
      </c>
      <c r="AW28" s="34">
        <v>5.1459998369519894E-2</v>
      </c>
      <c r="AX28" s="34">
        <v>2.01770987761535E-2</v>
      </c>
      <c r="AY28" s="34">
        <v>2.5171231444526893E-2</v>
      </c>
      <c r="AZ28" s="34">
        <v>0.27951390716620239</v>
      </c>
      <c r="BA28" s="34">
        <v>0.37632223575640267</v>
      </c>
      <c r="BB28" s="6"/>
      <c r="BC28" s="6"/>
      <c r="BD28" t="s">
        <v>598</v>
      </c>
      <c r="BF28" s="5">
        <v>1.7284722000000002E-2</v>
      </c>
      <c r="BG28" s="5">
        <f t="shared" si="1"/>
        <v>-8.3354214058973287E-3</v>
      </c>
      <c r="BH28" s="2">
        <v>37.065052999999999</v>
      </c>
    </row>
    <row r="29" spans="1:60" x14ac:dyDescent="0.2">
      <c r="A29" t="str">
        <f t="shared" si="0"/>
        <v>Bicycle, electric, cargo bike - 2040 - NMC - CH</v>
      </c>
      <c r="B29" t="s">
        <v>271</v>
      </c>
      <c r="D29" s="18">
        <v>2040</v>
      </c>
      <c r="E29" t="s">
        <v>37</v>
      </c>
      <c r="F29" t="s">
        <v>138</v>
      </c>
      <c r="G29" t="s">
        <v>39</v>
      </c>
      <c r="H29" t="s">
        <v>32</v>
      </c>
      <c r="I29" t="s">
        <v>43</v>
      </c>
      <c r="J29" t="s">
        <v>138</v>
      </c>
      <c r="L29" s="24">
        <v>0</v>
      </c>
      <c r="M29" s="24">
        <v>0</v>
      </c>
      <c r="N29" s="24">
        <v>1.1004118370386139E-3</v>
      </c>
      <c r="O29" s="24">
        <v>1.195732624675443E-3</v>
      </c>
      <c r="P29" s="24">
        <v>7.6248048195077839E-4</v>
      </c>
      <c r="Q29" s="24">
        <v>2.2775274334943339E-2</v>
      </c>
      <c r="R29" s="24">
        <v>2.5833899278608172E-2</v>
      </c>
      <c r="S29" s="26">
        <v>0</v>
      </c>
      <c r="T29" s="26">
        <v>0</v>
      </c>
      <c r="U29" s="26">
        <v>1.164713664772465E-4</v>
      </c>
      <c r="V29" s="26">
        <v>9.8317473549625417E-5</v>
      </c>
      <c r="W29" s="26">
        <v>4.8179342609820628E-5</v>
      </c>
      <c r="X29" s="26">
        <v>9.0372046485396405E-3</v>
      </c>
      <c r="Y29" s="26">
        <v>9.3001728311763333E-3</v>
      </c>
      <c r="Z29" s="28">
        <v>0</v>
      </c>
      <c r="AA29" s="28">
        <v>2.7516120475980978E-3</v>
      </c>
      <c r="AB29" s="28">
        <v>3.4133145577070547E-5</v>
      </c>
      <c r="AC29" s="28">
        <v>2.3968260093961618E-5</v>
      </c>
      <c r="AD29" s="28">
        <v>2.1900683278405099E-5</v>
      </c>
      <c r="AE29" s="28">
        <v>1.2964732590299E-3</v>
      </c>
      <c r="AF29" s="28">
        <v>4.1280873955774353E-3</v>
      </c>
      <c r="AG29" s="30">
        <v>0</v>
      </c>
      <c r="AH29" s="30">
        <v>1.445647576592023E-5</v>
      </c>
      <c r="AI29" s="30">
        <v>7.7990668318491752E-5</v>
      </c>
      <c r="AJ29" s="30">
        <v>8.5554174677296554E-5</v>
      </c>
      <c r="AK29" s="30">
        <v>2.0439348346639859E-5</v>
      </c>
      <c r="AL29" s="30">
        <v>3.696611527351222E-3</v>
      </c>
      <c r="AM29" s="30">
        <v>3.8950521944595704E-3</v>
      </c>
      <c r="AN29" s="32">
        <v>0</v>
      </c>
      <c r="AO29" s="32">
        <v>1.036854518903741E-5</v>
      </c>
      <c r="AP29" s="32">
        <v>9.8338590782043418E-8</v>
      </c>
      <c r="AQ29" s="32">
        <v>6.5490648626579012E-8</v>
      </c>
      <c r="AR29" s="32">
        <v>8.0705045835852706E-8</v>
      </c>
      <c r="AS29" s="32">
        <v>2.4783359410264612E-6</v>
      </c>
      <c r="AT29" s="32">
        <v>1.3091415415308346E-5</v>
      </c>
      <c r="AU29" s="34">
        <v>0</v>
      </c>
      <c r="AV29" s="34">
        <v>0</v>
      </c>
      <c r="AW29" s="34">
        <v>5.1459998369519894E-2</v>
      </c>
      <c r="AX29" s="34">
        <v>2.01770987761535E-2</v>
      </c>
      <c r="AY29" s="34">
        <v>2.4978363681177701E-2</v>
      </c>
      <c r="AZ29" s="34">
        <v>0.27698105092912673</v>
      </c>
      <c r="BA29" s="34">
        <v>0.37359651175597786</v>
      </c>
      <c r="BB29" s="6"/>
      <c r="BC29" s="6"/>
      <c r="BD29" t="s">
        <v>599</v>
      </c>
      <c r="BF29" s="5">
        <v>1.7157363000000002E-2</v>
      </c>
      <c r="BG29" s="5">
        <f t="shared" si="1"/>
        <v>-8.6765362786081698E-3</v>
      </c>
      <c r="BH29" s="2">
        <v>33.642775999999998</v>
      </c>
    </row>
    <row r="30" spans="1:60" x14ac:dyDescent="0.2">
      <c r="A30" t="str">
        <f t="shared" si="0"/>
        <v>Bicycle, electric, cargo bike - 2050 - NMC - CH</v>
      </c>
      <c r="B30" t="s">
        <v>271</v>
      </c>
      <c r="D30" s="18">
        <v>2050</v>
      </c>
      <c r="E30" t="s">
        <v>37</v>
      </c>
      <c r="F30" t="s">
        <v>138</v>
      </c>
      <c r="G30" t="s">
        <v>39</v>
      </c>
      <c r="H30" t="s">
        <v>32</v>
      </c>
      <c r="I30" t="s">
        <v>43</v>
      </c>
      <c r="J30" t="s">
        <v>138</v>
      </c>
      <c r="L30" s="24">
        <v>0</v>
      </c>
      <c r="M30" s="24">
        <v>0</v>
      </c>
      <c r="N30" s="24">
        <v>1.1004118370386139E-3</v>
      </c>
      <c r="O30" s="24">
        <v>1.195732624675443E-3</v>
      </c>
      <c r="P30" s="24">
        <v>7.5856565678971755E-4</v>
      </c>
      <c r="Q30" s="24">
        <v>2.3501171579932319E-2</v>
      </c>
      <c r="R30" s="24">
        <v>2.6555881698436094E-2</v>
      </c>
      <c r="S30" s="26">
        <v>0</v>
      </c>
      <c r="T30" s="26">
        <v>0</v>
      </c>
      <c r="U30" s="26">
        <v>1.164713664772465E-4</v>
      </c>
      <c r="V30" s="26">
        <v>9.8317473549625417E-5</v>
      </c>
      <c r="W30" s="26">
        <v>4.7931974044779159E-5</v>
      </c>
      <c r="X30" s="26">
        <v>8.2575643082954397E-3</v>
      </c>
      <c r="Y30" s="26">
        <v>8.5202851223670911E-3</v>
      </c>
      <c r="Z30" s="28">
        <v>0</v>
      </c>
      <c r="AA30" s="28">
        <v>2.7516120475980978E-3</v>
      </c>
      <c r="AB30" s="28">
        <v>3.4133145577070547E-5</v>
      </c>
      <c r="AC30" s="28">
        <v>2.3968260093961618E-5</v>
      </c>
      <c r="AD30" s="28">
        <v>2.1788237979184629E-5</v>
      </c>
      <c r="AE30" s="28">
        <v>1.2861053425090661E-3</v>
      </c>
      <c r="AF30" s="28">
        <v>4.1176070337573803E-3</v>
      </c>
      <c r="AG30" s="30">
        <v>0</v>
      </c>
      <c r="AH30" s="30">
        <v>1.445647576592023E-5</v>
      </c>
      <c r="AI30" s="30">
        <v>7.7990668318491752E-5</v>
      </c>
      <c r="AJ30" s="30">
        <v>8.5554174677296554E-5</v>
      </c>
      <c r="AK30" s="30">
        <v>2.0334406020800391E-5</v>
      </c>
      <c r="AL30" s="30">
        <v>3.7239045752225672E-3</v>
      </c>
      <c r="AM30" s="30">
        <v>3.9222403000050759E-3</v>
      </c>
      <c r="AN30" s="32">
        <v>0</v>
      </c>
      <c r="AO30" s="32">
        <v>1.036854518903741E-5</v>
      </c>
      <c r="AP30" s="32">
        <v>9.8338590782043418E-8</v>
      </c>
      <c r="AQ30" s="32">
        <v>6.5490648626579012E-8</v>
      </c>
      <c r="AR30" s="32">
        <v>8.0290679630367122E-8</v>
      </c>
      <c r="AS30" s="32">
        <v>2.3494561141384581E-6</v>
      </c>
      <c r="AT30" s="32">
        <v>1.2962121222214858E-5</v>
      </c>
      <c r="AU30" s="34">
        <v>0</v>
      </c>
      <c r="AV30" s="34">
        <v>0</v>
      </c>
      <c r="AW30" s="34">
        <v>5.1459998369519894E-2</v>
      </c>
      <c r="AX30" s="34">
        <v>2.01770987761535E-2</v>
      </c>
      <c r="AY30" s="34">
        <v>2.4850116560187773E-2</v>
      </c>
      <c r="AZ30" s="34">
        <v>0.28232007580793861</v>
      </c>
      <c r="BA30" s="34">
        <v>0.37880728951379977</v>
      </c>
      <c r="BB30" s="6"/>
      <c r="BC30" s="6"/>
      <c r="BD30" t="s">
        <v>600</v>
      </c>
      <c r="BF30" s="5">
        <v>1.7345091E-2</v>
      </c>
      <c r="BG30" s="5">
        <f t="shared" si="1"/>
        <v>-9.2107906984360936E-3</v>
      </c>
      <c r="BH30" s="2">
        <v>32.048532000000002</v>
      </c>
    </row>
    <row r="31" spans="1:60" x14ac:dyDescent="0.2">
      <c r="A31" t="str">
        <f t="shared" si="0"/>
        <v>Bicycle, electric (&lt;25 km/h) - 2020 - LFP - CH</v>
      </c>
      <c r="B31" t="s">
        <v>264</v>
      </c>
      <c r="D31" s="18">
        <v>2020</v>
      </c>
      <c r="E31" t="s">
        <v>37</v>
      </c>
      <c r="F31" t="s">
        <v>138</v>
      </c>
      <c r="G31" t="s">
        <v>39</v>
      </c>
      <c r="H31" t="s">
        <v>32</v>
      </c>
      <c r="I31" t="s">
        <v>44</v>
      </c>
      <c r="J31" t="s">
        <v>138</v>
      </c>
      <c r="L31" s="24">
        <v>0</v>
      </c>
      <c r="M31" s="24">
        <v>0</v>
      </c>
      <c r="N31" s="24">
        <v>7.8217156213787186E-4</v>
      </c>
      <c r="O31" s="24">
        <v>1.195732624675443E-3</v>
      </c>
      <c r="P31" s="24">
        <v>4.6659253373107328E-4</v>
      </c>
      <c r="Q31" s="24">
        <v>1.6505643761205481E-2</v>
      </c>
      <c r="R31" s="24">
        <v>1.895014048174987E-2</v>
      </c>
      <c r="S31" s="26">
        <v>0</v>
      </c>
      <c r="T31" s="26">
        <v>0</v>
      </c>
      <c r="U31" s="26">
        <v>8.2787723282772764E-5</v>
      </c>
      <c r="V31" s="26">
        <v>9.8317473549625417E-5</v>
      </c>
      <c r="W31" s="26">
        <v>2.948288129854695E-5</v>
      </c>
      <c r="X31" s="26">
        <v>8.2258663807938392E-3</v>
      </c>
      <c r="Y31" s="26">
        <v>8.4364544589247848E-3</v>
      </c>
      <c r="Z31" s="28">
        <v>0</v>
      </c>
      <c r="AA31" s="28">
        <v>1.3758060237990489E-3</v>
      </c>
      <c r="AB31" s="28">
        <v>2.4261803533979809E-5</v>
      </c>
      <c r="AC31" s="28">
        <v>2.3968260093961618E-5</v>
      </c>
      <c r="AD31" s="28">
        <v>1.340191066290461E-5</v>
      </c>
      <c r="AE31" s="28">
        <v>1.1968245285550461E-3</v>
      </c>
      <c r="AF31" s="28">
        <v>2.6342625266449413E-3</v>
      </c>
      <c r="AG31" s="30">
        <v>0</v>
      </c>
      <c r="AH31" s="30">
        <v>7.228237882960114E-6</v>
      </c>
      <c r="AI31" s="30">
        <v>5.5435684002652831E-5</v>
      </c>
      <c r="AJ31" s="30">
        <v>8.5554174677296554E-5</v>
      </c>
      <c r="AK31" s="30">
        <v>1.250766092854081E-5</v>
      </c>
      <c r="AL31" s="30">
        <v>3.8296400260956951E-3</v>
      </c>
      <c r="AM31" s="30">
        <v>3.9903657835871457E-3</v>
      </c>
      <c r="AN31" s="32">
        <v>0</v>
      </c>
      <c r="AO31" s="32">
        <v>5.1842725945187069E-6</v>
      </c>
      <c r="AP31" s="32">
        <v>6.9898965624929674E-8</v>
      </c>
      <c r="AQ31" s="32">
        <v>6.5490648626579012E-8</v>
      </c>
      <c r="AR31" s="32">
        <v>4.9386669839850162E-8</v>
      </c>
      <c r="AS31" s="32">
        <v>2.074391227463549E-6</v>
      </c>
      <c r="AT31" s="32">
        <v>7.4434401060736141E-6</v>
      </c>
      <c r="AU31" s="34">
        <v>0</v>
      </c>
      <c r="AV31" s="34">
        <v>0</v>
      </c>
      <c r="AW31" s="34">
        <v>3.6577712050626814E-2</v>
      </c>
      <c r="AX31" s="34">
        <v>2.01770987761535E-2</v>
      </c>
      <c r="AY31" s="34">
        <v>1.5285267327287853E-2</v>
      </c>
      <c r="AZ31" s="34">
        <v>0.21047691392722634</v>
      </c>
      <c r="BA31" s="34">
        <v>0.28251699208129449</v>
      </c>
      <c r="BB31" s="6"/>
      <c r="BC31" s="6"/>
      <c r="BD31" t="s">
        <v>893</v>
      </c>
      <c r="BF31" s="5">
        <v>1.4080789000000002E-2</v>
      </c>
      <c r="BG31" s="5">
        <f t="shared" si="1"/>
        <v>-4.8693514817498684E-3</v>
      </c>
      <c r="BH31" s="2">
        <v>40.805840000000003</v>
      </c>
    </row>
    <row r="32" spans="1:60" x14ac:dyDescent="0.2">
      <c r="A32" t="str">
        <f t="shared" si="0"/>
        <v>Bicycle, electric (&lt;25 km/h) - 2030 - LFP - CH</v>
      </c>
      <c r="B32" t="s">
        <v>264</v>
      </c>
      <c r="D32" s="18">
        <v>2030</v>
      </c>
      <c r="E32" t="s">
        <v>37</v>
      </c>
      <c r="F32" t="s">
        <v>138</v>
      </c>
      <c r="G32" t="s">
        <v>39</v>
      </c>
      <c r="H32" t="s">
        <v>32</v>
      </c>
      <c r="I32" t="s">
        <v>44</v>
      </c>
      <c r="J32" t="s">
        <v>138</v>
      </c>
      <c r="L32" s="24">
        <v>0</v>
      </c>
      <c r="M32" s="24">
        <v>0</v>
      </c>
      <c r="N32" s="24">
        <v>7.8217156213787186E-4</v>
      </c>
      <c r="O32" s="24">
        <v>1.195732624675443E-3</v>
      </c>
      <c r="P32" s="24">
        <v>4.7381523441582089E-4</v>
      </c>
      <c r="Q32" s="24">
        <v>1.730129842392206E-2</v>
      </c>
      <c r="R32" s="24">
        <v>1.9753017845151197E-2</v>
      </c>
      <c r="S32" s="26">
        <v>0</v>
      </c>
      <c r="T32" s="26">
        <v>0</v>
      </c>
      <c r="U32" s="26">
        <v>8.2787723282772764E-5</v>
      </c>
      <c r="V32" s="26">
        <v>9.8317473549625417E-5</v>
      </c>
      <c r="W32" s="26">
        <v>2.993926671311958E-5</v>
      </c>
      <c r="X32" s="26">
        <v>8.3478841054753904E-3</v>
      </c>
      <c r="Y32" s="26">
        <v>8.5589285690209089E-3</v>
      </c>
      <c r="Z32" s="28">
        <v>0</v>
      </c>
      <c r="AA32" s="28">
        <v>1.3758060237990489E-3</v>
      </c>
      <c r="AB32" s="28">
        <v>2.4261803533979809E-5</v>
      </c>
      <c r="AC32" s="28">
        <v>2.3968260093961618E-5</v>
      </c>
      <c r="AD32" s="28">
        <v>1.360936788162145E-5</v>
      </c>
      <c r="AE32" s="28">
        <v>1.241371074846764E-3</v>
      </c>
      <c r="AF32" s="28">
        <v>2.6790165301553755E-3</v>
      </c>
      <c r="AG32" s="30">
        <v>0</v>
      </c>
      <c r="AH32" s="30">
        <v>7.228237882960114E-6</v>
      </c>
      <c r="AI32" s="30">
        <v>5.5435684002652831E-5</v>
      </c>
      <c r="AJ32" s="30">
        <v>8.5554174677296554E-5</v>
      </c>
      <c r="AK32" s="30">
        <v>1.2701275452182609E-5</v>
      </c>
      <c r="AL32" s="30">
        <v>3.9694988774694904E-3</v>
      </c>
      <c r="AM32" s="30">
        <v>4.1304182494845826E-3</v>
      </c>
      <c r="AN32" s="32">
        <v>0</v>
      </c>
      <c r="AO32" s="32">
        <v>5.1842725945187069E-6</v>
      </c>
      <c r="AP32" s="32">
        <v>6.9898965624929674E-8</v>
      </c>
      <c r="AQ32" s="32">
        <v>6.5490648626579012E-8</v>
      </c>
      <c r="AR32" s="32">
        <v>5.0151159428265402E-8</v>
      </c>
      <c r="AS32" s="32">
        <v>2.1123012663586759E-6</v>
      </c>
      <c r="AT32" s="32">
        <v>7.4821146345571557E-6</v>
      </c>
      <c r="AU32" s="34">
        <v>0</v>
      </c>
      <c r="AV32" s="34">
        <v>0</v>
      </c>
      <c r="AW32" s="34">
        <v>3.6577712050626814E-2</v>
      </c>
      <c r="AX32" s="34">
        <v>2.01770987761535E-2</v>
      </c>
      <c r="AY32" s="34">
        <v>1.5521878294695623E-2</v>
      </c>
      <c r="AZ32" s="34">
        <v>0.21911361812630106</v>
      </c>
      <c r="BA32" s="34">
        <v>0.29139030724777698</v>
      </c>
      <c r="BB32" s="6"/>
      <c r="BC32" s="6"/>
      <c r="BD32" t="s">
        <v>601</v>
      </c>
      <c r="BF32" s="5">
        <v>1.4442080000000001E-2</v>
      </c>
      <c r="BG32" s="5">
        <f t="shared" si="1"/>
        <v>-5.3109378451511955E-3</v>
      </c>
      <c r="BH32" s="2">
        <v>41.031095000000001</v>
      </c>
    </row>
    <row r="33" spans="1:60" x14ac:dyDescent="0.2">
      <c r="A33" t="str">
        <f t="shared" si="0"/>
        <v>Bicycle, electric (&lt;25 km/h) - 2040 - LFP - CH</v>
      </c>
      <c r="B33" t="s">
        <v>264</v>
      </c>
      <c r="D33" s="18">
        <v>2040</v>
      </c>
      <c r="E33" t="s">
        <v>37</v>
      </c>
      <c r="F33" t="s">
        <v>138</v>
      </c>
      <c r="G33" t="s">
        <v>39</v>
      </c>
      <c r="H33" t="s">
        <v>32</v>
      </c>
      <c r="I33" t="s">
        <v>44</v>
      </c>
      <c r="J33" t="s">
        <v>138</v>
      </c>
      <c r="L33" s="24">
        <v>0</v>
      </c>
      <c r="M33" s="24">
        <v>0</v>
      </c>
      <c r="N33" s="24">
        <v>7.8217156213787186E-4</v>
      </c>
      <c r="O33" s="24">
        <v>1.195732624675443E-3</v>
      </c>
      <c r="P33" s="24">
        <v>4.7190334305809368E-4</v>
      </c>
      <c r="Q33" s="24">
        <v>1.6441178310260911E-2</v>
      </c>
      <c r="R33" s="24">
        <v>1.889098584013232E-2</v>
      </c>
      <c r="S33" s="26">
        <v>0</v>
      </c>
      <c r="T33" s="26">
        <v>0</v>
      </c>
      <c r="U33" s="26">
        <v>8.2787723282772764E-5</v>
      </c>
      <c r="V33" s="26">
        <v>9.8317473549625417E-5</v>
      </c>
      <c r="W33" s="26">
        <v>2.9818458809262119E-5</v>
      </c>
      <c r="X33" s="26">
        <v>7.5002296310549546E-3</v>
      </c>
      <c r="Y33" s="26">
        <v>7.7111532866966145E-3</v>
      </c>
      <c r="Z33" s="28">
        <v>0</v>
      </c>
      <c r="AA33" s="28">
        <v>1.3758060237990489E-3</v>
      </c>
      <c r="AB33" s="28">
        <v>2.4261803533979809E-5</v>
      </c>
      <c r="AC33" s="28">
        <v>2.3968260093961618E-5</v>
      </c>
      <c r="AD33" s="28">
        <v>1.355445273549052E-5</v>
      </c>
      <c r="AE33" s="28">
        <v>1.135527314052626E-3</v>
      </c>
      <c r="AF33" s="28">
        <v>2.5731178542151068E-3</v>
      </c>
      <c r="AG33" s="30">
        <v>0</v>
      </c>
      <c r="AH33" s="30">
        <v>7.228237882960114E-6</v>
      </c>
      <c r="AI33" s="30">
        <v>5.5435684002652831E-5</v>
      </c>
      <c r="AJ33" s="30">
        <v>8.5554174677296554E-5</v>
      </c>
      <c r="AK33" s="30">
        <v>1.2650024548865661E-5</v>
      </c>
      <c r="AL33" s="30">
        <v>3.631551749364771E-3</v>
      </c>
      <c r="AM33" s="30">
        <v>3.7924198704765463E-3</v>
      </c>
      <c r="AN33" s="32">
        <v>0</v>
      </c>
      <c r="AO33" s="32">
        <v>5.1842725945187069E-6</v>
      </c>
      <c r="AP33" s="32">
        <v>6.9898965624929674E-8</v>
      </c>
      <c r="AQ33" s="32">
        <v>6.5490648626579012E-8</v>
      </c>
      <c r="AR33" s="32">
        <v>4.9948794537214308E-8</v>
      </c>
      <c r="AS33" s="32">
        <v>1.9112971458837662E-6</v>
      </c>
      <c r="AT33" s="32">
        <v>7.2809081491911955E-6</v>
      </c>
      <c r="AU33" s="34">
        <v>0</v>
      </c>
      <c r="AV33" s="34">
        <v>0</v>
      </c>
      <c r="AW33" s="34">
        <v>3.6577712050626814E-2</v>
      </c>
      <c r="AX33" s="34">
        <v>2.01770987761535E-2</v>
      </c>
      <c r="AY33" s="34">
        <v>1.5459245979793569E-2</v>
      </c>
      <c r="AZ33" s="34">
        <v>0.20609465962102799</v>
      </c>
      <c r="BA33" s="34">
        <v>0.27830871642760191</v>
      </c>
      <c r="BB33" s="6"/>
      <c r="BC33" s="6"/>
      <c r="BD33" t="s">
        <v>602</v>
      </c>
      <c r="BF33" s="5">
        <v>1.3640106999999999E-2</v>
      </c>
      <c r="BG33" s="5">
        <f t="shared" si="1"/>
        <v>-5.2508788401323218E-3</v>
      </c>
      <c r="BH33" s="2">
        <v>36.649625999999998</v>
      </c>
    </row>
    <row r="34" spans="1:60" x14ac:dyDescent="0.2">
      <c r="A34" t="str">
        <f t="shared" si="0"/>
        <v>Bicycle, electric (&lt;25 km/h) - 2050 - LFP - CH</v>
      </c>
      <c r="B34" t="s">
        <v>264</v>
      </c>
      <c r="D34" s="18">
        <v>2050</v>
      </c>
      <c r="E34" t="s">
        <v>37</v>
      </c>
      <c r="F34" t="s">
        <v>138</v>
      </c>
      <c r="G34" t="s">
        <v>39</v>
      </c>
      <c r="H34" t="s">
        <v>32</v>
      </c>
      <c r="I34" t="s">
        <v>44</v>
      </c>
      <c r="J34" t="s">
        <v>138</v>
      </c>
      <c r="L34" s="24">
        <v>0</v>
      </c>
      <c r="M34" s="24">
        <v>0</v>
      </c>
      <c r="N34" s="24">
        <v>7.8217156213787186E-4</v>
      </c>
      <c r="O34" s="24">
        <v>1.195732624675443E-3</v>
      </c>
      <c r="P34" s="24">
        <v>4.7492291750402812E-4</v>
      </c>
      <c r="Q34" s="24">
        <v>1.6277304766004991E-2</v>
      </c>
      <c r="R34" s="24">
        <v>1.8730131870322336E-2</v>
      </c>
      <c r="S34" s="26">
        <v>0</v>
      </c>
      <c r="T34" s="26">
        <v>0</v>
      </c>
      <c r="U34" s="26">
        <v>8.2787723282772764E-5</v>
      </c>
      <c r="V34" s="26">
        <v>9.8317473549625417E-5</v>
      </c>
      <c r="W34" s="26">
        <v>3.0009258593925888E-5</v>
      </c>
      <c r="X34" s="26">
        <v>7.1133864594540583E-3</v>
      </c>
      <c r="Y34" s="26">
        <v>7.3245009148803827E-3</v>
      </c>
      <c r="Z34" s="28">
        <v>0</v>
      </c>
      <c r="AA34" s="28">
        <v>1.3758060237990489E-3</v>
      </c>
      <c r="AB34" s="28">
        <v>2.4261803533979809E-5</v>
      </c>
      <c r="AC34" s="28">
        <v>2.3968260093961618E-5</v>
      </c>
      <c r="AD34" s="28">
        <v>1.3641183799617939E-5</v>
      </c>
      <c r="AE34" s="28">
        <v>1.0973681230276621E-3</v>
      </c>
      <c r="AF34" s="28">
        <v>2.5350453942542704E-3</v>
      </c>
      <c r="AG34" s="30">
        <v>0</v>
      </c>
      <c r="AH34" s="30">
        <v>7.228237882960114E-6</v>
      </c>
      <c r="AI34" s="30">
        <v>5.5435684002652831E-5</v>
      </c>
      <c r="AJ34" s="30">
        <v>8.5554174677296554E-5</v>
      </c>
      <c r="AK34" s="30">
        <v>1.2730968435850361E-5</v>
      </c>
      <c r="AL34" s="30">
        <v>3.5071907992978821E-3</v>
      </c>
      <c r="AM34" s="30">
        <v>3.668139864296642E-3</v>
      </c>
      <c r="AN34" s="32">
        <v>0</v>
      </c>
      <c r="AO34" s="32">
        <v>5.1842725945187069E-6</v>
      </c>
      <c r="AP34" s="32">
        <v>6.9898965624929674E-8</v>
      </c>
      <c r="AQ34" s="32">
        <v>6.5490648626579012E-8</v>
      </c>
      <c r="AR34" s="32">
        <v>5.0268402579429921E-8</v>
      </c>
      <c r="AS34" s="32">
        <v>1.8242122660436949E-6</v>
      </c>
      <c r="AT34" s="32">
        <v>7.1941428773933391E-6</v>
      </c>
      <c r="AU34" s="34">
        <v>0</v>
      </c>
      <c r="AV34" s="34">
        <v>0</v>
      </c>
      <c r="AW34" s="34">
        <v>3.6577712050626814E-2</v>
      </c>
      <c r="AX34" s="34">
        <v>2.01770987761535E-2</v>
      </c>
      <c r="AY34" s="34">
        <v>1.5558165270789669E-2</v>
      </c>
      <c r="AZ34" s="34">
        <v>0.20249340819209583</v>
      </c>
      <c r="BA34" s="34">
        <v>0.27480638428966581</v>
      </c>
      <c r="BB34" s="6"/>
      <c r="BC34" s="6"/>
      <c r="BD34" t="s">
        <v>603</v>
      </c>
      <c r="BF34" s="5">
        <v>1.3366602E-2</v>
      </c>
      <c r="BG34" s="5">
        <f t="shared" si="1"/>
        <v>-5.3635298703223356E-3</v>
      </c>
      <c r="BH34" s="2">
        <v>34.545076000000002</v>
      </c>
    </row>
    <row r="35" spans="1:60" x14ac:dyDescent="0.2">
      <c r="A35" t="str">
        <f t="shared" si="0"/>
        <v>Bicycle, electric (&lt;45 km/h) - 2020 - LFP - CH</v>
      </c>
      <c r="B35" t="s">
        <v>265</v>
      </c>
      <c r="D35" s="18">
        <v>2020</v>
      </c>
      <c r="E35" t="s">
        <v>37</v>
      </c>
      <c r="F35" t="s">
        <v>138</v>
      </c>
      <c r="G35" t="s">
        <v>39</v>
      </c>
      <c r="H35" t="s">
        <v>32</v>
      </c>
      <c r="I35" t="s">
        <v>44</v>
      </c>
      <c r="J35" t="s">
        <v>138</v>
      </c>
      <c r="L35" s="24">
        <v>0</v>
      </c>
      <c r="M35" s="24">
        <v>0</v>
      </c>
      <c r="N35" s="24">
        <v>1.4364996721616199E-3</v>
      </c>
      <c r="O35" s="24">
        <v>1.195732624675443E-3</v>
      </c>
      <c r="P35" s="24">
        <v>4.8480102285228591E-4</v>
      </c>
      <c r="Q35" s="24">
        <v>1.197791323700367E-2</v>
      </c>
      <c r="R35" s="24">
        <v>1.509494655669302E-2</v>
      </c>
      <c r="S35" s="26">
        <v>0</v>
      </c>
      <c r="T35" s="26">
        <v>0</v>
      </c>
      <c r="U35" s="26">
        <v>1.520440567152036E-4</v>
      </c>
      <c r="V35" s="26">
        <v>9.8317473549625417E-5</v>
      </c>
      <c r="W35" s="26">
        <v>3.0633432763856099E-5</v>
      </c>
      <c r="X35" s="26">
        <v>5.7162676343939052E-3</v>
      </c>
      <c r="Y35" s="26">
        <v>5.9972625974225903E-3</v>
      </c>
      <c r="Z35" s="28">
        <v>0</v>
      </c>
      <c r="AA35" s="28">
        <v>1.3758060237990489E-3</v>
      </c>
      <c r="AB35" s="28">
        <v>4.4558092507674578E-5</v>
      </c>
      <c r="AC35" s="28">
        <v>2.3968260093961618E-5</v>
      </c>
      <c r="AD35" s="28">
        <v>1.392491205462772E-5</v>
      </c>
      <c r="AE35" s="28">
        <v>8.4585675456149041E-4</v>
      </c>
      <c r="AF35" s="28">
        <v>2.3041140430168031E-3</v>
      </c>
      <c r="AG35" s="30">
        <v>0</v>
      </c>
      <c r="AH35" s="30">
        <v>7.228237882960114E-6</v>
      </c>
      <c r="AI35" s="30">
        <v>1.018105819114773E-4</v>
      </c>
      <c r="AJ35" s="30">
        <v>8.5554174677296554E-5</v>
      </c>
      <c r="AK35" s="30">
        <v>1.299576476965459E-5</v>
      </c>
      <c r="AL35" s="30">
        <v>2.7117016161737882E-3</v>
      </c>
      <c r="AM35" s="30">
        <v>2.9192903754151765E-3</v>
      </c>
      <c r="AN35" s="32">
        <v>0</v>
      </c>
      <c r="AO35" s="32">
        <v>5.1842725945187069E-6</v>
      </c>
      <c r="AP35" s="32">
        <v>1.2837316781270141E-7</v>
      </c>
      <c r="AQ35" s="32">
        <v>6.5490648626579012E-8</v>
      </c>
      <c r="AR35" s="32">
        <v>5.131395451652724E-8</v>
      </c>
      <c r="AS35" s="32">
        <v>1.469558210803564E-6</v>
      </c>
      <c r="AT35" s="32">
        <v>6.8990085762780777E-6</v>
      </c>
      <c r="AU35" s="34">
        <v>0</v>
      </c>
      <c r="AV35" s="34">
        <v>0</v>
      </c>
      <c r="AW35" s="34">
        <v>6.7176913496486523E-2</v>
      </c>
      <c r="AX35" s="34">
        <v>2.01770987761535E-2</v>
      </c>
      <c r="AY35" s="34">
        <v>1.5881765564450298E-2</v>
      </c>
      <c r="AZ35" s="34">
        <v>0.15177121351182457</v>
      </c>
      <c r="BA35" s="34">
        <v>0.25500699134891491</v>
      </c>
      <c r="BB35" s="6"/>
      <c r="BC35" s="6"/>
      <c r="BD35" t="s">
        <v>894</v>
      </c>
      <c r="BF35" s="5">
        <v>1.1719714000000001E-2</v>
      </c>
      <c r="BG35" s="5">
        <f t="shared" si="1"/>
        <v>-3.3752325566930187E-3</v>
      </c>
      <c r="BH35" s="2">
        <v>31.540946000000002</v>
      </c>
    </row>
    <row r="36" spans="1:60" x14ac:dyDescent="0.2">
      <c r="A36" t="str">
        <f t="shared" si="0"/>
        <v>Bicycle, electric (&lt;45 km/h) - 2030 - LFP - CH</v>
      </c>
      <c r="B36" t="s">
        <v>265</v>
      </c>
      <c r="D36" s="18">
        <v>2030</v>
      </c>
      <c r="E36" t="s">
        <v>37</v>
      </c>
      <c r="F36" t="s">
        <v>138</v>
      </c>
      <c r="G36" t="s">
        <v>39</v>
      </c>
      <c r="H36" t="s">
        <v>32</v>
      </c>
      <c r="I36" t="s">
        <v>44</v>
      </c>
      <c r="J36" t="s">
        <v>138</v>
      </c>
      <c r="L36" s="24">
        <v>0</v>
      </c>
      <c r="M36" s="24">
        <v>0</v>
      </c>
      <c r="N36" s="24">
        <v>1.4364996721616199E-3</v>
      </c>
      <c r="O36" s="24">
        <v>1.195732624675443E-3</v>
      </c>
      <c r="P36" s="24">
        <v>4.9161403253180627E-4</v>
      </c>
      <c r="Q36" s="24">
        <v>1.260708056193968E-2</v>
      </c>
      <c r="R36" s="24">
        <v>1.5730926891308551E-2</v>
      </c>
      <c r="S36" s="26">
        <v>0</v>
      </c>
      <c r="T36" s="26">
        <v>0</v>
      </c>
      <c r="U36" s="26">
        <v>1.520440567152036E-4</v>
      </c>
      <c r="V36" s="26">
        <v>9.8317473549625417E-5</v>
      </c>
      <c r="W36" s="26">
        <v>3.1063930770459273E-5</v>
      </c>
      <c r="X36" s="26">
        <v>5.815631562422395E-3</v>
      </c>
      <c r="Y36" s="26">
        <v>6.0970570234576832E-3</v>
      </c>
      <c r="Z36" s="28">
        <v>0</v>
      </c>
      <c r="AA36" s="28">
        <v>1.3758060237990489E-3</v>
      </c>
      <c r="AB36" s="28">
        <v>4.4558092507674578E-5</v>
      </c>
      <c r="AC36" s="28">
        <v>2.3968260093961618E-5</v>
      </c>
      <c r="AD36" s="28">
        <v>1.412060174203078E-5</v>
      </c>
      <c r="AE36" s="28">
        <v>8.8118741862179019E-4</v>
      </c>
      <c r="AF36" s="28">
        <v>2.3396403967645063E-3</v>
      </c>
      <c r="AG36" s="30">
        <v>0</v>
      </c>
      <c r="AH36" s="30">
        <v>7.228237882960114E-6</v>
      </c>
      <c r="AI36" s="30">
        <v>1.018105819114773E-4</v>
      </c>
      <c r="AJ36" s="30">
        <v>8.5554174677296554E-5</v>
      </c>
      <c r="AK36" s="30">
        <v>1.317839695687134E-5</v>
      </c>
      <c r="AL36" s="30">
        <v>2.8239285530257939E-3</v>
      </c>
      <c r="AM36" s="30">
        <v>3.0316999444543993E-3</v>
      </c>
      <c r="AN36" s="32">
        <v>0</v>
      </c>
      <c r="AO36" s="32">
        <v>5.1842725945187069E-6</v>
      </c>
      <c r="AP36" s="32">
        <v>1.2837316781270141E-7</v>
      </c>
      <c r="AQ36" s="32">
        <v>6.5490648626579012E-8</v>
      </c>
      <c r="AR36" s="32">
        <v>5.2035080199717248E-8</v>
      </c>
      <c r="AS36" s="32">
        <v>1.49898500022658E-6</v>
      </c>
      <c r="AT36" s="32">
        <v>6.9291564913842839E-6</v>
      </c>
      <c r="AU36" s="34">
        <v>0</v>
      </c>
      <c r="AV36" s="34">
        <v>0</v>
      </c>
      <c r="AW36" s="34">
        <v>6.7176913496486523E-2</v>
      </c>
      <c r="AX36" s="34">
        <v>2.01770987761535E-2</v>
      </c>
      <c r="AY36" s="34">
        <v>1.6104955321521921E-2</v>
      </c>
      <c r="AZ36" s="34">
        <v>0.15858661301656282</v>
      </c>
      <c r="BA36" s="34">
        <v>0.2620455806107248</v>
      </c>
      <c r="BB36" s="6"/>
      <c r="BC36" s="6"/>
      <c r="BD36" t="s">
        <v>604</v>
      </c>
      <c r="BF36" s="5">
        <v>1.2003552000000001E-2</v>
      </c>
      <c r="BG36" s="5">
        <f t="shared" si="1"/>
        <v>-3.7273748913085498E-3</v>
      </c>
      <c r="BH36" s="2">
        <v>31.717109000000001</v>
      </c>
    </row>
    <row r="37" spans="1:60" x14ac:dyDescent="0.2">
      <c r="A37" t="str">
        <f t="shared" si="0"/>
        <v>Bicycle, electric (&lt;45 km/h) - 2040 - LFP - CH</v>
      </c>
      <c r="B37" t="s">
        <v>265</v>
      </c>
      <c r="D37" s="18">
        <v>2040</v>
      </c>
      <c r="E37" t="s">
        <v>37</v>
      </c>
      <c r="F37" t="s">
        <v>138</v>
      </c>
      <c r="G37" t="s">
        <v>39</v>
      </c>
      <c r="H37" t="s">
        <v>32</v>
      </c>
      <c r="I37" t="s">
        <v>44</v>
      </c>
      <c r="J37" t="s">
        <v>138</v>
      </c>
      <c r="L37" s="24">
        <v>0</v>
      </c>
      <c r="M37" s="24">
        <v>0</v>
      </c>
      <c r="N37" s="24">
        <v>1.4364996721616199E-3</v>
      </c>
      <c r="O37" s="24">
        <v>1.195732624675443E-3</v>
      </c>
      <c r="P37" s="24">
        <v>4.8897380160923046E-4</v>
      </c>
      <c r="Q37" s="24">
        <v>1.208315306485455E-2</v>
      </c>
      <c r="R37" s="24">
        <v>1.5204359163300842E-2</v>
      </c>
      <c r="S37" s="26">
        <v>0</v>
      </c>
      <c r="T37" s="26">
        <v>0</v>
      </c>
      <c r="U37" s="26">
        <v>1.520440567152036E-4</v>
      </c>
      <c r="V37" s="26">
        <v>9.8317473549625417E-5</v>
      </c>
      <c r="W37" s="26">
        <v>3.0897100807989451E-5</v>
      </c>
      <c r="X37" s="26">
        <v>5.2473757180386358E-3</v>
      </c>
      <c r="Y37" s="26">
        <v>5.5286343491114543E-3</v>
      </c>
      <c r="Z37" s="28">
        <v>0</v>
      </c>
      <c r="AA37" s="28">
        <v>1.3758060237990489E-3</v>
      </c>
      <c r="AB37" s="28">
        <v>4.4558092507674578E-5</v>
      </c>
      <c r="AC37" s="28">
        <v>2.3968260093961618E-5</v>
      </c>
      <c r="AD37" s="28">
        <v>1.4044766540230931E-5</v>
      </c>
      <c r="AE37" s="28">
        <v>8.1262323617899406E-4</v>
      </c>
      <c r="AF37" s="28">
        <v>2.2710003791199104E-3</v>
      </c>
      <c r="AG37" s="30">
        <v>0</v>
      </c>
      <c r="AH37" s="30">
        <v>7.228237882960114E-6</v>
      </c>
      <c r="AI37" s="30">
        <v>1.018105819114773E-4</v>
      </c>
      <c r="AJ37" s="30">
        <v>8.5554174677296554E-5</v>
      </c>
      <c r="AK37" s="30">
        <v>1.310762189990984E-5</v>
      </c>
      <c r="AL37" s="30">
        <v>2.603132400579865E-3</v>
      </c>
      <c r="AM37" s="30">
        <v>2.8108330169515088E-3</v>
      </c>
      <c r="AN37" s="32">
        <v>0</v>
      </c>
      <c r="AO37" s="32">
        <v>5.1842725945187069E-6</v>
      </c>
      <c r="AP37" s="32">
        <v>1.2837316781270141E-7</v>
      </c>
      <c r="AQ37" s="32">
        <v>6.5490648626579012E-8</v>
      </c>
      <c r="AR37" s="32">
        <v>5.1755623921599077E-8</v>
      </c>
      <c r="AS37" s="32">
        <v>1.365644327390255E-6</v>
      </c>
      <c r="AT37" s="32">
        <v>6.7955363622698401E-6</v>
      </c>
      <c r="AU37" s="34">
        <v>0</v>
      </c>
      <c r="AV37" s="34">
        <v>0</v>
      </c>
      <c r="AW37" s="34">
        <v>6.7176913496486523E-2</v>
      </c>
      <c r="AX37" s="34">
        <v>2.01770987761535E-2</v>
      </c>
      <c r="AY37" s="34">
        <v>1.6018463077133369E-2</v>
      </c>
      <c r="AZ37" s="34">
        <v>0.15042861546950603</v>
      </c>
      <c r="BA37" s="34">
        <v>0.25380109081927943</v>
      </c>
      <c r="BB37" s="6"/>
      <c r="BC37" s="6"/>
      <c r="BD37" t="s">
        <v>605</v>
      </c>
      <c r="BF37" s="5">
        <v>1.1482738999999999E-2</v>
      </c>
      <c r="BG37" s="5">
        <f t="shared" si="1"/>
        <v>-3.7216201633008435E-3</v>
      </c>
      <c r="BH37" s="2">
        <v>28.773599999999998</v>
      </c>
    </row>
    <row r="38" spans="1:60" x14ac:dyDescent="0.2">
      <c r="A38" t="str">
        <f t="shared" si="0"/>
        <v>Bicycle, electric (&lt;45 km/h) - 2050 - LFP - CH</v>
      </c>
      <c r="B38" t="s">
        <v>265</v>
      </c>
      <c r="D38" s="18">
        <v>2050</v>
      </c>
      <c r="E38" t="s">
        <v>37</v>
      </c>
      <c r="F38" t="s">
        <v>138</v>
      </c>
      <c r="G38" t="s">
        <v>39</v>
      </c>
      <c r="H38" t="s">
        <v>32</v>
      </c>
      <c r="I38" t="s">
        <v>44</v>
      </c>
      <c r="J38" t="s">
        <v>138</v>
      </c>
      <c r="L38" s="24">
        <v>0</v>
      </c>
      <c r="M38" s="24">
        <v>0</v>
      </c>
      <c r="N38" s="24">
        <v>1.4364996721616199E-3</v>
      </c>
      <c r="O38" s="24">
        <v>1.195732624675443E-3</v>
      </c>
      <c r="P38" s="24">
        <v>4.9172024871834666E-4</v>
      </c>
      <c r="Q38" s="24">
        <v>1.2039724651308431E-2</v>
      </c>
      <c r="R38" s="24">
        <v>1.516367719686384E-2</v>
      </c>
      <c r="S38" s="26">
        <v>0</v>
      </c>
      <c r="T38" s="26">
        <v>0</v>
      </c>
      <c r="U38" s="26">
        <v>1.520440567152036E-4</v>
      </c>
      <c r="V38" s="26">
        <v>9.8317473549625417E-5</v>
      </c>
      <c r="W38" s="26">
        <v>3.1070642320673577E-5</v>
      </c>
      <c r="X38" s="26">
        <v>5.0014927998737564E-3</v>
      </c>
      <c r="Y38" s="26">
        <v>5.2829249724592586E-3</v>
      </c>
      <c r="Z38" s="28">
        <v>0</v>
      </c>
      <c r="AA38" s="28">
        <v>1.3758060237990489E-3</v>
      </c>
      <c r="AB38" s="28">
        <v>4.4558092507674578E-5</v>
      </c>
      <c r="AC38" s="28">
        <v>2.3968260093961618E-5</v>
      </c>
      <c r="AD38" s="28">
        <v>1.41236525834825E-5</v>
      </c>
      <c r="AE38" s="28">
        <v>7.9093908825957971E-4</v>
      </c>
      <c r="AF38" s="28">
        <v>2.2493951172437472E-3</v>
      </c>
      <c r="AG38" s="30">
        <v>0</v>
      </c>
      <c r="AH38" s="30">
        <v>7.228237882960114E-6</v>
      </c>
      <c r="AI38" s="30">
        <v>1.018105819114773E-4</v>
      </c>
      <c r="AJ38" s="30">
        <v>8.5554174677296554E-5</v>
      </c>
      <c r="AK38" s="30">
        <v>1.318124422927783E-5</v>
      </c>
      <c r="AL38" s="30">
        <v>2.532883577710338E-3</v>
      </c>
      <c r="AM38" s="30">
        <v>2.7406578164113496E-3</v>
      </c>
      <c r="AN38" s="32">
        <v>0</v>
      </c>
      <c r="AO38" s="32">
        <v>5.1842725945187069E-6</v>
      </c>
      <c r="AP38" s="32">
        <v>1.2837316781270141E-7</v>
      </c>
      <c r="AQ38" s="32">
        <v>6.5490648626579012E-8</v>
      </c>
      <c r="AR38" s="32">
        <v>5.2046322693664528E-8</v>
      </c>
      <c r="AS38" s="32">
        <v>1.310356689145099E-6</v>
      </c>
      <c r="AT38" s="32">
        <v>6.7405394227967507E-6</v>
      </c>
      <c r="AU38" s="34">
        <v>0</v>
      </c>
      <c r="AV38" s="34">
        <v>0</v>
      </c>
      <c r="AW38" s="34">
        <v>6.7176913496486523E-2</v>
      </c>
      <c r="AX38" s="34">
        <v>2.01770987761535E-2</v>
      </c>
      <c r="AY38" s="34">
        <v>1.6108434894572029E-2</v>
      </c>
      <c r="AZ38" s="34">
        <v>0.14873284614030871</v>
      </c>
      <c r="BA38" s="34">
        <v>0.25219529330752077</v>
      </c>
      <c r="BB38" s="6"/>
      <c r="BC38" s="6"/>
      <c r="BD38" t="s">
        <v>606</v>
      </c>
      <c r="BF38" s="5">
        <v>1.1328394E-2</v>
      </c>
      <c r="BG38" s="5">
        <f t="shared" si="1"/>
        <v>-3.8352831968638396E-3</v>
      </c>
      <c r="BH38" s="2">
        <v>27.386825999999999</v>
      </c>
    </row>
    <row r="39" spans="1:60" x14ac:dyDescent="0.2">
      <c r="A39" t="str">
        <f t="shared" si="0"/>
        <v>Bicycle, electric, cargo bike - 2020 - LFP - CH</v>
      </c>
      <c r="B39" t="s">
        <v>271</v>
      </c>
      <c r="D39" s="18">
        <v>2020</v>
      </c>
      <c r="E39" t="s">
        <v>37</v>
      </c>
      <c r="F39" t="s">
        <v>138</v>
      </c>
      <c r="G39" t="s">
        <v>39</v>
      </c>
      <c r="H39" t="s">
        <v>32</v>
      </c>
      <c r="I39" t="s">
        <v>44</v>
      </c>
      <c r="J39" t="s">
        <v>138</v>
      </c>
      <c r="L39" s="24">
        <v>0</v>
      </c>
      <c r="M39" s="24">
        <v>0</v>
      </c>
      <c r="N39" s="24">
        <v>1.1004118370386139E-3</v>
      </c>
      <c r="O39" s="24">
        <v>1.195732624675443E-3</v>
      </c>
      <c r="P39" s="24">
        <v>7.8979321563259718E-4</v>
      </c>
      <c r="Q39" s="24">
        <v>2.542449500895469E-2</v>
      </c>
      <c r="R39" s="24">
        <v>2.8510432686301344E-2</v>
      </c>
      <c r="S39" s="26">
        <v>0</v>
      </c>
      <c r="T39" s="26">
        <v>0</v>
      </c>
      <c r="U39" s="26">
        <v>1.164713664772465E-4</v>
      </c>
      <c r="V39" s="26">
        <v>9.8317473549625417E-5</v>
      </c>
      <c r="W39" s="26">
        <v>4.9905169807784347E-5</v>
      </c>
      <c r="X39" s="26">
        <v>9.1136015202262204E-3</v>
      </c>
      <c r="Y39" s="26">
        <v>9.3782955300608772E-3</v>
      </c>
      <c r="Z39" s="28">
        <v>0</v>
      </c>
      <c r="AA39" s="28">
        <v>2.7516120475980978E-3</v>
      </c>
      <c r="AB39" s="28">
        <v>3.4133145577070547E-5</v>
      </c>
      <c r="AC39" s="28">
        <v>2.3968260093961618E-5</v>
      </c>
      <c r="AD39" s="28">
        <v>2.268518536598976E-5</v>
      </c>
      <c r="AE39" s="28">
        <v>1.5312676604341709E-3</v>
      </c>
      <c r="AF39" s="28">
        <v>4.3636662990692906E-3</v>
      </c>
      <c r="AG39" s="30">
        <v>0</v>
      </c>
      <c r="AH39" s="30">
        <v>1.445647576592023E-5</v>
      </c>
      <c r="AI39" s="30">
        <v>7.7990668318491752E-5</v>
      </c>
      <c r="AJ39" s="30">
        <v>8.5554174677296554E-5</v>
      </c>
      <c r="AK39" s="30">
        <v>2.117150410831053E-5</v>
      </c>
      <c r="AL39" s="30">
        <v>4.6771141513465009E-3</v>
      </c>
      <c r="AM39" s="30">
        <v>4.8762869742165196E-3</v>
      </c>
      <c r="AN39" s="32">
        <v>0</v>
      </c>
      <c r="AO39" s="32">
        <v>1.036854518903741E-5</v>
      </c>
      <c r="AP39" s="32">
        <v>9.8338590782043418E-8</v>
      </c>
      <c r="AQ39" s="32">
        <v>6.5490648626579012E-8</v>
      </c>
      <c r="AR39" s="32">
        <v>8.359597285086832E-8</v>
      </c>
      <c r="AS39" s="32">
        <v>2.795573149973405E-6</v>
      </c>
      <c r="AT39" s="32">
        <v>1.3411543551270306E-5</v>
      </c>
      <c r="AU39" s="34">
        <v>0</v>
      </c>
      <c r="AV39" s="34">
        <v>0</v>
      </c>
      <c r="AW39" s="34">
        <v>5.1459998369519894E-2</v>
      </c>
      <c r="AX39" s="34">
        <v>2.01770987761535E-2</v>
      </c>
      <c r="AY39" s="34">
        <v>2.5873111036921376E-2</v>
      </c>
      <c r="AZ39" s="34">
        <v>0.31624977515645514</v>
      </c>
      <c r="BA39" s="34">
        <v>0.4137599833390499</v>
      </c>
      <c r="BB39" s="6"/>
      <c r="BC39" s="6"/>
      <c r="BD39" t="s">
        <v>895</v>
      </c>
      <c r="BF39" s="5">
        <v>2.0493721999999999E-2</v>
      </c>
      <c r="BG39" s="5">
        <f t="shared" si="1"/>
        <v>-8.0167106863013454E-3</v>
      </c>
      <c r="BH39" s="2">
        <v>50.892327000000002</v>
      </c>
    </row>
    <row r="40" spans="1:60" x14ac:dyDescent="0.2">
      <c r="A40" t="str">
        <f t="shared" si="0"/>
        <v>Bicycle, electric, cargo bike - 2030 - LFP - CH</v>
      </c>
      <c r="B40" t="s">
        <v>271</v>
      </c>
      <c r="D40" s="18">
        <v>2030</v>
      </c>
      <c r="E40" t="s">
        <v>37</v>
      </c>
      <c r="F40" t="s">
        <v>138</v>
      </c>
      <c r="G40" t="s">
        <v>39</v>
      </c>
      <c r="H40" t="s">
        <v>32</v>
      </c>
      <c r="I40" t="s">
        <v>44</v>
      </c>
      <c r="J40" t="s">
        <v>138</v>
      </c>
      <c r="L40" s="24">
        <v>0</v>
      </c>
      <c r="M40" s="24">
        <v>0</v>
      </c>
      <c r="N40" s="24">
        <v>1.1004118370386139E-3</v>
      </c>
      <c r="O40" s="24">
        <v>1.195732624675443E-3</v>
      </c>
      <c r="P40" s="24">
        <v>7.8908004980868317E-4</v>
      </c>
      <c r="Q40" s="24">
        <v>2.626939728422828E-2</v>
      </c>
      <c r="R40" s="24">
        <v>2.9354621795751018E-2</v>
      </c>
      <c r="S40" s="26">
        <v>0</v>
      </c>
      <c r="T40" s="26">
        <v>0</v>
      </c>
      <c r="U40" s="26">
        <v>1.164713664772465E-4</v>
      </c>
      <c r="V40" s="26">
        <v>9.8317473549625417E-5</v>
      </c>
      <c r="W40" s="26">
        <v>4.9860106542059748E-5</v>
      </c>
      <c r="X40" s="26">
        <v>8.7427632140537458E-3</v>
      </c>
      <c r="Y40" s="26">
        <v>9.0074121606226777E-3</v>
      </c>
      <c r="Z40" s="28">
        <v>0</v>
      </c>
      <c r="AA40" s="28">
        <v>2.7516120475980978E-3</v>
      </c>
      <c r="AB40" s="28">
        <v>3.4133145577070547E-5</v>
      </c>
      <c r="AC40" s="28">
        <v>2.3968260093961618E-5</v>
      </c>
      <c r="AD40" s="28">
        <v>2.2664701144813939E-5</v>
      </c>
      <c r="AE40" s="28">
        <v>1.5367796168004259E-3</v>
      </c>
      <c r="AF40" s="28">
        <v>4.3691577712143695E-3</v>
      </c>
      <c r="AG40" s="30">
        <v>0</v>
      </c>
      <c r="AH40" s="30">
        <v>1.445647576592023E-5</v>
      </c>
      <c r="AI40" s="30">
        <v>7.7990668318491752E-5</v>
      </c>
      <c r="AJ40" s="30">
        <v>8.5554174677296554E-5</v>
      </c>
      <c r="AK40" s="30">
        <v>2.1152386707866911E-5</v>
      </c>
      <c r="AL40" s="30">
        <v>4.7055066893301441E-3</v>
      </c>
      <c r="AM40" s="30">
        <v>4.9046603947997197E-3</v>
      </c>
      <c r="AN40" s="32">
        <v>0</v>
      </c>
      <c r="AO40" s="32">
        <v>1.036854518903741E-5</v>
      </c>
      <c r="AP40" s="32">
        <v>9.8338590782043418E-8</v>
      </c>
      <c r="AQ40" s="32">
        <v>6.5490648626579012E-8</v>
      </c>
      <c r="AR40" s="32">
        <v>8.3520487534365137E-8</v>
      </c>
      <c r="AS40" s="32">
        <v>2.7102528686705018E-6</v>
      </c>
      <c r="AT40" s="32">
        <v>1.3326147784650898E-5</v>
      </c>
      <c r="AU40" s="34">
        <v>0</v>
      </c>
      <c r="AV40" s="34">
        <v>0</v>
      </c>
      <c r="AW40" s="34">
        <v>5.1459998369519894E-2</v>
      </c>
      <c r="AX40" s="34">
        <v>2.01770987761535E-2</v>
      </c>
      <c r="AY40" s="34">
        <v>2.5849748189299193E-2</v>
      </c>
      <c r="AZ40" s="34">
        <v>0.32250638016648092</v>
      </c>
      <c r="BA40" s="34">
        <v>0.41999322550145352</v>
      </c>
      <c r="BB40" s="6"/>
      <c r="BC40" s="6"/>
      <c r="BD40" t="s">
        <v>607</v>
      </c>
      <c r="BF40" s="5">
        <v>2.0520664000000001E-2</v>
      </c>
      <c r="BG40" s="5">
        <f t="shared" si="1"/>
        <v>-8.8339577957510171E-3</v>
      </c>
      <c r="BH40" s="2">
        <v>47.962609</v>
      </c>
    </row>
    <row r="41" spans="1:60" x14ac:dyDescent="0.2">
      <c r="A41" t="str">
        <f t="shared" si="0"/>
        <v>Bicycle, electric, cargo bike - 2040 - LFP - CH</v>
      </c>
      <c r="B41" t="s">
        <v>271</v>
      </c>
      <c r="D41" s="18">
        <v>2040</v>
      </c>
      <c r="E41" t="s">
        <v>37</v>
      </c>
      <c r="F41" t="s">
        <v>138</v>
      </c>
      <c r="G41" t="s">
        <v>39</v>
      </c>
      <c r="H41" t="s">
        <v>32</v>
      </c>
      <c r="I41" t="s">
        <v>44</v>
      </c>
      <c r="J41" t="s">
        <v>138</v>
      </c>
      <c r="L41" s="24">
        <v>0</v>
      </c>
      <c r="M41" s="24">
        <v>0</v>
      </c>
      <c r="N41" s="24">
        <v>1.1004118370386139E-3</v>
      </c>
      <c r="O41" s="24">
        <v>1.195732624675443E-3</v>
      </c>
      <c r="P41" s="24">
        <v>7.8220634516542513E-4</v>
      </c>
      <c r="Q41" s="24">
        <v>2.578366496560117E-2</v>
      </c>
      <c r="R41" s="24">
        <v>2.886201577248065E-2</v>
      </c>
      <c r="S41" s="26">
        <v>0</v>
      </c>
      <c r="T41" s="26">
        <v>0</v>
      </c>
      <c r="U41" s="26">
        <v>1.164713664772465E-4</v>
      </c>
      <c r="V41" s="26">
        <v>9.8317473549625417E-5</v>
      </c>
      <c r="W41" s="26">
        <v>4.942577336390553E-5</v>
      </c>
      <c r="X41" s="26">
        <v>7.7968102391621262E-3</v>
      </c>
      <c r="Y41" s="26">
        <v>8.0610248525529032E-3</v>
      </c>
      <c r="Z41" s="28">
        <v>0</v>
      </c>
      <c r="AA41" s="28">
        <v>2.7516120475980978E-3</v>
      </c>
      <c r="AB41" s="28">
        <v>3.4133145577070547E-5</v>
      </c>
      <c r="AC41" s="28">
        <v>2.3968260093961618E-5</v>
      </c>
      <c r="AD41" s="28">
        <v>2.2467268119438459E-5</v>
      </c>
      <c r="AE41" s="28">
        <v>1.4382961002366019E-3</v>
      </c>
      <c r="AF41" s="28">
        <v>4.2704768216251703E-3</v>
      </c>
      <c r="AG41" s="30">
        <v>0</v>
      </c>
      <c r="AH41" s="30">
        <v>1.445647576592023E-5</v>
      </c>
      <c r="AI41" s="30">
        <v>7.7990668318491752E-5</v>
      </c>
      <c r="AJ41" s="30">
        <v>8.5554174677296554E-5</v>
      </c>
      <c r="AK41" s="30">
        <v>2.0968127507846451E-5</v>
      </c>
      <c r="AL41" s="30">
        <v>4.4000001155117428E-3</v>
      </c>
      <c r="AM41" s="30">
        <v>4.5989695617812982E-3</v>
      </c>
      <c r="AN41" s="32">
        <v>0</v>
      </c>
      <c r="AO41" s="32">
        <v>1.036854518903741E-5</v>
      </c>
      <c r="AP41" s="32">
        <v>9.8338590782043418E-8</v>
      </c>
      <c r="AQ41" s="32">
        <v>6.5490648626579012E-8</v>
      </c>
      <c r="AR41" s="32">
        <v>8.2792937568919515E-8</v>
      </c>
      <c r="AS41" s="32">
        <v>2.4823554928813048E-6</v>
      </c>
      <c r="AT41" s="32">
        <v>1.3097522858896257E-5</v>
      </c>
      <c r="AU41" s="34">
        <v>0</v>
      </c>
      <c r="AV41" s="34">
        <v>0</v>
      </c>
      <c r="AW41" s="34">
        <v>5.1459998369519894E-2</v>
      </c>
      <c r="AX41" s="34">
        <v>2.01770987761535E-2</v>
      </c>
      <c r="AY41" s="34">
        <v>2.5624570104770358E-2</v>
      </c>
      <c r="AZ41" s="34">
        <v>0.31251170151621827</v>
      </c>
      <c r="BA41" s="34">
        <v>0.40977336876666204</v>
      </c>
      <c r="BB41" s="6"/>
      <c r="BC41" s="6"/>
      <c r="BD41" t="s">
        <v>608</v>
      </c>
      <c r="BF41" s="5">
        <v>1.9746751E-2</v>
      </c>
      <c r="BG41" s="5">
        <f t="shared" si="1"/>
        <v>-9.1152647724806503E-3</v>
      </c>
      <c r="BH41" s="2">
        <v>42.591959000000003</v>
      </c>
    </row>
    <row r="42" spans="1:60" x14ac:dyDescent="0.2">
      <c r="A42" t="str">
        <f t="shared" si="0"/>
        <v>Bicycle, electric, cargo bike - 2050 - LFP - CH</v>
      </c>
      <c r="B42" t="s">
        <v>271</v>
      </c>
      <c r="D42" s="18">
        <v>2050</v>
      </c>
      <c r="E42" t="s">
        <v>37</v>
      </c>
      <c r="F42" t="s">
        <v>138</v>
      </c>
      <c r="G42" t="s">
        <v>39</v>
      </c>
      <c r="H42" t="s">
        <v>32</v>
      </c>
      <c r="I42" t="s">
        <v>44</v>
      </c>
      <c r="J42" t="s">
        <v>138</v>
      </c>
      <c r="L42" s="24">
        <v>0</v>
      </c>
      <c r="M42" s="24">
        <v>0</v>
      </c>
      <c r="N42" s="24">
        <v>1.1004118370386139E-3</v>
      </c>
      <c r="O42" s="24">
        <v>1.195732624675443E-3</v>
      </c>
      <c r="P42" s="24">
        <v>7.7631893368289989E-4</v>
      </c>
      <c r="Q42" s="24">
        <v>2.5641509576497589E-2</v>
      </c>
      <c r="R42" s="24">
        <v>2.8713972971894545E-2</v>
      </c>
      <c r="S42" s="26">
        <v>0</v>
      </c>
      <c r="T42" s="26">
        <v>0</v>
      </c>
      <c r="U42" s="26">
        <v>1.164713664772465E-4</v>
      </c>
      <c r="V42" s="26">
        <v>9.8317473549625417E-5</v>
      </c>
      <c r="W42" s="26">
        <v>4.9053761723455578E-5</v>
      </c>
      <c r="X42" s="26">
        <v>7.0811706497131482E-3</v>
      </c>
      <c r="Y42" s="26">
        <v>7.345013251463476E-3</v>
      </c>
      <c r="Z42" s="28">
        <v>0</v>
      </c>
      <c r="AA42" s="28">
        <v>2.7516120475980978E-3</v>
      </c>
      <c r="AB42" s="28">
        <v>3.4133145577070547E-5</v>
      </c>
      <c r="AC42" s="28">
        <v>2.3968260093961618E-5</v>
      </c>
      <c r="AD42" s="28">
        <v>2.2298164336114662E-5</v>
      </c>
      <c r="AE42" s="28">
        <v>1.3733371347972199E-3</v>
      </c>
      <c r="AF42" s="28">
        <v>4.2053487524024644E-3</v>
      </c>
      <c r="AG42" s="30">
        <v>0</v>
      </c>
      <c r="AH42" s="30">
        <v>1.445647576592023E-5</v>
      </c>
      <c r="AI42" s="30">
        <v>7.7990668318491752E-5</v>
      </c>
      <c r="AJ42" s="30">
        <v>8.5554174677296554E-5</v>
      </c>
      <c r="AK42" s="30">
        <v>2.0810307265886331E-5</v>
      </c>
      <c r="AL42" s="30">
        <v>4.2012578757362716E-3</v>
      </c>
      <c r="AM42" s="30">
        <v>4.4000695017638661E-3</v>
      </c>
      <c r="AN42" s="32">
        <v>0</v>
      </c>
      <c r="AO42" s="32">
        <v>1.036854518903741E-5</v>
      </c>
      <c r="AP42" s="32">
        <v>9.8338590782043418E-8</v>
      </c>
      <c r="AQ42" s="32">
        <v>6.5490648626579012E-8</v>
      </c>
      <c r="AR42" s="32">
        <v>8.2169782190127282E-8</v>
      </c>
      <c r="AS42" s="32">
        <v>2.3102412858192088E-6</v>
      </c>
      <c r="AT42" s="32">
        <v>1.2924785496455369E-5</v>
      </c>
      <c r="AU42" s="34">
        <v>0</v>
      </c>
      <c r="AV42" s="34">
        <v>0</v>
      </c>
      <c r="AW42" s="34">
        <v>5.1459998369519894E-2</v>
      </c>
      <c r="AX42" s="34">
        <v>2.01770987761535E-2</v>
      </c>
      <c r="AY42" s="34">
        <v>2.5431702341421163E-2</v>
      </c>
      <c r="AZ42" s="34">
        <v>0.30715814296346022</v>
      </c>
      <c r="BA42" s="34">
        <v>0.40422694245055479</v>
      </c>
      <c r="BB42" s="6"/>
      <c r="BC42" s="6"/>
      <c r="BD42" t="s">
        <v>609</v>
      </c>
      <c r="BF42" s="5">
        <v>1.9228395999999998E-2</v>
      </c>
      <c r="BG42" s="5">
        <f t="shared" si="1"/>
        <v>-9.4855769718945465E-3</v>
      </c>
      <c r="BH42" s="2">
        <v>38.341568000000002</v>
      </c>
    </row>
    <row r="43" spans="1:60" x14ac:dyDescent="0.2">
      <c r="A43" t="str">
        <f t="shared" si="0"/>
        <v>Bicycle, electric (&lt;25 km/h) - 2020 - NCA - CH</v>
      </c>
      <c r="B43" t="s">
        <v>264</v>
      </c>
      <c r="D43" s="18">
        <v>2020</v>
      </c>
      <c r="E43" t="s">
        <v>37</v>
      </c>
      <c r="F43" t="s">
        <v>138</v>
      </c>
      <c r="G43" t="s">
        <v>39</v>
      </c>
      <c r="H43" t="s">
        <v>32</v>
      </c>
      <c r="I43" t="s">
        <v>45</v>
      </c>
      <c r="J43" t="s">
        <v>138</v>
      </c>
      <c r="L43" s="24">
        <v>0</v>
      </c>
      <c r="M43" s="24">
        <v>0</v>
      </c>
      <c r="N43" s="24">
        <v>7.8217156213787186E-4</v>
      </c>
      <c r="O43" s="24">
        <v>1.195732624675443E-3</v>
      </c>
      <c r="P43" s="24">
        <v>4.498684323099595E-4</v>
      </c>
      <c r="Q43" s="24">
        <v>1.195942720652177E-2</v>
      </c>
      <c r="R43" s="24">
        <v>1.4387199825645045E-2</v>
      </c>
      <c r="S43" s="26">
        <v>0</v>
      </c>
      <c r="T43" s="26">
        <v>0</v>
      </c>
      <c r="U43" s="26">
        <v>8.2787723282772764E-5</v>
      </c>
      <c r="V43" s="26">
        <v>9.8317473549625417E-5</v>
      </c>
      <c r="W43" s="26">
        <v>2.8426124789648879E-5</v>
      </c>
      <c r="X43" s="26">
        <v>6.1850393424667067E-3</v>
      </c>
      <c r="Y43" s="26">
        <v>6.3945706640887541E-3</v>
      </c>
      <c r="Z43" s="28">
        <v>0</v>
      </c>
      <c r="AA43" s="28">
        <v>1.3758060237990489E-3</v>
      </c>
      <c r="AB43" s="28">
        <v>2.4261803533979809E-5</v>
      </c>
      <c r="AC43" s="28">
        <v>2.3968260093961618E-5</v>
      </c>
      <c r="AD43" s="28">
        <v>1.292154525420241E-5</v>
      </c>
      <c r="AE43" s="28">
        <v>8.2462494292362561E-4</v>
      </c>
      <c r="AF43" s="28">
        <v>2.2615825756048184E-3</v>
      </c>
      <c r="AG43" s="30">
        <v>0</v>
      </c>
      <c r="AH43" s="30">
        <v>7.228237882960114E-6</v>
      </c>
      <c r="AI43" s="30">
        <v>5.5435684002652831E-5</v>
      </c>
      <c r="AJ43" s="30">
        <v>8.5554174677296554E-5</v>
      </c>
      <c r="AK43" s="30">
        <v>1.2059348161430861E-5</v>
      </c>
      <c r="AL43" s="30">
        <v>2.5731631404864201E-3</v>
      </c>
      <c r="AM43" s="30">
        <v>2.7334405852107602E-3</v>
      </c>
      <c r="AN43" s="32">
        <v>0</v>
      </c>
      <c r="AO43" s="32">
        <v>5.1842725945187069E-6</v>
      </c>
      <c r="AP43" s="32">
        <v>6.9898965624929674E-8</v>
      </c>
      <c r="AQ43" s="32">
        <v>6.5490648626579012E-8</v>
      </c>
      <c r="AR43" s="32">
        <v>4.7616500761815227E-8</v>
      </c>
      <c r="AS43" s="32">
        <v>1.614841507887932E-6</v>
      </c>
      <c r="AT43" s="32">
        <v>6.9821202174199619E-6</v>
      </c>
      <c r="AU43" s="34">
        <v>0</v>
      </c>
      <c r="AV43" s="34">
        <v>0</v>
      </c>
      <c r="AW43" s="34">
        <v>3.6577712050626814E-2</v>
      </c>
      <c r="AX43" s="34">
        <v>2.01770987761535E-2</v>
      </c>
      <c r="AY43" s="34">
        <v>1.4737396663807122E-2</v>
      </c>
      <c r="AZ43" s="34">
        <v>0.15192758732811798</v>
      </c>
      <c r="BA43" s="34">
        <v>0.22341979481870541</v>
      </c>
      <c r="BB43" s="6"/>
      <c r="BC43" s="6"/>
      <c r="BD43" t="s">
        <v>896</v>
      </c>
      <c r="BF43" s="5">
        <v>1.0966287E-2</v>
      </c>
      <c r="BG43" s="5">
        <f t="shared" si="1"/>
        <v>-3.4209128256450453E-3</v>
      </c>
      <c r="BH43" s="2">
        <v>29.496977999999999</v>
      </c>
    </row>
    <row r="44" spans="1:60" x14ac:dyDescent="0.2">
      <c r="A44" t="str">
        <f t="shared" si="0"/>
        <v>Bicycle, electric (&lt;25 km/h) - 2030 - NCA - CH</v>
      </c>
      <c r="B44" t="s">
        <v>264</v>
      </c>
      <c r="D44" s="18">
        <v>2030</v>
      </c>
      <c r="E44" t="s">
        <v>37</v>
      </c>
      <c r="F44" t="s">
        <v>138</v>
      </c>
      <c r="G44" t="s">
        <v>39</v>
      </c>
      <c r="H44" t="s">
        <v>32</v>
      </c>
      <c r="I44" t="s">
        <v>45</v>
      </c>
      <c r="J44" t="s">
        <v>138</v>
      </c>
      <c r="L44" s="24">
        <v>0</v>
      </c>
      <c r="M44" s="24">
        <v>0</v>
      </c>
      <c r="N44" s="24">
        <v>7.8217156213787186E-4</v>
      </c>
      <c r="O44" s="24">
        <v>1.195732624675443E-3</v>
      </c>
      <c r="P44" s="24">
        <v>4.5014419855824448E-4</v>
      </c>
      <c r="Q44" s="24">
        <v>1.2439471398616011E-2</v>
      </c>
      <c r="R44" s="24">
        <v>1.486751978398757E-2</v>
      </c>
      <c r="S44" s="26">
        <v>0</v>
      </c>
      <c r="T44" s="26">
        <v>0</v>
      </c>
      <c r="U44" s="26">
        <v>8.2787723282772764E-5</v>
      </c>
      <c r="V44" s="26">
        <v>9.8317473549625417E-5</v>
      </c>
      <c r="W44" s="26">
        <v>2.844354980821769E-5</v>
      </c>
      <c r="X44" s="26">
        <v>6.027723165204296E-3</v>
      </c>
      <c r="Y44" s="26">
        <v>6.237271911844912E-3</v>
      </c>
      <c r="Z44" s="28">
        <v>0</v>
      </c>
      <c r="AA44" s="28">
        <v>1.3758060237990489E-3</v>
      </c>
      <c r="AB44" s="28">
        <v>2.4261803533979809E-5</v>
      </c>
      <c r="AC44" s="28">
        <v>2.3968260093961618E-5</v>
      </c>
      <c r="AD44" s="28">
        <v>1.2929466072381411E-5</v>
      </c>
      <c r="AE44" s="28">
        <v>8.3320773450341152E-4</v>
      </c>
      <c r="AF44" s="28">
        <v>2.2701732880027834E-3</v>
      </c>
      <c r="AG44" s="30">
        <v>0</v>
      </c>
      <c r="AH44" s="30">
        <v>7.228237882960114E-6</v>
      </c>
      <c r="AI44" s="30">
        <v>5.5435684002652831E-5</v>
      </c>
      <c r="AJ44" s="30">
        <v>8.5554174677296554E-5</v>
      </c>
      <c r="AK44" s="30">
        <v>1.2066740458734681E-5</v>
      </c>
      <c r="AL44" s="30">
        <v>2.608428463405082E-3</v>
      </c>
      <c r="AM44" s="30">
        <v>2.7687133004267259E-3</v>
      </c>
      <c r="AN44" s="32">
        <v>0</v>
      </c>
      <c r="AO44" s="32">
        <v>5.1842725945187069E-6</v>
      </c>
      <c r="AP44" s="32">
        <v>6.9898965624929674E-8</v>
      </c>
      <c r="AQ44" s="32">
        <v>6.5490648626579012E-8</v>
      </c>
      <c r="AR44" s="32">
        <v>4.7645689348585192E-8</v>
      </c>
      <c r="AS44" s="32">
        <v>1.577329677426445E-6</v>
      </c>
      <c r="AT44" s="32">
        <v>6.9446375755452444E-6</v>
      </c>
      <c r="AU44" s="34">
        <v>0</v>
      </c>
      <c r="AV44" s="34">
        <v>0</v>
      </c>
      <c r="AW44" s="34">
        <v>3.6577712050626814E-2</v>
      </c>
      <c r="AX44" s="34">
        <v>2.01770987761535E-2</v>
      </c>
      <c r="AY44" s="34">
        <v>1.4746430586384435E-2</v>
      </c>
      <c r="AZ44" s="34">
        <v>0.15604468123473014</v>
      </c>
      <c r="BA44" s="34">
        <v>0.22754592264789489</v>
      </c>
      <c r="BB44" s="6"/>
      <c r="BC44" s="6"/>
      <c r="BD44" t="s">
        <v>610</v>
      </c>
      <c r="BF44" s="5">
        <v>1.1049341999999998E-2</v>
      </c>
      <c r="BG44" s="5">
        <f t="shared" si="1"/>
        <v>-3.8181777839875718E-3</v>
      </c>
      <c r="BH44" s="2">
        <v>28.402825</v>
      </c>
    </row>
    <row r="45" spans="1:60" x14ac:dyDescent="0.2">
      <c r="A45" t="str">
        <f t="shared" si="0"/>
        <v>Bicycle, electric (&lt;25 km/h) - 2040 - NCA - CH</v>
      </c>
      <c r="B45" t="s">
        <v>264</v>
      </c>
      <c r="D45" s="18">
        <v>2040</v>
      </c>
      <c r="E45" t="s">
        <v>37</v>
      </c>
      <c r="F45" t="s">
        <v>138</v>
      </c>
      <c r="G45" t="s">
        <v>39</v>
      </c>
      <c r="H45" t="s">
        <v>32</v>
      </c>
      <c r="I45" t="s">
        <v>45</v>
      </c>
      <c r="J45" t="s">
        <v>138</v>
      </c>
      <c r="L45" s="24">
        <v>0</v>
      </c>
      <c r="M45" s="24">
        <v>0</v>
      </c>
      <c r="N45" s="24">
        <v>7.8217156213787186E-4</v>
      </c>
      <c r="O45" s="24">
        <v>1.195732624675443E-3</v>
      </c>
      <c r="P45" s="24">
        <v>4.472460140397849E-4</v>
      </c>
      <c r="Q45" s="24">
        <v>1.2198250459837801E-2</v>
      </c>
      <c r="R45" s="24">
        <v>1.4623400660690899E-2</v>
      </c>
      <c r="S45" s="26">
        <v>0</v>
      </c>
      <c r="T45" s="26">
        <v>0</v>
      </c>
      <c r="U45" s="26">
        <v>8.2787723282772764E-5</v>
      </c>
      <c r="V45" s="26">
        <v>9.8317473549625417E-5</v>
      </c>
      <c r="W45" s="26">
        <v>2.8260420366655981E-5</v>
      </c>
      <c r="X45" s="26">
        <v>5.3994048208173837E-3</v>
      </c>
      <c r="Y45" s="26">
        <v>5.6087704380164381E-3</v>
      </c>
      <c r="Z45" s="28">
        <v>0</v>
      </c>
      <c r="AA45" s="28">
        <v>1.3758060237990489E-3</v>
      </c>
      <c r="AB45" s="28">
        <v>2.4261803533979809E-5</v>
      </c>
      <c r="AC45" s="28">
        <v>2.3968260093961618E-5</v>
      </c>
      <c r="AD45" s="28">
        <v>1.284622168419881E-5</v>
      </c>
      <c r="AE45" s="28">
        <v>7.7368493079684136E-4</v>
      </c>
      <c r="AF45" s="28">
        <v>2.2105672399080306E-3</v>
      </c>
      <c r="AG45" s="30">
        <v>0</v>
      </c>
      <c r="AH45" s="30">
        <v>7.228237882960114E-6</v>
      </c>
      <c r="AI45" s="30">
        <v>5.5435684002652831E-5</v>
      </c>
      <c r="AJ45" s="30">
        <v>8.5554174677296554E-5</v>
      </c>
      <c r="AK45" s="30">
        <v>1.1989050597357409E-5</v>
      </c>
      <c r="AL45" s="30">
        <v>2.4346642938696621E-3</v>
      </c>
      <c r="AM45" s="30">
        <v>2.5948714410299291E-3</v>
      </c>
      <c r="AN45" s="32">
        <v>0</v>
      </c>
      <c r="AO45" s="32">
        <v>5.1842725945187069E-6</v>
      </c>
      <c r="AP45" s="32">
        <v>6.9898965624929674E-8</v>
      </c>
      <c r="AQ45" s="32">
        <v>6.5490648626579012E-8</v>
      </c>
      <c r="AR45" s="32">
        <v>4.7338929870880761E-8</v>
      </c>
      <c r="AS45" s="32">
        <v>1.4197002256924101E-6</v>
      </c>
      <c r="AT45" s="32">
        <v>6.7867013643335057E-6</v>
      </c>
      <c r="AU45" s="34">
        <v>0</v>
      </c>
      <c r="AV45" s="34">
        <v>0</v>
      </c>
      <c r="AW45" s="34">
        <v>3.6577712050626814E-2</v>
      </c>
      <c r="AX45" s="34">
        <v>2.01770987761535E-2</v>
      </c>
      <c r="AY45" s="34">
        <v>1.4651487950302742E-2</v>
      </c>
      <c r="AZ45" s="34">
        <v>0.15079487731350202</v>
      </c>
      <c r="BA45" s="34">
        <v>0.2222011760905851</v>
      </c>
      <c r="BB45" s="6"/>
      <c r="BC45" s="6"/>
      <c r="BD45" t="s">
        <v>611</v>
      </c>
      <c r="BF45" s="5">
        <v>1.0641948E-2</v>
      </c>
      <c r="BG45" s="5">
        <f t="shared" si="1"/>
        <v>-3.9814526606908995E-3</v>
      </c>
      <c r="BH45" s="2">
        <v>25.328282999999999</v>
      </c>
    </row>
    <row r="46" spans="1:60" x14ac:dyDescent="0.2">
      <c r="A46" t="str">
        <f t="shared" si="0"/>
        <v>Bicycle, electric (&lt;25 km/h) - 2050 - NCA - CH</v>
      </c>
      <c r="B46" t="s">
        <v>264</v>
      </c>
      <c r="D46" s="18">
        <v>2050</v>
      </c>
      <c r="E46" t="s">
        <v>37</v>
      </c>
      <c r="F46" t="s">
        <v>138</v>
      </c>
      <c r="G46" t="s">
        <v>39</v>
      </c>
      <c r="H46" t="s">
        <v>32</v>
      </c>
      <c r="I46" t="s">
        <v>45</v>
      </c>
      <c r="J46" t="s">
        <v>138</v>
      </c>
      <c r="L46" s="24">
        <v>0</v>
      </c>
      <c r="M46" s="24">
        <v>0</v>
      </c>
      <c r="N46" s="24">
        <v>7.8217156213787186E-4</v>
      </c>
      <c r="O46" s="24">
        <v>1.195732624675443E-3</v>
      </c>
      <c r="P46" s="24">
        <v>4.4829300216425461E-4</v>
      </c>
      <c r="Q46" s="24">
        <v>1.260365568323627E-2</v>
      </c>
      <c r="R46" s="24">
        <v>1.5029852872213839E-2</v>
      </c>
      <c r="S46" s="26">
        <v>0</v>
      </c>
      <c r="T46" s="26">
        <v>0</v>
      </c>
      <c r="U46" s="26">
        <v>8.2787723282772764E-5</v>
      </c>
      <c r="V46" s="26">
        <v>9.8317473549625417E-5</v>
      </c>
      <c r="W46" s="26">
        <v>2.832657707591125E-5</v>
      </c>
      <c r="X46" s="26">
        <v>5.3727117660605393E-3</v>
      </c>
      <c r="Y46" s="26">
        <v>5.5821435399688486E-3</v>
      </c>
      <c r="Z46" s="28">
        <v>0</v>
      </c>
      <c r="AA46" s="28">
        <v>1.3758060237990489E-3</v>
      </c>
      <c r="AB46" s="28">
        <v>2.4261803533979809E-5</v>
      </c>
      <c r="AC46" s="28">
        <v>2.3968260093961618E-5</v>
      </c>
      <c r="AD46" s="28">
        <v>1.2876294264222889E-5</v>
      </c>
      <c r="AE46" s="28">
        <v>7.8933914750218843E-4</v>
      </c>
      <c r="AF46" s="28">
        <v>2.2262515291934016E-3</v>
      </c>
      <c r="AG46" s="30">
        <v>0</v>
      </c>
      <c r="AH46" s="30">
        <v>7.228237882960114E-6</v>
      </c>
      <c r="AI46" s="30">
        <v>5.5435684002652831E-5</v>
      </c>
      <c r="AJ46" s="30">
        <v>8.5554174677296554E-5</v>
      </c>
      <c r="AK46" s="30">
        <v>1.201711656822145E-5</v>
      </c>
      <c r="AL46" s="30">
        <v>2.4862151650290108E-3</v>
      </c>
      <c r="AM46" s="30">
        <v>2.6464503781601419E-3</v>
      </c>
      <c r="AN46" s="32">
        <v>0</v>
      </c>
      <c r="AO46" s="32">
        <v>5.1842725945187069E-6</v>
      </c>
      <c r="AP46" s="32">
        <v>6.9898965624929674E-8</v>
      </c>
      <c r="AQ46" s="32">
        <v>6.5490648626579012E-8</v>
      </c>
      <c r="AR46" s="32">
        <v>4.7449748739789693E-8</v>
      </c>
      <c r="AS46" s="32">
        <v>1.415924914824982E-6</v>
      </c>
      <c r="AT46" s="32">
        <v>6.7830368723349863E-6</v>
      </c>
      <c r="AU46" s="34">
        <v>0</v>
      </c>
      <c r="AV46" s="34">
        <v>0</v>
      </c>
      <c r="AW46" s="34">
        <v>3.6577712050626814E-2</v>
      </c>
      <c r="AX46" s="34">
        <v>2.01770987761535E-2</v>
      </c>
      <c r="AY46" s="34">
        <v>1.4685786598939585E-2</v>
      </c>
      <c r="AZ46" s="34">
        <v>0.15478529578694766</v>
      </c>
      <c r="BA46" s="34">
        <v>0.22622589321266756</v>
      </c>
      <c r="BB46" s="6"/>
      <c r="BC46" s="6"/>
      <c r="BD46" t="s">
        <v>612</v>
      </c>
      <c r="BF46" s="5">
        <v>1.0770303E-2</v>
      </c>
      <c r="BG46" s="5">
        <f t="shared" si="1"/>
        <v>-4.259549872213839E-3</v>
      </c>
      <c r="BH46" s="2">
        <v>24.974366</v>
      </c>
    </row>
    <row r="47" spans="1:60" x14ac:dyDescent="0.2">
      <c r="A47" t="str">
        <f t="shared" si="0"/>
        <v>Bicycle, electric (&lt;45 km/h) - 2020 - NCA - CH</v>
      </c>
      <c r="B47" t="s">
        <v>265</v>
      </c>
      <c r="D47" s="18">
        <v>2020</v>
      </c>
      <c r="E47" t="s">
        <v>37</v>
      </c>
      <c r="F47" t="s">
        <v>138</v>
      </c>
      <c r="G47" t="s">
        <v>39</v>
      </c>
      <c r="H47" t="s">
        <v>32</v>
      </c>
      <c r="I47" t="s">
        <v>45</v>
      </c>
      <c r="J47" t="s">
        <v>138</v>
      </c>
      <c r="L47" s="24">
        <v>0</v>
      </c>
      <c r="M47" s="24">
        <v>0</v>
      </c>
      <c r="N47" s="24">
        <v>1.4364996721616199E-3</v>
      </c>
      <c r="O47" s="24">
        <v>1.195732624675443E-3</v>
      </c>
      <c r="P47" s="24">
        <v>4.6807692143117208E-4</v>
      </c>
      <c r="Q47" s="24">
        <v>8.9471022005478597E-3</v>
      </c>
      <c r="R47" s="24">
        <v>1.2047411418816094E-2</v>
      </c>
      <c r="S47" s="26">
        <v>0</v>
      </c>
      <c r="T47" s="26">
        <v>0</v>
      </c>
      <c r="U47" s="26">
        <v>1.520440567152036E-4</v>
      </c>
      <c r="V47" s="26">
        <v>9.8317473549625417E-5</v>
      </c>
      <c r="W47" s="26">
        <v>2.957667625495802E-5</v>
      </c>
      <c r="X47" s="26">
        <v>4.3557162755091484E-3</v>
      </c>
      <c r="Y47" s="26">
        <v>4.6356544820289353E-3</v>
      </c>
      <c r="Z47" s="28">
        <v>0</v>
      </c>
      <c r="AA47" s="28">
        <v>1.3758060237990489E-3</v>
      </c>
      <c r="AB47" s="28">
        <v>4.4558092507674578E-5</v>
      </c>
      <c r="AC47" s="28">
        <v>2.3968260093961618E-5</v>
      </c>
      <c r="AD47" s="28">
        <v>1.344454664592552E-5</v>
      </c>
      <c r="AE47" s="28">
        <v>5.9772369747387736E-4</v>
      </c>
      <c r="AF47" s="28">
        <v>2.0555006205204883E-3</v>
      </c>
      <c r="AG47" s="30">
        <v>0</v>
      </c>
      <c r="AH47" s="30">
        <v>7.228237882960114E-6</v>
      </c>
      <c r="AI47" s="30">
        <v>1.018105819114773E-4</v>
      </c>
      <c r="AJ47" s="30">
        <v>8.5554174677296554E-5</v>
      </c>
      <c r="AK47" s="30">
        <v>1.254745200254465E-5</v>
      </c>
      <c r="AL47" s="30">
        <v>1.8740503591009371E-3</v>
      </c>
      <c r="AM47" s="30">
        <v>2.0811908055752156E-3</v>
      </c>
      <c r="AN47" s="32">
        <v>0</v>
      </c>
      <c r="AO47" s="32">
        <v>5.1842725945187069E-6</v>
      </c>
      <c r="AP47" s="32">
        <v>1.2837316781270141E-7</v>
      </c>
      <c r="AQ47" s="32">
        <v>6.5490648626579012E-8</v>
      </c>
      <c r="AR47" s="32">
        <v>4.9543785438492312E-8</v>
      </c>
      <c r="AS47" s="32">
        <v>1.163191731086597E-6</v>
      </c>
      <c r="AT47" s="32">
        <v>6.5908719274830758E-6</v>
      </c>
      <c r="AU47" s="34">
        <v>0</v>
      </c>
      <c r="AV47" s="34">
        <v>0</v>
      </c>
      <c r="AW47" s="34">
        <v>6.7176913496486523E-2</v>
      </c>
      <c r="AX47" s="34">
        <v>2.01770987761535E-2</v>
      </c>
      <c r="AY47" s="34">
        <v>1.5333894900969576E-2</v>
      </c>
      <c r="AZ47" s="34">
        <v>0.1127383291124191</v>
      </c>
      <c r="BA47" s="34">
        <v>0.21542623628602869</v>
      </c>
      <c r="BB47" s="6"/>
      <c r="BC47" s="6"/>
      <c r="BD47" t="s">
        <v>897</v>
      </c>
      <c r="BF47" s="5">
        <v>9.6366752999999996E-3</v>
      </c>
      <c r="BG47" s="5">
        <f t="shared" si="1"/>
        <v>-2.4107361188160942E-3</v>
      </c>
      <c r="BH47" s="2">
        <v>23.989550000000001</v>
      </c>
    </row>
    <row r="48" spans="1:60" x14ac:dyDescent="0.2">
      <c r="A48" t="str">
        <f t="shared" si="0"/>
        <v>Bicycle, electric (&lt;45 km/h) - 2030 - NCA - CH</v>
      </c>
      <c r="B48" t="s">
        <v>265</v>
      </c>
      <c r="D48" s="18">
        <v>2030</v>
      </c>
      <c r="E48" t="s">
        <v>37</v>
      </c>
      <c r="F48" t="s">
        <v>138</v>
      </c>
      <c r="G48" t="s">
        <v>39</v>
      </c>
      <c r="H48" t="s">
        <v>32</v>
      </c>
      <c r="I48" t="s">
        <v>45</v>
      </c>
      <c r="J48" t="s">
        <v>138</v>
      </c>
      <c r="L48" s="24">
        <v>0</v>
      </c>
      <c r="M48" s="24">
        <v>0</v>
      </c>
      <c r="N48" s="24">
        <v>1.4364996721616199E-3</v>
      </c>
      <c r="O48" s="24">
        <v>1.195732624675443E-3</v>
      </c>
      <c r="P48" s="24">
        <v>4.6794299667422991E-4</v>
      </c>
      <c r="Q48" s="24">
        <v>9.3658625355491978E-3</v>
      </c>
      <c r="R48" s="24">
        <v>1.246603782906049E-2</v>
      </c>
      <c r="S48" s="26">
        <v>0</v>
      </c>
      <c r="T48" s="26">
        <v>0</v>
      </c>
      <c r="U48" s="26">
        <v>1.520440567152036E-4</v>
      </c>
      <c r="V48" s="26">
        <v>9.8317473549625417E-5</v>
      </c>
      <c r="W48" s="26">
        <v>2.956821386555738E-5</v>
      </c>
      <c r="X48" s="26">
        <v>4.2688576020364433E-3</v>
      </c>
      <c r="Y48" s="26">
        <v>4.5487873461668299E-3</v>
      </c>
      <c r="Z48" s="28">
        <v>0</v>
      </c>
      <c r="AA48" s="28">
        <v>1.3758060237990489E-3</v>
      </c>
      <c r="AB48" s="28">
        <v>4.4558092507674578E-5</v>
      </c>
      <c r="AC48" s="28">
        <v>2.3968260093961618E-5</v>
      </c>
      <c r="AD48" s="28">
        <v>1.3440699932790739E-5</v>
      </c>
      <c r="AE48" s="28">
        <v>6.0907852498301245E-4</v>
      </c>
      <c r="AF48" s="28">
        <v>2.0668516013164885E-3</v>
      </c>
      <c r="AG48" s="30">
        <v>0</v>
      </c>
      <c r="AH48" s="30">
        <v>7.228237882960114E-6</v>
      </c>
      <c r="AI48" s="30">
        <v>1.018105819114773E-4</v>
      </c>
      <c r="AJ48" s="30">
        <v>8.5554174677296554E-5</v>
      </c>
      <c r="AK48" s="30">
        <v>1.2543861963423409E-5</v>
      </c>
      <c r="AL48" s="30">
        <v>1.916548276935175E-3</v>
      </c>
      <c r="AM48" s="30">
        <v>2.1236851333703323E-3</v>
      </c>
      <c r="AN48" s="32">
        <v>0</v>
      </c>
      <c r="AO48" s="32">
        <v>5.1842725945187069E-6</v>
      </c>
      <c r="AP48" s="32">
        <v>1.2837316781270141E-7</v>
      </c>
      <c r="AQ48" s="32">
        <v>6.5490648626579012E-8</v>
      </c>
      <c r="AR48" s="32">
        <v>4.9529610120037038E-8</v>
      </c>
      <c r="AS48" s="32">
        <v>1.1423372738046949E-6</v>
      </c>
      <c r="AT48" s="32">
        <v>6.5700032948827185E-6</v>
      </c>
      <c r="AU48" s="34">
        <v>0</v>
      </c>
      <c r="AV48" s="34">
        <v>0</v>
      </c>
      <c r="AW48" s="34">
        <v>6.7176913496486523E-2</v>
      </c>
      <c r="AX48" s="34">
        <v>2.01770987761535E-2</v>
      </c>
      <c r="AY48" s="34">
        <v>1.5329507613210733E-2</v>
      </c>
      <c r="AZ48" s="34">
        <v>0.116540654959193</v>
      </c>
      <c r="BA48" s="34">
        <v>0.21922417484504375</v>
      </c>
      <c r="BB48" s="6"/>
      <c r="BC48" s="6"/>
      <c r="BD48" t="s">
        <v>613</v>
      </c>
      <c r="BF48" s="5">
        <v>9.7322148999999993E-3</v>
      </c>
      <c r="BG48" s="5">
        <f t="shared" si="1"/>
        <v>-2.7338229290604903E-3</v>
      </c>
      <c r="BH48" s="2">
        <v>23.280940999999999</v>
      </c>
    </row>
    <row r="49" spans="1:60" x14ac:dyDescent="0.2">
      <c r="A49" t="str">
        <f t="shared" si="0"/>
        <v>Bicycle, electric (&lt;45 km/h) - 2040 - NCA - CH</v>
      </c>
      <c r="B49" t="s">
        <v>265</v>
      </c>
      <c r="D49" s="18">
        <v>2040</v>
      </c>
      <c r="E49" t="s">
        <v>37</v>
      </c>
      <c r="F49" t="s">
        <v>138</v>
      </c>
      <c r="G49" t="s">
        <v>39</v>
      </c>
      <c r="H49" t="s">
        <v>32</v>
      </c>
      <c r="I49" t="s">
        <v>45</v>
      </c>
      <c r="J49" t="s">
        <v>138</v>
      </c>
      <c r="L49" s="24">
        <v>0</v>
      </c>
      <c r="M49" s="24">
        <v>0</v>
      </c>
      <c r="N49" s="24">
        <v>1.4364996721616199E-3</v>
      </c>
      <c r="O49" s="24">
        <v>1.195732624675443E-3</v>
      </c>
      <c r="P49" s="24">
        <v>4.6431647259092168E-4</v>
      </c>
      <c r="Q49" s="24">
        <v>9.2545344979058069E-3</v>
      </c>
      <c r="R49" s="24">
        <v>1.2351083267333791E-2</v>
      </c>
      <c r="S49" s="26">
        <v>0</v>
      </c>
      <c r="T49" s="26">
        <v>0</v>
      </c>
      <c r="U49" s="26">
        <v>1.520440567152036E-4</v>
      </c>
      <c r="V49" s="26">
        <v>9.8317473549625417E-5</v>
      </c>
      <c r="W49" s="26">
        <v>2.9339062365383309E-5</v>
      </c>
      <c r="X49" s="26">
        <v>3.8468258445469201E-3</v>
      </c>
      <c r="Y49" s="26">
        <v>4.1265264371771323E-3</v>
      </c>
      <c r="Z49" s="28">
        <v>0</v>
      </c>
      <c r="AA49" s="28">
        <v>1.3758060237990489E-3</v>
      </c>
      <c r="AB49" s="28">
        <v>4.4558092507674578E-5</v>
      </c>
      <c r="AC49" s="28">
        <v>2.3968260093961618E-5</v>
      </c>
      <c r="AD49" s="28">
        <v>1.3336535488939229E-5</v>
      </c>
      <c r="AE49" s="28">
        <v>5.7139498067513704E-4</v>
      </c>
      <c r="AF49" s="28">
        <v>2.0290638925647615E-3</v>
      </c>
      <c r="AG49" s="30">
        <v>0</v>
      </c>
      <c r="AH49" s="30">
        <v>7.228237882960114E-6</v>
      </c>
      <c r="AI49" s="30">
        <v>1.018105819114773E-4</v>
      </c>
      <c r="AJ49" s="30">
        <v>8.5554174677296554E-5</v>
      </c>
      <c r="AK49" s="30">
        <v>1.244664794840158E-5</v>
      </c>
      <c r="AL49" s="30">
        <v>1.805207430249791E-3</v>
      </c>
      <c r="AM49" s="30">
        <v>2.0122470726699265E-3</v>
      </c>
      <c r="AN49" s="32">
        <v>0</v>
      </c>
      <c r="AO49" s="32">
        <v>5.1842725945187069E-6</v>
      </c>
      <c r="AP49" s="32">
        <v>1.2837316781270141E-7</v>
      </c>
      <c r="AQ49" s="32">
        <v>6.5490648626579012E-8</v>
      </c>
      <c r="AR49" s="32">
        <v>4.9145759255265523E-8</v>
      </c>
      <c r="AS49" s="32">
        <v>1.0379130472625481E-6</v>
      </c>
      <c r="AT49" s="32">
        <v>6.4651952174758007E-6</v>
      </c>
      <c r="AU49" s="34">
        <v>0</v>
      </c>
      <c r="AV49" s="34">
        <v>0</v>
      </c>
      <c r="AW49" s="34">
        <v>6.7176913496486523E-2</v>
      </c>
      <c r="AX49" s="34">
        <v>2.01770987761535E-2</v>
      </c>
      <c r="AY49" s="34">
        <v>1.5210705047642539E-2</v>
      </c>
      <c r="AZ49" s="34">
        <v>0.11356209393115528</v>
      </c>
      <c r="BA49" s="34">
        <v>0.21612681125143784</v>
      </c>
      <c r="BB49" s="6"/>
      <c r="BC49" s="6"/>
      <c r="BD49" t="s">
        <v>614</v>
      </c>
      <c r="BF49" s="5">
        <v>9.4739565000000001E-3</v>
      </c>
      <c r="BG49" s="5">
        <f t="shared" si="1"/>
        <v>-2.8771267673337909E-3</v>
      </c>
      <c r="BH49" s="2">
        <v>21.207725</v>
      </c>
    </row>
    <row r="50" spans="1:60" x14ac:dyDescent="0.2">
      <c r="A50" t="str">
        <f t="shared" si="0"/>
        <v>Bicycle, electric (&lt;45 km/h) - 2050 - NCA - CH</v>
      </c>
      <c r="B50" t="s">
        <v>265</v>
      </c>
      <c r="D50" s="18">
        <v>2050</v>
      </c>
      <c r="E50" t="s">
        <v>37</v>
      </c>
      <c r="F50" t="s">
        <v>138</v>
      </c>
      <c r="G50" t="s">
        <v>39</v>
      </c>
      <c r="H50" t="s">
        <v>32</v>
      </c>
      <c r="I50" t="s">
        <v>45</v>
      </c>
      <c r="J50" t="s">
        <v>138</v>
      </c>
      <c r="L50" s="24">
        <v>0</v>
      </c>
      <c r="M50" s="24">
        <v>0</v>
      </c>
      <c r="N50" s="24">
        <v>1.4364996721616199E-3</v>
      </c>
      <c r="O50" s="24">
        <v>1.195732624675443E-3</v>
      </c>
      <c r="P50" s="24">
        <v>4.6509033337857321E-4</v>
      </c>
      <c r="Q50" s="24">
        <v>9.5906252532761711E-3</v>
      </c>
      <c r="R50" s="24">
        <v>1.2687947883491807E-2</v>
      </c>
      <c r="S50" s="26">
        <v>0</v>
      </c>
      <c r="T50" s="26">
        <v>0</v>
      </c>
      <c r="U50" s="26">
        <v>1.520440567152036E-4</v>
      </c>
      <c r="V50" s="26">
        <v>9.8317473549625417E-5</v>
      </c>
      <c r="W50" s="26">
        <v>2.9387960802658939E-5</v>
      </c>
      <c r="X50" s="26">
        <v>3.8410430040728498E-3</v>
      </c>
      <c r="Y50" s="26">
        <v>4.1207924951403374E-3</v>
      </c>
      <c r="Z50" s="28">
        <v>0</v>
      </c>
      <c r="AA50" s="28">
        <v>1.3758060237990489E-3</v>
      </c>
      <c r="AB50" s="28">
        <v>4.4558092507674578E-5</v>
      </c>
      <c r="AC50" s="28">
        <v>2.3968260093961618E-5</v>
      </c>
      <c r="AD50" s="28">
        <v>1.335876304808745E-5</v>
      </c>
      <c r="AE50" s="28">
        <v>5.8558643783272095E-4</v>
      </c>
      <c r="AF50" s="28">
        <v>2.0432775772814935E-3</v>
      </c>
      <c r="AG50" s="30">
        <v>0</v>
      </c>
      <c r="AH50" s="30">
        <v>7.228237882960114E-6</v>
      </c>
      <c r="AI50" s="30">
        <v>1.018105819114773E-4</v>
      </c>
      <c r="AJ50" s="30">
        <v>8.5554174677296554E-5</v>
      </c>
      <c r="AK50" s="30">
        <v>1.246739236164892E-5</v>
      </c>
      <c r="AL50" s="30">
        <v>1.852233154816748E-3</v>
      </c>
      <c r="AM50" s="30">
        <v>2.0592935416501308E-3</v>
      </c>
      <c r="AN50" s="32">
        <v>0</v>
      </c>
      <c r="AO50" s="32">
        <v>5.1842725945187069E-6</v>
      </c>
      <c r="AP50" s="32">
        <v>1.2837316781270141E-7</v>
      </c>
      <c r="AQ50" s="32">
        <v>6.5490648626579012E-8</v>
      </c>
      <c r="AR50" s="32">
        <v>4.9227668854024287E-8</v>
      </c>
      <c r="AS50" s="32">
        <v>1.038165121198836E-6</v>
      </c>
      <c r="AT50" s="32">
        <v>6.4655292010108477E-6</v>
      </c>
      <c r="AU50" s="34">
        <v>0</v>
      </c>
      <c r="AV50" s="34">
        <v>0</v>
      </c>
      <c r="AW50" s="34">
        <v>6.7176913496486523E-2</v>
      </c>
      <c r="AX50" s="34">
        <v>2.01770987761535E-2</v>
      </c>
      <c r="AY50" s="34">
        <v>1.5236056222721946E-2</v>
      </c>
      <c r="AZ50" s="34">
        <v>0.11692743774055409</v>
      </c>
      <c r="BA50" s="34">
        <v>0.21951750623591607</v>
      </c>
      <c r="BB50" s="6"/>
      <c r="BC50" s="6"/>
      <c r="BD50" t="s">
        <v>615</v>
      </c>
      <c r="BF50" s="5">
        <v>9.5867544999999992E-3</v>
      </c>
      <c r="BG50" s="5">
        <f t="shared" si="1"/>
        <v>-3.1011933834918081E-3</v>
      </c>
      <c r="BH50" s="2">
        <v>20.986547999999999</v>
      </c>
    </row>
    <row r="51" spans="1:60" x14ac:dyDescent="0.2">
      <c r="A51" t="str">
        <f t="shared" si="0"/>
        <v>Bicycle, electric, cargo bike - 2020 - NCA - CH</v>
      </c>
      <c r="B51" t="s">
        <v>271</v>
      </c>
      <c r="D51" s="18">
        <v>2020</v>
      </c>
      <c r="E51" t="s">
        <v>37</v>
      </c>
      <c r="F51" t="s">
        <v>138</v>
      </c>
      <c r="G51" t="s">
        <v>39</v>
      </c>
      <c r="H51" t="s">
        <v>32</v>
      </c>
      <c r="I51" t="s">
        <v>45</v>
      </c>
      <c r="J51" t="s">
        <v>138</v>
      </c>
      <c r="L51" s="24">
        <v>0</v>
      </c>
      <c r="M51" s="24">
        <v>0</v>
      </c>
      <c r="N51" s="24">
        <v>1.1004118370386139E-3</v>
      </c>
      <c r="O51" s="24">
        <v>1.195732624675443E-3</v>
      </c>
      <c r="P51" s="24">
        <v>7.7306911421148351E-4</v>
      </c>
      <c r="Q51" s="24">
        <v>2.0878278466762681E-2</v>
      </c>
      <c r="R51" s="24">
        <v>2.3947492042688222E-2</v>
      </c>
      <c r="S51" s="26">
        <v>0</v>
      </c>
      <c r="T51" s="26">
        <v>0</v>
      </c>
      <c r="U51" s="26">
        <v>1.164713664772465E-4</v>
      </c>
      <c r="V51" s="26">
        <v>9.8317473549625417E-5</v>
      </c>
      <c r="W51" s="26">
        <v>4.8848413298886282E-5</v>
      </c>
      <c r="X51" s="26">
        <v>7.0727744821350233E-3</v>
      </c>
      <c r="Y51" s="26">
        <v>7.3364117354607818E-3</v>
      </c>
      <c r="Z51" s="28">
        <v>0</v>
      </c>
      <c r="AA51" s="28">
        <v>2.7516120475980978E-3</v>
      </c>
      <c r="AB51" s="28">
        <v>3.4133145577070547E-5</v>
      </c>
      <c r="AC51" s="28">
        <v>2.3968260093961618E-5</v>
      </c>
      <c r="AD51" s="28">
        <v>2.220481995728756E-5</v>
      </c>
      <c r="AE51" s="28">
        <v>1.159068076553423E-3</v>
      </c>
      <c r="AF51" s="28">
        <v>3.9909863497798407E-3</v>
      </c>
      <c r="AG51" s="30">
        <v>0</v>
      </c>
      <c r="AH51" s="30">
        <v>1.445647576592023E-5</v>
      </c>
      <c r="AI51" s="30">
        <v>7.7990668318491752E-5</v>
      </c>
      <c r="AJ51" s="30">
        <v>8.5554174677296554E-5</v>
      </c>
      <c r="AK51" s="30">
        <v>2.0723191341200589E-5</v>
      </c>
      <c r="AL51" s="30">
        <v>3.4206372658351892E-3</v>
      </c>
      <c r="AM51" s="30">
        <v>3.6193617759380983E-3</v>
      </c>
      <c r="AN51" s="32">
        <v>0</v>
      </c>
      <c r="AO51" s="32">
        <v>1.036854518903741E-5</v>
      </c>
      <c r="AP51" s="32">
        <v>9.8338590782043418E-8</v>
      </c>
      <c r="AQ51" s="32">
        <v>6.5490648626579012E-8</v>
      </c>
      <c r="AR51" s="32">
        <v>8.1825803772833398E-8</v>
      </c>
      <c r="AS51" s="32">
        <v>2.3360234366057679E-6</v>
      </c>
      <c r="AT51" s="32">
        <v>1.2950223668824633E-5</v>
      </c>
      <c r="AU51" s="34">
        <v>0</v>
      </c>
      <c r="AV51" s="34">
        <v>0</v>
      </c>
      <c r="AW51" s="34">
        <v>5.1459998369519894E-2</v>
      </c>
      <c r="AX51" s="34">
        <v>2.01770987761535E-2</v>
      </c>
      <c r="AY51" s="34">
        <v>2.5325240373440656E-2</v>
      </c>
      <c r="AZ51" s="34">
        <v>0.25770044876159887</v>
      </c>
      <c r="BA51" s="34">
        <v>0.35466278628071291</v>
      </c>
      <c r="BB51" s="6"/>
      <c r="BC51" s="6"/>
      <c r="BD51" t="s">
        <v>898</v>
      </c>
      <c r="BF51" s="5">
        <v>1.7379221E-2</v>
      </c>
      <c r="BG51" s="5">
        <f t="shared" si="1"/>
        <v>-6.5682710426882215E-3</v>
      </c>
      <c r="BH51" s="2">
        <v>39.583464999999997</v>
      </c>
    </row>
    <row r="52" spans="1:60" x14ac:dyDescent="0.2">
      <c r="A52" t="str">
        <f t="shared" si="0"/>
        <v>Bicycle, electric, cargo bike - 2030 - NCA - CH</v>
      </c>
      <c r="B52" t="s">
        <v>271</v>
      </c>
      <c r="D52" s="18">
        <v>2030</v>
      </c>
      <c r="E52" t="s">
        <v>37</v>
      </c>
      <c r="F52" t="s">
        <v>138</v>
      </c>
      <c r="G52" t="s">
        <v>39</v>
      </c>
      <c r="H52" t="s">
        <v>32</v>
      </c>
      <c r="I52" t="s">
        <v>45</v>
      </c>
      <c r="J52" t="s">
        <v>138</v>
      </c>
      <c r="L52" s="24">
        <v>0</v>
      </c>
      <c r="M52" s="24">
        <v>0</v>
      </c>
      <c r="N52" s="24">
        <v>1.1004118370386139E-3</v>
      </c>
      <c r="O52" s="24">
        <v>1.195732624675443E-3</v>
      </c>
      <c r="P52" s="24">
        <v>7.6836789343330363E-4</v>
      </c>
      <c r="Q52" s="24">
        <v>2.20152986110074E-2</v>
      </c>
      <c r="R52" s="24">
        <v>2.5079810966154761E-2</v>
      </c>
      <c r="S52" s="26">
        <v>0</v>
      </c>
      <c r="T52" s="26">
        <v>0</v>
      </c>
      <c r="U52" s="26">
        <v>1.164713664772465E-4</v>
      </c>
      <c r="V52" s="26">
        <v>9.8317473549625417E-5</v>
      </c>
      <c r="W52" s="26">
        <v>4.855135425027058E-5</v>
      </c>
      <c r="X52" s="26">
        <v>6.7126223626184402E-3</v>
      </c>
      <c r="Y52" s="26">
        <v>6.9759625568955822E-3</v>
      </c>
      <c r="Z52" s="28">
        <v>0</v>
      </c>
      <c r="AA52" s="28">
        <v>2.7516120475980978E-3</v>
      </c>
      <c r="AB52" s="28">
        <v>3.4133145577070547E-5</v>
      </c>
      <c r="AC52" s="28">
        <v>2.3968260093961618E-5</v>
      </c>
      <c r="AD52" s="28">
        <v>2.2069787061728899E-5</v>
      </c>
      <c r="AE52" s="28">
        <v>1.17963669245097E-3</v>
      </c>
      <c r="AF52" s="28">
        <v>4.0114199327818288E-3</v>
      </c>
      <c r="AG52" s="30">
        <v>0</v>
      </c>
      <c r="AH52" s="30">
        <v>1.445647576592023E-5</v>
      </c>
      <c r="AI52" s="30">
        <v>7.7990668318491752E-5</v>
      </c>
      <c r="AJ52" s="30">
        <v>8.5554174677296554E-5</v>
      </c>
      <c r="AK52" s="30">
        <v>2.0597168588599979E-5</v>
      </c>
      <c r="AL52" s="30">
        <v>3.5145700701957861E-3</v>
      </c>
      <c r="AM52" s="30">
        <v>3.7131685575460946E-3</v>
      </c>
      <c r="AN52" s="32">
        <v>0</v>
      </c>
      <c r="AO52" s="32">
        <v>1.036854518903741E-5</v>
      </c>
      <c r="AP52" s="32">
        <v>9.8338590782043418E-8</v>
      </c>
      <c r="AQ52" s="32">
        <v>6.5490648626579012E-8</v>
      </c>
      <c r="AR52" s="32">
        <v>8.1328201214644952E-8</v>
      </c>
      <c r="AS52" s="32">
        <v>2.2421527293958001E-6</v>
      </c>
      <c r="AT52" s="32">
        <v>1.2855855359056477E-5</v>
      </c>
      <c r="AU52" s="34">
        <v>0</v>
      </c>
      <c r="AV52" s="34">
        <v>0</v>
      </c>
      <c r="AW52" s="34">
        <v>5.1459998369519894E-2</v>
      </c>
      <c r="AX52" s="34">
        <v>2.01770987761535E-2</v>
      </c>
      <c r="AY52" s="34">
        <v>2.5171231444526893E-2</v>
      </c>
      <c r="AZ52" s="34">
        <v>0.26732106008133277</v>
      </c>
      <c r="BA52" s="34">
        <v>0.36412938867153305</v>
      </c>
      <c r="BB52" s="6"/>
      <c r="BC52" s="6"/>
      <c r="BD52" t="s">
        <v>616</v>
      </c>
      <c r="BF52" s="5">
        <v>1.7551673E-2</v>
      </c>
      <c r="BG52" s="5">
        <f t="shared" si="1"/>
        <v>-7.5281379661547611E-3</v>
      </c>
      <c r="BH52" s="2">
        <v>36.912382999999998</v>
      </c>
    </row>
    <row r="53" spans="1:60" x14ac:dyDescent="0.2">
      <c r="A53" t="str">
        <f t="shared" si="0"/>
        <v>Bicycle, electric, cargo bike - 2040 - NCA - CH</v>
      </c>
      <c r="B53" t="s">
        <v>271</v>
      </c>
      <c r="D53" s="18">
        <v>2040</v>
      </c>
      <c r="E53" t="s">
        <v>37</v>
      </c>
      <c r="F53" t="s">
        <v>138</v>
      </c>
      <c r="G53" t="s">
        <v>39</v>
      </c>
      <c r="H53" t="s">
        <v>32</v>
      </c>
      <c r="I53" t="s">
        <v>45</v>
      </c>
      <c r="J53" t="s">
        <v>138</v>
      </c>
      <c r="L53" s="24">
        <v>0</v>
      </c>
      <c r="M53" s="24">
        <v>0</v>
      </c>
      <c r="N53" s="24">
        <v>1.1004118370386139E-3</v>
      </c>
      <c r="O53" s="24">
        <v>1.195732624675443E-3</v>
      </c>
      <c r="P53" s="24">
        <v>7.6248048195077839E-4</v>
      </c>
      <c r="Q53" s="24">
        <v>2.2389322592270031E-2</v>
      </c>
      <c r="R53" s="24">
        <v>2.5447947535934864E-2</v>
      </c>
      <c r="S53" s="26">
        <v>0</v>
      </c>
      <c r="T53" s="26">
        <v>0</v>
      </c>
      <c r="U53" s="26">
        <v>1.164713664772465E-4</v>
      </c>
      <c r="V53" s="26">
        <v>9.8317473549625417E-5</v>
      </c>
      <c r="W53" s="26">
        <v>4.8179342609820628E-5</v>
      </c>
      <c r="X53" s="26">
        <v>6.116150346419302E-3</v>
      </c>
      <c r="Y53" s="26">
        <v>6.3791185290559948E-3</v>
      </c>
      <c r="Z53" s="28">
        <v>0</v>
      </c>
      <c r="AA53" s="28">
        <v>2.7516120475980978E-3</v>
      </c>
      <c r="AB53" s="28">
        <v>3.4133145577070547E-5</v>
      </c>
      <c r="AC53" s="28">
        <v>2.3968260093961618E-5</v>
      </c>
      <c r="AD53" s="28">
        <v>2.1900683278405099E-5</v>
      </c>
      <c r="AE53" s="28">
        <v>1.1488221856844601E-3</v>
      </c>
      <c r="AF53" s="28">
        <v>3.980436322231995E-3</v>
      </c>
      <c r="AG53" s="30">
        <v>0</v>
      </c>
      <c r="AH53" s="30">
        <v>1.445647576592023E-5</v>
      </c>
      <c r="AI53" s="30">
        <v>7.7990668318491752E-5</v>
      </c>
      <c r="AJ53" s="30">
        <v>8.5554174677296554E-5</v>
      </c>
      <c r="AK53" s="30">
        <v>2.0439348346639859E-5</v>
      </c>
      <c r="AL53" s="30">
        <v>3.4424901281110551E-3</v>
      </c>
      <c r="AM53" s="30">
        <v>3.6409307952194035E-3</v>
      </c>
      <c r="AN53" s="32">
        <v>0</v>
      </c>
      <c r="AO53" s="32">
        <v>1.036854518903741E-5</v>
      </c>
      <c r="AP53" s="32">
        <v>9.8338590782043418E-8</v>
      </c>
      <c r="AQ53" s="32">
        <v>6.5490648626579012E-8</v>
      </c>
      <c r="AR53" s="32">
        <v>8.0705045835852706E-8</v>
      </c>
      <c r="AS53" s="32">
        <v>2.0890779398036739E-6</v>
      </c>
      <c r="AT53" s="32">
        <v>1.2702157414085559E-5</v>
      </c>
      <c r="AU53" s="34">
        <v>0</v>
      </c>
      <c r="AV53" s="34">
        <v>0</v>
      </c>
      <c r="AW53" s="34">
        <v>5.1459998369519894E-2</v>
      </c>
      <c r="AX53" s="34">
        <v>2.01770987761535E-2</v>
      </c>
      <c r="AY53" s="34">
        <v>2.4978363681177701E-2</v>
      </c>
      <c r="AZ53" s="34">
        <v>0.26827187443993367</v>
      </c>
      <c r="BA53" s="34">
        <v>0.36488733526678474</v>
      </c>
      <c r="BB53" s="6"/>
      <c r="BC53" s="6"/>
      <c r="BD53" t="s">
        <v>617</v>
      </c>
      <c r="BF53" s="5">
        <v>1.7348043E-2</v>
      </c>
      <c r="BG53" s="5">
        <f t="shared" si="1"/>
        <v>-8.099904535934864E-3</v>
      </c>
      <c r="BH53" s="2">
        <v>33.533726000000001</v>
      </c>
    </row>
    <row r="54" spans="1:60" x14ac:dyDescent="0.2">
      <c r="A54" t="str">
        <f t="shared" si="0"/>
        <v>Bicycle, electric, cargo bike - 2050 - NCA - CH</v>
      </c>
      <c r="B54" t="s">
        <v>271</v>
      </c>
      <c r="D54" s="18">
        <v>2050</v>
      </c>
      <c r="E54" t="s">
        <v>37</v>
      </c>
      <c r="F54" t="s">
        <v>138</v>
      </c>
      <c r="G54" t="s">
        <v>39</v>
      </c>
      <c r="H54" t="s">
        <v>32</v>
      </c>
      <c r="I54" t="s">
        <v>45</v>
      </c>
      <c r="J54" t="s">
        <v>138</v>
      </c>
      <c r="L54" s="24">
        <v>0</v>
      </c>
      <c r="M54" s="24">
        <v>0</v>
      </c>
      <c r="N54" s="24">
        <v>1.1004118370386139E-3</v>
      </c>
      <c r="O54" s="24">
        <v>1.195732624675443E-3</v>
      </c>
      <c r="P54" s="24">
        <v>7.5856565678971755E-4</v>
      </c>
      <c r="Q54" s="24">
        <v>2.3192410185793658E-2</v>
      </c>
      <c r="R54" s="24">
        <v>2.6247120304297433E-2</v>
      </c>
      <c r="S54" s="26">
        <v>0</v>
      </c>
      <c r="T54" s="26">
        <v>0</v>
      </c>
      <c r="U54" s="26">
        <v>1.164713664772465E-4</v>
      </c>
      <c r="V54" s="26">
        <v>9.8317473549625417E-5</v>
      </c>
      <c r="W54" s="26">
        <v>4.7931974044779159E-5</v>
      </c>
      <c r="X54" s="26">
        <v>5.9207208665991726E-3</v>
      </c>
      <c r="Y54" s="26">
        <v>6.183441680670824E-3</v>
      </c>
      <c r="Z54" s="28">
        <v>0</v>
      </c>
      <c r="AA54" s="28">
        <v>2.7516120475980978E-3</v>
      </c>
      <c r="AB54" s="28">
        <v>3.4133145577070547E-5</v>
      </c>
      <c r="AC54" s="28">
        <v>2.3968260093961618E-5</v>
      </c>
      <c r="AD54" s="28">
        <v>2.1788237979184629E-5</v>
      </c>
      <c r="AE54" s="28">
        <v>1.1679844838327149E-3</v>
      </c>
      <c r="AF54" s="28">
        <v>3.9994861750810295E-3</v>
      </c>
      <c r="AG54" s="30">
        <v>0</v>
      </c>
      <c r="AH54" s="30">
        <v>1.445647576592023E-5</v>
      </c>
      <c r="AI54" s="30">
        <v>7.7990668318491752E-5</v>
      </c>
      <c r="AJ54" s="30">
        <v>8.5554174677296554E-5</v>
      </c>
      <c r="AK54" s="30">
        <v>2.0334406020800391E-5</v>
      </c>
      <c r="AL54" s="30">
        <v>3.5206074558304318E-3</v>
      </c>
      <c r="AM54" s="30">
        <v>3.7189431806129406E-3</v>
      </c>
      <c r="AN54" s="32">
        <v>0</v>
      </c>
      <c r="AO54" s="32">
        <v>1.036854518903741E-5</v>
      </c>
      <c r="AP54" s="32">
        <v>9.8338590782043418E-8</v>
      </c>
      <c r="AQ54" s="32">
        <v>6.5490648626579012E-8</v>
      </c>
      <c r="AR54" s="32">
        <v>8.0290679630367122E-8</v>
      </c>
      <c r="AS54" s="32">
        <v>2.038049713160376E-6</v>
      </c>
      <c r="AT54" s="32">
        <v>1.2650714821236776E-5</v>
      </c>
      <c r="AU54" s="34">
        <v>0</v>
      </c>
      <c r="AV54" s="34">
        <v>0</v>
      </c>
      <c r="AW54" s="34">
        <v>5.1459998369519894E-2</v>
      </c>
      <c r="AX54" s="34">
        <v>2.01770987761535E-2</v>
      </c>
      <c r="AY54" s="34">
        <v>2.4850116560187773E-2</v>
      </c>
      <c r="AZ54" s="34">
        <v>0.27535273461658422</v>
      </c>
      <c r="BA54" s="34">
        <v>0.37183994832244538</v>
      </c>
      <c r="BB54" s="6"/>
      <c r="BC54" s="6"/>
      <c r="BD54" t="s">
        <v>618</v>
      </c>
      <c r="BF54" s="5">
        <v>1.7497633999999998E-2</v>
      </c>
      <c r="BG54" s="5">
        <f t="shared" si="1"/>
        <v>-8.7494863042974352E-3</v>
      </c>
      <c r="BH54" s="2">
        <v>31.961292</v>
      </c>
    </row>
    <row r="55" spans="1:60" x14ac:dyDescent="0.2">
      <c r="A55" t="str">
        <f t="shared" ref="A55:A90" si="4">B55&amp;" - "&amp;D55&amp;" - "&amp;IF(I55&lt;&gt;"",I55&amp;" - "&amp;E55,E55)</f>
        <v>Bicycle, electric (&lt;25 km/h) - 2020 - NMC - CH</v>
      </c>
      <c r="B55" t="s">
        <v>264</v>
      </c>
      <c r="D55" s="18">
        <v>2020</v>
      </c>
      <c r="E55" t="s">
        <v>37</v>
      </c>
      <c r="F55" t="s">
        <v>138</v>
      </c>
      <c r="G55" t="s">
        <v>39</v>
      </c>
      <c r="H55" t="s">
        <v>32</v>
      </c>
      <c r="I55" t="s">
        <v>43</v>
      </c>
      <c r="J55" t="s">
        <v>570</v>
      </c>
      <c r="L55" s="24">
        <v>0</v>
      </c>
      <c r="M55" s="24">
        <v>0</v>
      </c>
      <c r="N55" s="24">
        <v>1.5173567960250059E-4</v>
      </c>
      <c r="O55" s="24">
        <v>1.195732624675443E-3</v>
      </c>
      <c r="P55" s="24">
        <v>4.5179813632008798E-4</v>
      </c>
      <c r="Q55" s="24">
        <v>1.328900195020182E-2</v>
      </c>
      <c r="R55" s="24">
        <v>1.5088268390799851E-2</v>
      </c>
      <c r="S55" s="26">
        <v>0</v>
      </c>
      <c r="T55" s="26">
        <v>0</v>
      </c>
      <c r="U55" s="26">
        <v>8.6491252881602508E-5</v>
      </c>
      <c r="V55" s="26">
        <v>9.8317473549625417E-5</v>
      </c>
      <c r="W55" s="26">
        <v>2.854805823298327E-5</v>
      </c>
      <c r="X55" s="26">
        <v>1.255020670214965E-2</v>
      </c>
      <c r="Y55" s="26">
        <v>1.2763563486813862E-2</v>
      </c>
      <c r="Z55" s="28">
        <v>0</v>
      </c>
      <c r="AA55" s="28">
        <v>1.3758060237990489E-3</v>
      </c>
      <c r="AB55" s="28">
        <v>1.5261971665741149E-5</v>
      </c>
      <c r="AC55" s="28">
        <v>2.3968260093961618E-5</v>
      </c>
      <c r="AD55" s="28">
        <v>1.2976972032129591E-5</v>
      </c>
      <c r="AE55" s="28">
        <v>1.184976064930756E-3</v>
      </c>
      <c r="AF55" s="28">
        <v>2.6129892925216371E-3</v>
      </c>
      <c r="AG55" s="30">
        <v>0</v>
      </c>
      <c r="AH55" s="30">
        <v>7.228237882960114E-6</v>
      </c>
      <c r="AI55" s="30">
        <v>5.7195725930249998E-5</v>
      </c>
      <c r="AJ55" s="30">
        <v>8.5554174677296554E-5</v>
      </c>
      <c r="AK55" s="30">
        <v>1.2111076557635849E-5</v>
      </c>
      <c r="AL55" s="30">
        <v>3.2773028407887422E-3</v>
      </c>
      <c r="AM55" s="30">
        <v>3.4393920558368849E-3</v>
      </c>
      <c r="AN55" s="32">
        <v>0</v>
      </c>
      <c r="AO55" s="32">
        <v>5.1842725945187069E-6</v>
      </c>
      <c r="AP55" s="32">
        <v>1.3512839746900889E-7</v>
      </c>
      <c r="AQ55" s="32">
        <v>6.5490648626579012E-8</v>
      </c>
      <c r="AR55" s="32">
        <v>4.7820751040050032E-8</v>
      </c>
      <c r="AS55" s="32">
        <v>2.5259502359604321E-6</v>
      </c>
      <c r="AT55" s="32">
        <v>7.9586626276147763E-6</v>
      </c>
      <c r="AU55" s="34">
        <v>0</v>
      </c>
      <c r="AV55" s="34">
        <v>0</v>
      </c>
      <c r="AW55" s="34">
        <v>1.5117612549304556E-3</v>
      </c>
      <c r="AX55" s="34">
        <v>2.01770987761535E-2</v>
      </c>
      <c r="AY55" s="34">
        <v>1.4800612509593357E-2</v>
      </c>
      <c r="AZ55" s="34">
        <v>0.17731219978001517</v>
      </c>
      <c r="BA55" s="34">
        <v>0.21380167232069247</v>
      </c>
      <c r="BB55" s="6"/>
      <c r="BC55" s="6"/>
      <c r="BD55" t="s">
        <v>899</v>
      </c>
      <c r="BF55" s="5">
        <v>1.0108142000000001E-2</v>
      </c>
      <c r="BG55" s="5">
        <f t="shared" si="1"/>
        <v>-4.9801263907998505E-3</v>
      </c>
      <c r="BH55" s="2">
        <v>30.324580000000001</v>
      </c>
    </row>
    <row r="56" spans="1:60" x14ac:dyDescent="0.2">
      <c r="A56" t="str">
        <f t="shared" si="4"/>
        <v>Bicycle, electric (&lt;25 km/h) - 2030 - NMC - CH</v>
      </c>
      <c r="B56" t="s">
        <v>264</v>
      </c>
      <c r="D56" s="18">
        <v>2030</v>
      </c>
      <c r="E56" t="s">
        <v>37</v>
      </c>
      <c r="F56" t="s">
        <v>138</v>
      </c>
      <c r="G56" t="s">
        <v>39</v>
      </c>
      <c r="H56" t="s">
        <v>32</v>
      </c>
      <c r="I56" t="s">
        <v>43</v>
      </c>
      <c r="J56" t="s">
        <v>570</v>
      </c>
      <c r="L56" s="24">
        <v>0</v>
      </c>
      <c r="M56" s="24">
        <v>0</v>
      </c>
      <c r="N56" s="24">
        <v>1.5173567960250059E-4</v>
      </c>
      <c r="O56" s="24">
        <v>1.195732624675443E-3</v>
      </c>
      <c r="P56" s="24">
        <v>4.5014419855824448E-4</v>
      </c>
      <c r="Q56" s="24">
        <v>1.3056994186893239E-2</v>
      </c>
      <c r="R56" s="24">
        <v>1.4854606689729427E-2</v>
      </c>
      <c r="S56" s="26">
        <v>0</v>
      </c>
      <c r="T56" s="26">
        <v>0</v>
      </c>
      <c r="U56" s="26">
        <v>8.6491252881602508E-5</v>
      </c>
      <c r="V56" s="26">
        <v>9.8317473549625417E-5</v>
      </c>
      <c r="W56" s="26">
        <v>2.844354980821769E-5</v>
      </c>
      <c r="X56" s="26">
        <v>1.0701410048596829E-2</v>
      </c>
      <c r="Y56" s="26">
        <v>1.0914662324836275E-2</v>
      </c>
      <c r="Z56" s="28">
        <v>0</v>
      </c>
      <c r="AA56" s="28">
        <v>1.3758060237990489E-3</v>
      </c>
      <c r="AB56" s="28">
        <v>1.5261971665741149E-5</v>
      </c>
      <c r="AC56" s="28">
        <v>2.3968260093961618E-5</v>
      </c>
      <c r="AD56" s="28">
        <v>1.2929466072381411E-5</v>
      </c>
      <c r="AE56" s="28">
        <v>1.0694494518561149E-3</v>
      </c>
      <c r="AF56" s="28">
        <v>2.4974151734872482E-3</v>
      </c>
      <c r="AG56" s="30">
        <v>0</v>
      </c>
      <c r="AH56" s="30">
        <v>7.228237882960114E-6</v>
      </c>
      <c r="AI56" s="30">
        <v>5.7195725930249998E-5</v>
      </c>
      <c r="AJ56" s="30">
        <v>8.5554174677296554E-5</v>
      </c>
      <c r="AK56" s="30">
        <v>1.2066740458734681E-5</v>
      </c>
      <c r="AL56" s="30">
        <v>3.0150227021893518E-3</v>
      </c>
      <c r="AM56" s="30">
        <v>3.177067581138593E-3</v>
      </c>
      <c r="AN56" s="32">
        <v>0</v>
      </c>
      <c r="AO56" s="32">
        <v>5.1842725945187069E-6</v>
      </c>
      <c r="AP56" s="32">
        <v>1.3512839746900889E-7</v>
      </c>
      <c r="AQ56" s="32">
        <v>6.5490648626579012E-8</v>
      </c>
      <c r="AR56" s="32">
        <v>4.7645689348585192E-8</v>
      </c>
      <c r="AS56" s="32">
        <v>2.2001424793828139E-6</v>
      </c>
      <c r="AT56" s="32">
        <v>7.6326798093456933E-6</v>
      </c>
      <c r="AU56" s="34">
        <v>0</v>
      </c>
      <c r="AV56" s="34">
        <v>0</v>
      </c>
      <c r="AW56" s="34">
        <v>1.5117612549304556E-3</v>
      </c>
      <c r="AX56" s="34">
        <v>2.01770987761535E-2</v>
      </c>
      <c r="AY56" s="34">
        <v>1.4746430586384435E-2</v>
      </c>
      <c r="AZ56" s="34">
        <v>0.16997936361743826</v>
      </c>
      <c r="BA56" s="34">
        <v>0.20641465423490665</v>
      </c>
      <c r="BB56" s="6"/>
      <c r="BC56" s="6"/>
      <c r="BD56" t="s">
        <v>619</v>
      </c>
      <c r="BF56" s="5">
        <v>9.8103290999999992E-3</v>
      </c>
      <c r="BG56" s="5">
        <f t="shared" si="1"/>
        <v>-5.0442775897294283E-3</v>
      </c>
      <c r="BH56" s="2">
        <v>26.837948999999998</v>
      </c>
    </row>
    <row r="57" spans="1:60" x14ac:dyDescent="0.2">
      <c r="A57" t="str">
        <f t="shared" si="4"/>
        <v>Bicycle, electric (&lt;25 km/h) - 2040 - NMC - CH</v>
      </c>
      <c r="B57" t="s">
        <v>264</v>
      </c>
      <c r="D57" s="18">
        <v>2040</v>
      </c>
      <c r="E57" t="s">
        <v>37</v>
      </c>
      <c r="F57" t="s">
        <v>138</v>
      </c>
      <c r="G57" t="s">
        <v>39</v>
      </c>
      <c r="H57" t="s">
        <v>32</v>
      </c>
      <c r="I57" t="s">
        <v>43</v>
      </c>
      <c r="J57" t="s">
        <v>570</v>
      </c>
      <c r="L57" s="24">
        <v>0</v>
      </c>
      <c r="M57" s="24">
        <v>0</v>
      </c>
      <c r="N57" s="24">
        <v>1.5173567960250059E-4</v>
      </c>
      <c r="O57" s="24">
        <v>1.195732624675443E-3</v>
      </c>
      <c r="P57" s="24">
        <v>4.472460140397849E-4</v>
      </c>
      <c r="Q57" s="24">
        <v>1.2680690138179381E-2</v>
      </c>
      <c r="R57" s="24">
        <v>1.447540445649711E-2</v>
      </c>
      <c r="S57" s="26">
        <v>0</v>
      </c>
      <c r="T57" s="26">
        <v>0</v>
      </c>
      <c r="U57" s="26">
        <v>8.6491252881602508E-5</v>
      </c>
      <c r="V57" s="26">
        <v>9.8317473549625417E-5</v>
      </c>
      <c r="W57" s="26">
        <v>2.8260420366655981E-5</v>
      </c>
      <c r="X57" s="26">
        <v>9.0507226984678068E-3</v>
      </c>
      <c r="Y57" s="26">
        <v>9.2637918452656912E-3</v>
      </c>
      <c r="Z57" s="28">
        <v>0</v>
      </c>
      <c r="AA57" s="28">
        <v>1.3758060237990489E-3</v>
      </c>
      <c r="AB57" s="28">
        <v>1.5261971665741149E-5</v>
      </c>
      <c r="AC57" s="28">
        <v>2.3968260093961618E-5</v>
      </c>
      <c r="AD57" s="28">
        <v>1.284622168419881E-5</v>
      </c>
      <c r="AE57" s="28">
        <v>9.5824877247864082E-4</v>
      </c>
      <c r="AF57" s="28">
        <v>2.3861312497215912E-3</v>
      </c>
      <c r="AG57" s="30">
        <v>0</v>
      </c>
      <c r="AH57" s="30">
        <v>7.228237882960114E-6</v>
      </c>
      <c r="AI57" s="30">
        <v>5.7195725930249998E-5</v>
      </c>
      <c r="AJ57" s="30">
        <v>8.5554174677296554E-5</v>
      </c>
      <c r="AK57" s="30">
        <v>1.1989050597357409E-5</v>
      </c>
      <c r="AL57" s="30">
        <v>2.752316042919872E-3</v>
      </c>
      <c r="AM57" s="30">
        <v>2.9142832320077361E-3</v>
      </c>
      <c r="AN57" s="32">
        <v>0</v>
      </c>
      <c r="AO57" s="32">
        <v>5.1842725945187069E-6</v>
      </c>
      <c r="AP57" s="32">
        <v>1.3512839746900889E-7</v>
      </c>
      <c r="AQ57" s="32">
        <v>6.5490648626579012E-8</v>
      </c>
      <c r="AR57" s="32">
        <v>4.7338929870880761E-8</v>
      </c>
      <c r="AS57" s="32">
        <v>1.9062727272207299E-6</v>
      </c>
      <c r="AT57" s="32">
        <v>7.3385032977059051E-6</v>
      </c>
      <c r="AU57" s="34">
        <v>0</v>
      </c>
      <c r="AV57" s="34">
        <v>0</v>
      </c>
      <c r="AW57" s="34">
        <v>1.5117612549304556E-3</v>
      </c>
      <c r="AX57" s="34">
        <v>2.01770987761535E-2</v>
      </c>
      <c r="AY57" s="34">
        <v>1.4651487950302742E-2</v>
      </c>
      <c r="AZ57" s="34">
        <v>0.16168134792499275</v>
      </c>
      <c r="BA57" s="34">
        <v>0.19802169590637944</v>
      </c>
      <c r="BB57" s="6"/>
      <c r="BC57" s="6"/>
      <c r="BD57" t="s">
        <v>620</v>
      </c>
      <c r="BF57" s="5">
        <v>9.4696734999999994E-3</v>
      </c>
      <c r="BG57" s="5">
        <f t="shared" si="1"/>
        <v>-5.0057309564971106E-3</v>
      </c>
      <c r="BH57" s="2">
        <v>23.725239999999999</v>
      </c>
    </row>
    <row r="58" spans="1:60" x14ac:dyDescent="0.2">
      <c r="A58" t="str">
        <f t="shared" si="4"/>
        <v>Bicycle, electric (&lt;25 km/h) - 2050 - NMC - CH</v>
      </c>
      <c r="B58" t="s">
        <v>264</v>
      </c>
      <c r="D58" s="18">
        <v>2050</v>
      </c>
      <c r="E58" t="s">
        <v>37</v>
      </c>
      <c r="F58" t="s">
        <v>138</v>
      </c>
      <c r="G58" t="s">
        <v>39</v>
      </c>
      <c r="H58" t="s">
        <v>32</v>
      </c>
      <c r="I58" t="s">
        <v>43</v>
      </c>
      <c r="J58" t="s">
        <v>570</v>
      </c>
      <c r="L58" s="24">
        <v>0</v>
      </c>
      <c r="M58" s="24">
        <v>0</v>
      </c>
      <c r="N58" s="24">
        <v>1.5173567960250059E-4</v>
      </c>
      <c r="O58" s="24">
        <v>1.195732624675443E-3</v>
      </c>
      <c r="P58" s="24">
        <v>4.4829300216425461E-4</v>
      </c>
      <c r="Q58" s="24">
        <v>1.306679777444421E-2</v>
      </c>
      <c r="R58" s="24">
        <v>1.4862559080886408E-2</v>
      </c>
      <c r="S58" s="26">
        <v>0</v>
      </c>
      <c r="T58" s="26">
        <v>0</v>
      </c>
      <c r="U58" s="26">
        <v>8.6491252881602508E-5</v>
      </c>
      <c r="V58" s="26">
        <v>9.8317473549625417E-5</v>
      </c>
      <c r="W58" s="26">
        <v>2.832657707591125E-5</v>
      </c>
      <c r="X58" s="26">
        <v>8.8779769286049474E-3</v>
      </c>
      <c r="Y58" s="26">
        <v>9.0911122321120866E-3</v>
      </c>
      <c r="Z58" s="28">
        <v>0</v>
      </c>
      <c r="AA58" s="28">
        <v>1.3758060237990489E-3</v>
      </c>
      <c r="AB58" s="28">
        <v>1.5261971665741149E-5</v>
      </c>
      <c r="AC58" s="28">
        <v>2.3968260093961618E-5</v>
      </c>
      <c r="AD58" s="28">
        <v>1.2876294264222889E-5</v>
      </c>
      <c r="AE58" s="28">
        <v>9.6652043551671634E-4</v>
      </c>
      <c r="AF58" s="28">
        <v>2.3944329853396906E-3</v>
      </c>
      <c r="AG58" s="30">
        <v>0</v>
      </c>
      <c r="AH58" s="30">
        <v>7.228237882960114E-6</v>
      </c>
      <c r="AI58" s="30">
        <v>5.7195725930249998E-5</v>
      </c>
      <c r="AJ58" s="30">
        <v>8.5554174677296554E-5</v>
      </c>
      <c r="AK58" s="30">
        <v>1.201711656822145E-5</v>
      </c>
      <c r="AL58" s="30">
        <v>2.7911608441172149E-3</v>
      </c>
      <c r="AM58" s="30">
        <v>2.9531560991759428E-3</v>
      </c>
      <c r="AN58" s="32">
        <v>0</v>
      </c>
      <c r="AO58" s="32">
        <v>5.1842725945187069E-6</v>
      </c>
      <c r="AP58" s="32">
        <v>1.3512839746900889E-7</v>
      </c>
      <c r="AQ58" s="32">
        <v>6.5490648626579012E-8</v>
      </c>
      <c r="AR58" s="32">
        <v>4.7449748739789693E-8</v>
      </c>
      <c r="AS58" s="32">
        <v>1.883034516292265E-6</v>
      </c>
      <c r="AT58" s="32">
        <v>7.3153759056463493E-6</v>
      </c>
      <c r="AU58" s="34">
        <v>0</v>
      </c>
      <c r="AV58" s="34">
        <v>0</v>
      </c>
      <c r="AW58" s="34">
        <v>1.5117612549304556E-3</v>
      </c>
      <c r="AX58" s="34">
        <v>2.01770987761535E-2</v>
      </c>
      <c r="AY58" s="34">
        <v>1.4685786598939585E-2</v>
      </c>
      <c r="AZ58" s="34">
        <v>0.16523630757397889</v>
      </c>
      <c r="BA58" s="34">
        <v>0.20161095420400243</v>
      </c>
      <c r="BB58" s="6"/>
      <c r="BC58" s="6"/>
      <c r="BD58" t="s">
        <v>621</v>
      </c>
      <c r="BF58" s="5">
        <v>9.6075623000000006E-3</v>
      </c>
      <c r="BG58" s="5">
        <f t="shared" si="1"/>
        <v>-5.2549967808864072E-3</v>
      </c>
      <c r="BH58" s="2">
        <v>23.365870999999999</v>
      </c>
    </row>
    <row r="59" spans="1:60" x14ac:dyDescent="0.2">
      <c r="A59" t="str">
        <f t="shared" si="4"/>
        <v>Bicycle, electric (&lt;45 km/h) - 2020 - NMC - CH</v>
      </c>
      <c r="B59" t="s">
        <v>265</v>
      </c>
      <c r="D59" s="18">
        <v>2020</v>
      </c>
      <c r="E59" t="s">
        <v>37</v>
      </c>
      <c r="F59" t="s">
        <v>138</v>
      </c>
      <c r="G59" t="s">
        <v>39</v>
      </c>
      <c r="H59" t="s">
        <v>32</v>
      </c>
      <c r="I59" t="s">
        <v>43</v>
      </c>
      <c r="J59" t="s">
        <v>570</v>
      </c>
      <c r="L59" s="24">
        <v>0</v>
      </c>
      <c r="M59" s="24">
        <v>0</v>
      </c>
      <c r="N59" s="24">
        <v>2.7867064536129458E-4</v>
      </c>
      <c r="O59" s="24">
        <v>1.195732624675443E-3</v>
      </c>
      <c r="P59" s="24">
        <v>4.7000662544130072E-4</v>
      </c>
      <c r="Q59" s="24">
        <v>9.8334853630012153E-3</v>
      </c>
      <c r="R59" s="24">
        <v>1.1777895258479254E-2</v>
      </c>
      <c r="S59" s="26">
        <v>0</v>
      </c>
      <c r="T59" s="26">
        <v>0</v>
      </c>
      <c r="U59" s="26">
        <v>1.5884578578857799E-4</v>
      </c>
      <c r="V59" s="26">
        <v>9.8317473549625417E-5</v>
      </c>
      <c r="W59" s="26">
        <v>2.9698609698292419E-5</v>
      </c>
      <c r="X59" s="26">
        <v>8.5991611819644376E-3</v>
      </c>
      <c r="Y59" s="26">
        <v>8.8860230510009342E-3</v>
      </c>
      <c r="Z59" s="28">
        <v>0</v>
      </c>
      <c r="AA59" s="28">
        <v>1.3758060237990489E-3</v>
      </c>
      <c r="AB59" s="28">
        <v>2.8029422642845481E-5</v>
      </c>
      <c r="AC59" s="28">
        <v>2.3968260093961618E-5</v>
      </c>
      <c r="AD59" s="28">
        <v>1.3499973423852701E-5</v>
      </c>
      <c r="AE59" s="28">
        <v>8.3795777881196366E-4</v>
      </c>
      <c r="AF59" s="28">
        <v>2.2792614587716724E-3</v>
      </c>
      <c r="AG59" s="30">
        <v>0</v>
      </c>
      <c r="AH59" s="30">
        <v>7.228237882960114E-6</v>
      </c>
      <c r="AI59" s="30">
        <v>1.050429925159661E-4</v>
      </c>
      <c r="AJ59" s="30">
        <v>8.5554174677296554E-5</v>
      </c>
      <c r="AK59" s="30">
        <v>1.259918039874964E-5</v>
      </c>
      <c r="AL59" s="30">
        <v>2.343476825969153E-3</v>
      </c>
      <c r="AM59" s="30">
        <v>2.5539014114441256E-3</v>
      </c>
      <c r="AN59" s="32">
        <v>0</v>
      </c>
      <c r="AO59" s="32">
        <v>5.1842725945187069E-6</v>
      </c>
      <c r="AP59" s="32">
        <v>2.4817048849666651E-7</v>
      </c>
      <c r="AQ59" s="32">
        <v>6.5490648626579012E-8</v>
      </c>
      <c r="AR59" s="32">
        <v>4.974803571672711E-8</v>
      </c>
      <c r="AS59" s="32">
        <v>1.770597549801543E-6</v>
      </c>
      <c r="AT59" s="32">
        <v>7.3182793171602223E-6</v>
      </c>
      <c r="AU59" s="34">
        <v>0</v>
      </c>
      <c r="AV59" s="34">
        <v>0</v>
      </c>
      <c r="AW59" s="34">
        <v>2.7764299448046754E-3</v>
      </c>
      <c r="AX59" s="34">
        <v>2.01770987761535E-2</v>
      </c>
      <c r="AY59" s="34">
        <v>1.5397110746755812E-2</v>
      </c>
      <c r="AZ59" s="34">
        <v>0.12966140408035057</v>
      </c>
      <c r="BA59" s="34">
        <v>0.16801204354806454</v>
      </c>
      <c r="BB59" s="6"/>
      <c r="BC59" s="6"/>
      <c r="BD59" t="s">
        <v>900</v>
      </c>
      <c r="BF59" s="5">
        <v>7.9732819999999999E-3</v>
      </c>
      <c r="BG59" s="5">
        <f t="shared" si="1"/>
        <v>-3.8046132584792537E-3</v>
      </c>
      <c r="BH59" s="2">
        <v>22.508680999999999</v>
      </c>
    </row>
    <row r="60" spans="1:60" x14ac:dyDescent="0.2">
      <c r="A60" t="str">
        <f t="shared" si="4"/>
        <v>Bicycle, electric (&lt;45 km/h) - 2030 - NMC - CH</v>
      </c>
      <c r="B60" t="s">
        <v>265</v>
      </c>
      <c r="D60" s="18">
        <v>2030</v>
      </c>
      <c r="E60" t="s">
        <v>37</v>
      </c>
      <c r="F60" t="s">
        <v>138</v>
      </c>
      <c r="G60" t="s">
        <v>39</v>
      </c>
      <c r="H60" t="s">
        <v>32</v>
      </c>
      <c r="I60" t="s">
        <v>43</v>
      </c>
      <c r="J60" t="s">
        <v>570</v>
      </c>
      <c r="L60" s="24">
        <v>0</v>
      </c>
      <c r="M60" s="24">
        <v>0</v>
      </c>
      <c r="N60" s="24">
        <v>2.7867064536129458E-4</v>
      </c>
      <c r="O60" s="24">
        <v>1.195732624675443E-3</v>
      </c>
      <c r="P60" s="24">
        <v>4.6794299667422991E-4</v>
      </c>
      <c r="Q60" s="24">
        <v>9.7775443944006918E-3</v>
      </c>
      <c r="R60" s="24">
        <v>1.1719890661111659E-2</v>
      </c>
      <c r="S60" s="26">
        <v>0</v>
      </c>
      <c r="T60" s="26">
        <v>0</v>
      </c>
      <c r="U60" s="26">
        <v>1.5884578578857799E-4</v>
      </c>
      <c r="V60" s="26">
        <v>9.8317473549625417E-5</v>
      </c>
      <c r="W60" s="26">
        <v>2.956821386555738E-5</v>
      </c>
      <c r="X60" s="26">
        <v>7.3846488576314673E-3</v>
      </c>
      <c r="Y60" s="26">
        <v>7.6713803308352283E-3</v>
      </c>
      <c r="Z60" s="28">
        <v>0</v>
      </c>
      <c r="AA60" s="28">
        <v>1.3758060237990489E-3</v>
      </c>
      <c r="AB60" s="28">
        <v>2.8029422642845481E-5</v>
      </c>
      <c r="AC60" s="28">
        <v>2.3968260093961618E-5</v>
      </c>
      <c r="AD60" s="28">
        <v>1.3440699932790739E-5</v>
      </c>
      <c r="AE60" s="28">
        <v>7.665730032181484E-4</v>
      </c>
      <c r="AF60" s="28">
        <v>2.2078174096867953E-3</v>
      </c>
      <c r="AG60" s="30">
        <v>0</v>
      </c>
      <c r="AH60" s="30">
        <v>7.228237882960114E-6</v>
      </c>
      <c r="AI60" s="30">
        <v>1.050429925159661E-4</v>
      </c>
      <c r="AJ60" s="30">
        <v>8.5554174677296554E-5</v>
      </c>
      <c r="AK60" s="30">
        <v>1.2543861963423409E-5</v>
      </c>
      <c r="AL60" s="30">
        <v>2.1876111027913561E-3</v>
      </c>
      <c r="AM60" s="30">
        <v>2.3979803698310023E-3</v>
      </c>
      <c r="AN60" s="32">
        <v>0</v>
      </c>
      <c r="AO60" s="32">
        <v>5.1842725945187069E-6</v>
      </c>
      <c r="AP60" s="32">
        <v>2.4817048849666651E-7</v>
      </c>
      <c r="AQ60" s="32">
        <v>6.5490648626579012E-8</v>
      </c>
      <c r="AR60" s="32">
        <v>4.9529610120037038E-8</v>
      </c>
      <c r="AS60" s="32">
        <v>1.557545808442301E-6</v>
      </c>
      <c r="AT60" s="32">
        <v>7.1050091502042901E-6</v>
      </c>
      <c r="AU60" s="34">
        <v>0</v>
      </c>
      <c r="AV60" s="34">
        <v>0</v>
      </c>
      <c r="AW60" s="34">
        <v>2.7764299448046754E-3</v>
      </c>
      <c r="AX60" s="34">
        <v>2.01770987761535E-2</v>
      </c>
      <c r="AY60" s="34">
        <v>1.5329507613210733E-2</v>
      </c>
      <c r="AZ60" s="34">
        <v>0.12583044321433179</v>
      </c>
      <c r="BA60" s="34">
        <v>0.1641134795485007</v>
      </c>
      <c r="BB60" s="6"/>
      <c r="BC60" s="6"/>
      <c r="BD60" t="s">
        <v>622</v>
      </c>
      <c r="BF60" s="5">
        <v>7.814128699999999E-3</v>
      </c>
      <c r="BG60" s="5">
        <f t="shared" si="1"/>
        <v>-3.9057619611116597E-3</v>
      </c>
      <c r="BH60" s="2">
        <v>20.203738999999999</v>
      </c>
    </row>
    <row r="61" spans="1:60" x14ac:dyDescent="0.2">
      <c r="A61" t="str">
        <f t="shared" si="4"/>
        <v>Bicycle, electric (&lt;45 km/h) - 2040 - NMC - CH</v>
      </c>
      <c r="B61" t="s">
        <v>265</v>
      </c>
      <c r="D61" s="18">
        <v>2040</v>
      </c>
      <c r="E61" t="s">
        <v>37</v>
      </c>
      <c r="F61" t="s">
        <v>138</v>
      </c>
      <c r="G61" t="s">
        <v>39</v>
      </c>
      <c r="H61" t="s">
        <v>32</v>
      </c>
      <c r="I61" t="s">
        <v>43</v>
      </c>
      <c r="J61" t="s">
        <v>570</v>
      </c>
      <c r="L61" s="24">
        <v>0</v>
      </c>
      <c r="M61" s="24">
        <v>0</v>
      </c>
      <c r="N61" s="24">
        <v>2.7867064536129458E-4</v>
      </c>
      <c r="O61" s="24">
        <v>1.195732624675443E-3</v>
      </c>
      <c r="P61" s="24">
        <v>4.6431647259092168E-4</v>
      </c>
      <c r="Q61" s="24">
        <v>9.5761609501335328E-3</v>
      </c>
      <c r="R61" s="24">
        <v>1.1514880692761192E-2</v>
      </c>
      <c r="S61" s="26">
        <v>0</v>
      </c>
      <c r="T61" s="26">
        <v>0</v>
      </c>
      <c r="U61" s="26">
        <v>1.5884578578857799E-4</v>
      </c>
      <c r="V61" s="26">
        <v>9.8317473549625417E-5</v>
      </c>
      <c r="W61" s="26">
        <v>2.9339062365383309E-5</v>
      </c>
      <c r="X61" s="26">
        <v>6.2810377629805309E-3</v>
      </c>
      <c r="Y61" s="26">
        <v>6.5675400846841175E-3</v>
      </c>
      <c r="Z61" s="28">
        <v>0</v>
      </c>
      <c r="AA61" s="28">
        <v>1.3758060237990489E-3</v>
      </c>
      <c r="AB61" s="28">
        <v>2.8029422642845481E-5</v>
      </c>
      <c r="AC61" s="28">
        <v>2.3968260093961618E-5</v>
      </c>
      <c r="AD61" s="28">
        <v>1.3336535488939229E-5</v>
      </c>
      <c r="AE61" s="28">
        <v>6.9443754179633642E-4</v>
      </c>
      <c r="AF61" s="28">
        <v>2.1355777838211317E-3</v>
      </c>
      <c r="AG61" s="30">
        <v>0</v>
      </c>
      <c r="AH61" s="30">
        <v>7.228237882960114E-6</v>
      </c>
      <c r="AI61" s="30">
        <v>1.050429925159661E-4</v>
      </c>
      <c r="AJ61" s="30">
        <v>8.5554174677296554E-5</v>
      </c>
      <c r="AK61" s="30">
        <v>1.244664794840158E-5</v>
      </c>
      <c r="AL61" s="30">
        <v>2.016975262949929E-3</v>
      </c>
      <c r="AM61" s="30">
        <v>2.2272473159745533E-3</v>
      </c>
      <c r="AN61" s="32">
        <v>0</v>
      </c>
      <c r="AO61" s="32">
        <v>5.1842725945187069E-6</v>
      </c>
      <c r="AP61" s="32">
        <v>2.4817048849666651E-7</v>
      </c>
      <c r="AQ61" s="32">
        <v>6.5490648626579012E-8</v>
      </c>
      <c r="AR61" s="32">
        <v>4.9145759255265523E-8</v>
      </c>
      <c r="AS61" s="32">
        <v>1.3622947149483109E-6</v>
      </c>
      <c r="AT61" s="32">
        <v>6.9093742058455284E-6</v>
      </c>
      <c r="AU61" s="34">
        <v>0</v>
      </c>
      <c r="AV61" s="34">
        <v>0</v>
      </c>
      <c r="AW61" s="34">
        <v>2.7764299448046754E-3</v>
      </c>
      <c r="AX61" s="34">
        <v>2.01770987761535E-2</v>
      </c>
      <c r="AY61" s="34">
        <v>1.5210705047642539E-2</v>
      </c>
      <c r="AZ61" s="34">
        <v>0.12081974100548248</v>
      </c>
      <c r="BA61" s="34">
        <v>0.15898397477408321</v>
      </c>
      <c r="BB61" s="6"/>
      <c r="BC61" s="6"/>
      <c r="BD61" t="s">
        <v>623</v>
      </c>
      <c r="BF61" s="5">
        <v>7.6003578000000006E-3</v>
      </c>
      <c r="BG61" s="5">
        <f t="shared" si="1"/>
        <v>-3.9145228927611915E-3</v>
      </c>
      <c r="BH61" s="2">
        <v>18.105080000000001</v>
      </c>
    </row>
    <row r="62" spans="1:60" x14ac:dyDescent="0.2">
      <c r="A62" t="str">
        <f t="shared" si="4"/>
        <v>Bicycle, electric (&lt;45 km/h) - 2050 - NMC - CH</v>
      </c>
      <c r="B62" t="s">
        <v>265</v>
      </c>
      <c r="D62" s="18">
        <v>2050</v>
      </c>
      <c r="E62" t="s">
        <v>37</v>
      </c>
      <c r="F62" t="s">
        <v>138</v>
      </c>
      <c r="G62" t="s">
        <v>39</v>
      </c>
      <c r="H62" t="s">
        <v>32</v>
      </c>
      <c r="I62" t="s">
        <v>43</v>
      </c>
      <c r="J62" t="s">
        <v>570</v>
      </c>
      <c r="L62" s="24">
        <v>0</v>
      </c>
      <c r="M62" s="24">
        <v>0</v>
      </c>
      <c r="N62" s="24">
        <v>2.7867064536129458E-4</v>
      </c>
      <c r="O62" s="24">
        <v>1.195732624675443E-3</v>
      </c>
      <c r="P62" s="24">
        <v>4.6509033337857321E-4</v>
      </c>
      <c r="Q62" s="24">
        <v>9.8993866474147967E-3</v>
      </c>
      <c r="R62" s="24">
        <v>1.1838880250830108E-2</v>
      </c>
      <c r="S62" s="26">
        <v>0</v>
      </c>
      <c r="T62" s="26">
        <v>0</v>
      </c>
      <c r="U62" s="26">
        <v>1.5884578578857799E-4</v>
      </c>
      <c r="V62" s="26">
        <v>9.8317473549625417E-5</v>
      </c>
      <c r="W62" s="26">
        <v>2.9387960802658939E-5</v>
      </c>
      <c r="X62" s="26">
        <v>6.17788644576912E-3</v>
      </c>
      <c r="Y62" s="26">
        <v>6.4644376659099825E-3</v>
      </c>
      <c r="Z62" s="28">
        <v>0</v>
      </c>
      <c r="AA62" s="28">
        <v>1.3758060237990489E-3</v>
      </c>
      <c r="AB62" s="28">
        <v>2.8029422642845481E-5</v>
      </c>
      <c r="AC62" s="28">
        <v>2.3968260093961618E-5</v>
      </c>
      <c r="AD62" s="28">
        <v>1.335876304808745E-5</v>
      </c>
      <c r="AE62" s="28">
        <v>7.0370729650907275E-4</v>
      </c>
      <c r="AF62" s="28">
        <v>2.1448697660930161E-3</v>
      </c>
      <c r="AG62" s="30">
        <v>0</v>
      </c>
      <c r="AH62" s="30">
        <v>7.228237882960114E-6</v>
      </c>
      <c r="AI62" s="30">
        <v>1.050429925159661E-4</v>
      </c>
      <c r="AJ62" s="30">
        <v>8.5554174677296554E-5</v>
      </c>
      <c r="AK62" s="30">
        <v>1.246739236164892E-5</v>
      </c>
      <c r="AL62" s="30">
        <v>2.0555302742088799E-3</v>
      </c>
      <c r="AM62" s="30">
        <v>2.2658230716467516E-3</v>
      </c>
      <c r="AN62" s="32">
        <v>0</v>
      </c>
      <c r="AO62" s="32">
        <v>5.1842725945187069E-6</v>
      </c>
      <c r="AP62" s="32">
        <v>2.4817048849666651E-7</v>
      </c>
      <c r="AQ62" s="32">
        <v>6.5490648626579012E-8</v>
      </c>
      <c r="AR62" s="32">
        <v>4.9227668854024287E-8</v>
      </c>
      <c r="AS62" s="32">
        <v>1.349571522177053E-6</v>
      </c>
      <c r="AT62" s="32">
        <v>6.8967329226730297E-6</v>
      </c>
      <c r="AU62" s="34">
        <v>0</v>
      </c>
      <c r="AV62" s="34">
        <v>0</v>
      </c>
      <c r="AW62" s="34">
        <v>2.7764299448046754E-3</v>
      </c>
      <c r="AX62" s="34">
        <v>2.01770987761535E-2</v>
      </c>
      <c r="AY62" s="34">
        <v>1.5236056222721946E-2</v>
      </c>
      <c r="AZ62" s="34">
        <v>0.12389477893190831</v>
      </c>
      <c r="BA62" s="34">
        <v>0.16208436387558844</v>
      </c>
      <c r="BB62" s="6"/>
      <c r="BC62" s="6"/>
      <c r="BD62" t="s">
        <v>624</v>
      </c>
      <c r="BF62" s="5">
        <v>7.7195110999999997E-3</v>
      </c>
      <c r="BG62" s="5">
        <f t="shared" si="1"/>
        <v>-4.1193691508301083E-3</v>
      </c>
      <c r="BH62" s="2">
        <v>17.880268000000001</v>
      </c>
    </row>
    <row r="63" spans="1:60" x14ac:dyDescent="0.2">
      <c r="A63" t="str">
        <f t="shared" si="4"/>
        <v>Bicycle, electric, cargo bike - 2020 - NMC - CH</v>
      </c>
      <c r="B63" t="s">
        <v>271</v>
      </c>
      <c r="D63" s="18">
        <v>2020</v>
      </c>
      <c r="E63" t="s">
        <v>37</v>
      </c>
      <c r="F63" t="s">
        <v>138</v>
      </c>
      <c r="G63" t="s">
        <v>39</v>
      </c>
      <c r="H63" t="s">
        <v>32</v>
      </c>
      <c r="I63" t="s">
        <v>43</v>
      </c>
      <c r="J63" t="s">
        <v>570</v>
      </c>
      <c r="L63" s="24">
        <v>0</v>
      </c>
      <c r="M63" s="24">
        <v>0</v>
      </c>
      <c r="N63" s="24">
        <v>2.1347201307001551E-4</v>
      </c>
      <c r="O63" s="24">
        <v>1.195732624675443E-3</v>
      </c>
      <c r="P63" s="24">
        <v>7.7499881822161193E-4</v>
      </c>
      <c r="Q63" s="24">
        <v>2.2207853183671349E-2</v>
      </c>
      <c r="R63" s="24">
        <v>2.4392056639638421E-2</v>
      </c>
      <c r="S63" s="26">
        <v>0</v>
      </c>
      <c r="T63" s="26">
        <v>0</v>
      </c>
      <c r="U63" s="26">
        <v>1.2168174231632199E-4</v>
      </c>
      <c r="V63" s="26">
        <v>9.8317473549625417E-5</v>
      </c>
      <c r="W63" s="26">
        <v>4.897034674222067E-5</v>
      </c>
      <c r="X63" s="26">
        <v>1.3437941841274189E-2</v>
      </c>
      <c r="Y63" s="26">
        <v>1.3706911403882357E-2</v>
      </c>
      <c r="Z63" s="28">
        <v>0</v>
      </c>
      <c r="AA63" s="28">
        <v>2.7516120475980978E-3</v>
      </c>
      <c r="AB63" s="28">
        <v>2.1471573616951781E-5</v>
      </c>
      <c r="AC63" s="28">
        <v>2.3968260093961618E-5</v>
      </c>
      <c r="AD63" s="28">
        <v>2.2260246735214739E-5</v>
      </c>
      <c r="AE63" s="28">
        <v>1.5194191966950671E-3</v>
      </c>
      <c r="AF63" s="28">
        <v>4.3387313247392929E-3</v>
      </c>
      <c r="AG63" s="30">
        <v>0</v>
      </c>
      <c r="AH63" s="30">
        <v>1.445647576592023E-5</v>
      </c>
      <c r="AI63" s="30">
        <v>8.0466814300478743E-5</v>
      </c>
      <c r="AJ63" s="30">
        <v>8.5554174677296554E-5</v>
      </c>
      <c r="AK63" s="30">
        <v>2.0774919737405581E-5</v>
      </c>
      <c r="AL63" s="30">
        <v>4.1247769659680297E-3</v>
      </c>
      <c r="AM63" s="30">
        <v>4.326029350449131E-3</v>
      </c>
      <c r="AN63" s="32">
        <v>0</v>
      </c>
      <c r="AO63" s="32">
        <v>1.036854518903741E-5</v>
      </c>
      <c r="AP63" s="32">
        <v>1.901077657292092E-7</v>
      </c>
      <c r="AQ63" s="32">
        <v>6.5490648626579012E-8</v>
      </c>
      <c r="AR63" s="32">
        <v>8.2030054051068197E-8</v>
      </c>
      <c r="AS63" s="32">
        <v>3.247132157769772E-6</v>
      </c>
      <c r="AT63" s="32">
        <v>1.395330581521404E-5</v>
      </c>
      <c r="AU63" s="34">
        <v>0</v>
      </c>
      <c r="AV63" s="34">
        <v>0</v>
      </c>
      <c r="AW63" s="34">
        <v>2.1268479451680587E-3</v>
      </c>
      <c r="AX63" s="34">
        <v>2.01770987761535E-2</v>
      </c>
      <c r="AY63" s="34">
        <v>2.5388456219226894E-2</v>
      </c>
      <c r="AZ63" s="34">
        <v>0.28308506081476031</v>
      </c>
      <c r="BA63" s="34">
        <v>0.33077746375530875</v>
      </c>
      <c r="BB63" s="6"/>
      <c r="BC63" s="6"/>
      <c r="BD63" t="s">
        <v>901</v>
      </c>
      <c r="BF63" s="5">
        <v>1.6140363000000001E-2</v>
      </c>
      <c r="BG63" s="5">
        <f t="shared" si="1"/>
        <v>-8.2516936396384195E-3</v>
      </c>
      <c r="BH63" s="2">
        <v>39.702021999999999</v>
      </c>
    </row>
    <row r="64" spans="1:60" x14ac:dyDescent="0.2">
      <c r="A64" t="str">
        <f t="shared" si="4"/>
        <v>Bicycle, electric, cargo bike - 2030 - NMC - CH</v>
      </c>
      <c r="B64" t="s">
        <v>271</v>
      </c>
      <c r="D64" s="18">
        <v>2030</v>
      </c>
      <c r="E64" t="s">
        <v>37</v>
      </c>
      <c r="F64" t="s">
        <v>138</v>
      </c>
      <c r="G64" t="s">
        <v>39</v>
      </c>
      <c r="H64" t="s">
        <v>32</v>
      </c>
      <c r="I64" t="s">
        <v>43</v>
      </c>
      <c r="J64" t="s">
        <v>570</v>
      </c>
      <c r="L64" s="24">
        <v>0</v>
      </c>
      <c r="M64" s="24">
        <v>0</v>
      </c>
      <c r="N64" s="24">
        <v>2.1347201307001551E-4</v>
      </c>
      <c r="O64" s="24">
        <v>1.195732624675443E-3</v>
      </c>
      <c r="P64" s="24">
        <v>7.6836789343330363E-4</v>
      </c>
      <c r="Q64" s="24">
        <v>2.255563105074997E-2</v>
      </c>
      <c r="R64" s="24">
        <v>2.4733203581928733E-2</v>
      </c>
      <c r="S64" s="26">
        <v>0</v>
      </c>
      <c r="T64" s="26">
        <v>0</v>
      </c>
      <c r="U64" s="26">
        <v>1.2168174231632199E-4</v>
      </c>
      <c r="V64" s="26">
        <v>9.8317473549625417E-5</v>
      </c>
      <c r="W64" s="26">
        <v>4.855135425027058E-5</v>
      </c>
      <c r="X64" s="26">
        <v>1.0802098385586909E-2</v>
      </c>
      <c r="Y64" s="26">
        <v>1.1070648955703127E-2</v>
      </c>
      <c r="Z64" s="28">
        <v>0</v>
      </c>
      <c r="AA64" s="28">
        <v>2.7516120475980978E-3</v>
      </c>
      <c r="AB64" s="28">
        <v>2.1471573616951781E-5</v>
      </c>
      <c r="AC64" s="28">
        <v>2.3968260093961618E-5</v>
      </c>
      <c r="AD64" s="28">
        <v>2.2069787061728899E-5</v>
      </c>
      <c r="AE64" s="28">
        <v>1.3863481951345851E-3</v>
      </c>
      <c r="AF64" s="28">
        <v>4.2054698635053244E-3</v>
      </c>
      <c r="AG64" s="30">
        <v>0</v>
      </c>
      <c r="AH64" s="30">
        <v>1.445647576592023E-5</v>
      </c>
      <c r="AI64" s="30">
        <v>8.0466814300478743E-5</v>
      </c>
      <c r="AJ64" s="30">
        <v>8.5554174677296554E-5</v>
      </c>
      <c r="AK64" s="30">
        <v>2.0597168588599979E-5</v>
      </c>
      <c r="AL64" s="30">
        <v>3.870340029132017E-3</v>
      </c>
      <c r="AM64" s="30">
        <v>4.0714146624643123E-3</v>
      </c>
      <c r="AN64" s="32">
        <v>0</v>
      </c>
      <c r="AO64" s="32">
        <v>1.036854518903741E-5</v>
      </c>
      <c r="AP64" s="32">
        <v>1.901077657292092E-7</v>
      </c>
      <c r="AQ64" s="32">
        <v>6.5490648626579012E-8</v>
      </c>
      <c r="AR64" s="32">
        <v>8.1328201214644952E-8</v>
      </c>
      <c r="AS64" s="32">
        <v>2.7871139311076272E-6</v>
      </c>
      <c r="AT64" s="32">
        <v>1.3492585735715473E-5</v>
      </c>
      <c r="AU64" s="34">
        <v>0</v>
      </c>
      <c r="AV64" s="34">
        <v>0</v>
      </c>
      <c r="AW64" s="34">
        <v>2.1268479451680587E-3</v>
      </c>
      <c r="AX64" s="34">
        <v>2.01770987761535E-2</v>
      </c>
      <c r="AY64" s="34">
        <v>2.5171231444526893E-2</v>
      </c>
      <c r="AZ64" s="34">
        <v>0.27951390716620239</v>
      </c>
      <c r="BA64" s="34">
        <v>0.32698908533205084</v>
      </c>
      <c r="BB64" s="6"/>
      <c r="BC64" s="6"/>
      <c r="BD64" t="s">
        <v>625</v>
      </c>
      <c r="BF64" s="5">
        <v>1.5970189000000003E-2</v>
      </c>
      <c r="BG64" s="5">
        <f t="shared" si="1"/>
        <v>-8.7630145819287304E-3</v>
      </c>
      <c r="BH64" s="2">
        <v>34.616849000000002</v>
      </c>
    </row>
    <row r="65" spans="1:60" x14ac:dyDescent="0.2">
      <c r="A65" t="str">
        <f t="shared" si="4"/>
        <v>Bicycle, electric, cargo bike - 2040 - NMC - CH</v>
      </c>
      <c r="B65" t="s">
        <v>271</v>
      </c>
      <c r="D65" s="18">
        <v>2040</v>
      </c>
      <c r="E65" t="s">
        <v>37</v>
      </c>
      <c r="F65" t="s">
        <v>138</v>
      </c>
      <c r="G65" t="s">
        <v>39</v>
      </c>
      <c r="H65" t="s">
        <v>32</v>
      </c>
      <c r="I65" t="s">
        <v>43</v>
      </c>
      <c r="J65" t="s">
        <v>570</v>
      </c>
      <c r="L65" s="24">
        <v>0</v>
      </c>
      <c r="M65" s="24">
        <v>0</v>
      </c>
      <c r="N65" s="24">
        <v>2.1347201307001551E-4</v>
      </c>
      <c r="O65" s="24">
        <v>1.195732624675443E-3</v>
      </c>
      <c r="P65" s="24">
        <v>7.6248048195077839E-4</v>
      </c>
      <c r="Q65" s="24">
        <v>2.2775274334943339E-2</v>
      </c>
      <c r="R65" s="24">
        <v>2.4946959454639574E-2</v>
      </c>
      <c r="S65" s="26">
        <v>0</v>
      </c>
      <c r="T65" s="26">
        <v>0</v>
      </c>
      <c r="U65" s="26">
        <v>1.2168174231632199E-4</v>
      </c>
      <c r="V65" s="26">
        <v>9.8317473549625417E-5</v>
      </c>
      <c r="W65" s="26">
        <v>4.8179342609820628E-5</v>
      </c>
      <c r="X65" s="26">
        <v>9.0372046485396405E-3</v>
      </c>
      <c r="Y65" s="26">
        <v>9.3053832070154087E-3</v>
      </c>
      <c r="Z65" s="28">
        <v>0</v>
      </c>
      <c r="AA65" s="28">
        <v>2.7516120475980978E-3</v>
      </c>
      <c r="AB65" s="28">
        <v>2.1471573616951781E-5</v>
      </c>
      <c r="AC65" s="28">
        <v>2.3968260093961618E-5</v>
      </c>
      <c r="AD65" s="28">
        <v>2.1900683278405099E-5</v>
      </c>
      <c r="AE65" s="28">
        <v>1.2964732590299E-3</v>
      </c>
      <c r="AF65" s="28">
        <v>4.1154258236173165E-3</v>
      </c>
      <c r="AG65" s="30">
        <v>0</v>
      </c>
      <c r="AH65" s="30">
        <v>1.445647576592023E-5</v>
      </c>
      <c r="AI65" s="30">
        <v>8.0466814300478743E-5</v>
      </c>
      <c r="AJ65" s="30">
        <v>8.5554174677296554E-5</v>
      </c>
      <c r="AK65" s="30">
        <v>2.0439348346639859E-5</v>
      </c>
      <c r="AL65" s="30">
        <v>3.696611527351222E-3</v>
      </c>
      <c r="AM65" s="30">
        <v>3.8975283404415573E-3</v>
      </c>
      <c r="AN65" s="32">
        <v>0</v>
      </c>
      <c r="AO65" s="32">
        <v>1.036854518903741E-5</v>
      </c>
      <c r="AP65" s="32">
        <v>1.901077657292092E-7</v>
      </c>
      <c r="AQ65" s="32">
        <v>6.5490648626579012E-8</v>
      </c>
      <c r="AR65" s="32">
        <v>8.0705045835852706E-8</v>
      </c>
      <c r="AS65" s="32">
        <v>2.4783359410264612E-6</v>
      </c>
      <c r="AT65" s="32">
        <v>1.3183184590255513E-5</v>
      </c>
      <c r="AU65" s="34">
        <v>0</v>
      </c>
      <c r="AV65" s="34">
        <v>0</v>
      </c>
      <c r="AW65" s="34">
        <v>2.1268479451680587E-3</v>
      </c>
      <c r="AX65" s="34">
        <v>2.01770987761535E-2</v>
      </c>
      <c r="AY65" s="34">
        <v>2.4978363681177701E-2</v>
      </c>
      <c r="AZ65" s="34">
        <v>0.27698105092912673</v>
      </c>
      <c r="BA65" s="34">
        <v>0.32426336133162598</v>
      </c>
      <c r="BB65" s="6"/>
      <c r="BC65" s="6"/>
      <c r="BD65" t="s">
        <v>626</v>
      </c>
      <c r="BF65" s="5">
        <v>1.5842831000000002E-2</v>
      </c>
      <c r="BG65" s="5">
        <f t="shared" si="1"/>
        <v>-9.104128454639572E-3</v>
      </c>
      <c r="BH65" s="2">
        <v>31.194571</v>
      </c>
    </row>
    <row r="66" spans="1:60" x14ac:dyDescent="0.2">
      <c r="A66" t="str">
        <f t="shared" si="4"/>
        <v>Bicycle, electric, cargo bike - 2050 - NMC - CH</v>
      </c>
      <c r="B66" t="s">
        <v>271</v>
      </c>
      <c r="D66" s="18">
        <v>2050</v>
      </c>
      <c r="E66" t="s">
        <v>37</v>
      </c>
      <c r="F66" t="s">
        <v>138</v>
      </c>
      <c r="G66" t="s">
        <v>39</v>
      </c>
      <c r="H66" t="s">
        <v>32</v>
      </c>
      <c r="I66" t="s">
        <v>43</v>
      </c>
      <c r="J66" t="s">
        <v>570</v>
      </c>
      <c r="L66" s="24">
        <v>0</v>
      </c>
      <c r="M66" s="24">
        <v>0</v>
      </c>
      <c r="N66" s="24">
        <v>2.1347201307001551E-4</v>
      </c>
      <c r="O66" s="24">
        <v>1.195732624675443E-3</v>
      </c>
      <c r="P66" s="24">
        <v>7.5856565678971755E-4</v>
      </c>
      <c r="Q66" s="24">
        <v>2.3501171579932319E-2</v>
      </c>
      <c r="R66" s="24">
        <v>2.5668941874467496E-2</v>
      </c>
      <c r="S66" s="26">
        <v>0</v>
      </c>
      <c r="T66" s="26">
        <v>0</v>
      </c>
      <c r="U66" s="26">
        <v>1.2168174231632199E-4</v>
      </c>
      <c r="V66" s="26">
        <v>9.8317473549625417E-5</v>
      </c>
      <c r="W66" s="26">
        <v>4.7931974044779159E-5</v>
      </c>
      <c r="X66" s="26">
        <v>8.2575643082954397E-3</v>
      </c>
      <c r="Y66" s="26">
        <v>8.5254954982061665E-3</v>
      </c>
      <c r="Z66" s="28">
        <v>0</v>
      </c>
      <c r="AA66" s="28">
        <v>2.7516120475980978E-3</v>
      </c>
      <c r="AB66" s="28">
        <v>2.1471573616951781E-5</v>
      </c>
      <c r="AC66" s="28">
        <v>2.3968260093961618E-5</v>
      </c>
      <c r="AD66" s="28">
        <v>2.1788237979184629E-5</v>
      </c>
      <c r="AE66" s="28">
        <v>1.2861053425090661E-3</v>
      </c>
      <c r="AF66" s="28">
        <v>4.1049454617972615E-3</v>
      </c>
      <c r="AG66" s="30">
        <v>0</v>
      </c>
      <c r="AH66" s="30">
        <v>1.445647576592023E-5</v>
      </c>
      <c r="AI66" s="30">
        <v>8.0466814300478743E-5</v>
      </c>
      <c r="AJ66" s="30">
        <v>8.5554174677296554E-5</v>
      </c>
      <c r="AK66" s="30">
        <v>2.0334406020800391E-5</v>
      </c>
      <c r="AL66" s="30">
        <v>3.7239045752225672E-3</v>
      </c>
      <c r="AM66" s="30">
        <v>3.9247164459870632E-3</v>
      </c>
      <c r="AN66" s="32">
        <v>0</v>
      </c>
      <c r="AO66" s="32">
        <v>1.036854518903741E-5</v>
      </c>
      <c r="AP66" s="32">
        <v>1.901077657292092E-7</v>
      </c>
      <c r="AQ66" s="32">
        <v>6.5490648626579012E-8</v>
      </c>
      <c r="AR66" s="32">
        <v>8.0290679630367122E-8</v>
      </c>
      <c r="AS66" s="32">
        <v>2.3494561141384581E-6</v>
      </c>
      <c r="AT66" s="32">
        <v>1.3053890397162026E-5</v>
      </c>
      <c r="AU66" s="34">
        <v>0</v>
      </c>
      <c r="AV66" s="34">
        <v>0</v>
      </c>
      <c r="AW66" s="34">
        <v>2.1268479451680587E-3</v>
      </c>
      <c r="AX66" s="34">
        <v>2.01770987761535E-2</v>
      </c>
      <c r="AY66" s="34">
        <v>2.4850116560187773E-2</v>
      </c>
      <c r="AZ66" s="34">
        <v>0.28232007580793861</v>
      </c>
      <c r="BA66" s="34">
        <v>0.32947413908944795</v>
      </c>
      <c r="BB66" s="6"/>
      <c r="BC66" s="6"/>
      <c r="BD66" t="s">
        <v>627</v>
      </c>
      <c r="BF66" s="5">
        <v>1.6030559E-2</v>
      </c>
      <c r="BG66" s="5">
        <f t="shared" si="1"/>
        <v>-9.6383828744674958E-3</v>
      </c>
      <c r="BH66" s="2">
        <v>29.600327</v>
      </c>
    </row>
    <row r="67" spans="1:60" x14ac:dyDescent="0.2">
      <c r="A67" t="str">
        <f t="shared" si="4"/>
        <v>Bicycle, electric (&lt;25 km/h) - 2020 - LFP - CH</v>
      </c>
      <c r="B67" t="s">
        <v>264</v>
      </c>
      <c r="D67" s="18">
        <v>2020</v>
      </c>
      <c r="E67" t="s">
        <v>37</v>
      </c>
      <c r="F67" t="s">
        <v>138</v>
      </c>
      <c r="G67" t="s">
        <v>39</v>
      </c>
      <c r="H67" t="s">
        <v>32</v>
      </c>
      <c r="I67" t="s">
        <v>44</v>
      </c>
      <c r="J67" t="s">
        <v>570</v>
      </c>
      <c r="L67" s="24">
        <v>0</v>
      </c>
      <c r="M67" s="24">
        <v>0</v>
      </c>
      <c r="N67" s="24">
        <v>1.5173567960250059E-4</v>
      </c>
      <c r="O67" s="24">
        <v>1.195732624675443E-3</v>
      </c>
      <c r="P67" s="24">
        <v>4.6659253373107328E-4</v>
      </c>
      <c r="Q67" s="24">
        <v>1.6505643761205481E-2</v>
      </c>
      <c r="R67" s="24">
        <v>1.8319704599214497E-2</v>
      </c>
      <c r="S67" s="26">
        <v>0</v>
      </c>
      <c r="T67" s="26">
        <v>0</v>
      </c>
      <c r="U67" s="26">
        <v>8.6491252881602508E-5</v>
      </c>
      <c r="V67" s="26">
        <v>9.8317473549625417E-5</v>
      </c>
      <c r="W67" s="26">
        <v>2.948288129854695E-5</v>
      </c>
      <c r="X67" s="26">
        <v>8.2258663807938392E-3</v>
      </c>
      <c r="Y67" s="26">
        <v>8.4401579885236139E-3</v>
      </c>
      <c r="Z67" s="28">
        <v>0</v>
      </c>
      <c r="AA67" s="28">
        <v>1.3758060237990489E-3</v>
      </c>
      <c r="AB67" s="28">
        <v>1.5261971665741149E-5</v>
      </c>
      <c r="AC67" s="28">
        <v>2.3968260093961618E-5</v>
      </c>
      <c r="AD67" s="28">
        <v>1.340191066290461E-5</v>
      </c>
      <c r="AE67" s="28">
        <v>1.1968245285550461E-3</v>
      </c>
      <c r="AF67" s="28">
        <v>2.6252626947767021E-3</v>
      </c>
      <c r="AG67" s="30">
        <v>0</v>
      </c>
      <c r="AH67" s="30">
        <v>7.228237882960114E-6</v>
      </c>
      <c r="AI67" s="30">
        <v>5.7195725930249998E-5</v>
      </c>
      <c r="AJ67" s="30">
        <v>8.5554174677296554E-5</v>
      </c>
      <c r="AK67" s="30">
        <v>1.250766092854081E-5</v>
      </c>
      <c r="AL67" s="30">
        <v>3.8296400260956951E-3</v>
      </c>
      <c r="AM67" s="30">
        <v>3.9921258255147425E-3</v>
      </c>
      <c r="AN67" s="32">
        <v>0</v>
      </c>
      <c r="AO67" s="32">
        <v>5.1842725945187069E-6</v>
      </c>
      <c r="AP67" s="32">
        <v>1.3512839746900889E-7</v>
      </c>
      <c r="AQ67" s="32">
        <v>6.5490648626579012E-8</v>
      </c>
      <c r="AR67" s="32">
        <v>4.9386669839850162E-8</v>
      </c>
      <c r="AS67" s="32">
        <v>2.074391227463549E-6</v>
      </c>
      <c r="AT67" s="32">
        <v>7.5086695379176938E-6</v>
      </c>
      <c r="AU67" s="34">
        <v>0</v>
      </c>
      <c r="AV67" s="34">
        <v>0</v>
      </c>
      <c r="AW67" s="34">
        <v>1.5117612549304556E-3</v>
      </c>
      <c r="AX67" s="34">
        <v>2.01770987761535E-2</v>
      </c>
      <c r="AY67" s="34">
        <v>1.5285267327287853E-2</v>
      </c>
      <c r="AZ67" s="34">
        <v>0.21047691392722634</v>
      </c>
      <c r="BA67" s="34">
        <v>0.24745104128559814</v>
      </c>
      <c r="BB67" s="6"/>
      <c r="BC67" s="6"/>
      <c r="BD67" t="s">
        <v>902</v>
      </c>
      <c r="BF67" s="5">
        <v>1.3146863999999999E-2</v>
      </c>
      <c r="BG67" s="5">
        <f t="shared" si="1"/>
        <v>-5.1728405992144972E-3</v>
      </c>
      <c r="BH67" s="2">
        <v>39.066484000000003</v>
      </c>
    </row>
    <row r="68" spans="1:60" x14ac:dyDescent="0.2">
      <c r="A68" t="str">
        <f t="shared" si="4"/>
        <v>Bicycle, electric (&lt;25 km/h) - 2030 - LFP - CH</v>
      </c>
      <c r="B68" t="s">
        <v>264</v>
      </c>
      <c r="D68" s="18">
        <v>2030</v>
      </c>
      <c r="E68" t="s">
        <v>37</v>
      </c>
      <c r="F68" t="s">
        <v>138</v>
      </c>
      <c r="G68" t="s">
        <v>39</v>
      </c>
      <c r="H68" t="s">
        <v>32</v>
      </c>
      <c r="I68" t="s">
        <v>44</v>
      </c>
      <c r="J68" t="s">
        <v>570</v>
      </c>
      <c r="L68" s="24">
        <v>0</v>
      </c>
      <c r="M68" s="24">
        <v>0</v>
      </c>
      <c r="N68" s="24">
        <v>1.5173567960250059E-4</v>
      </c>
      <c r="O68" s="24">
        <v>1.195732624675443E-3</v>
      </c>
      <c r="P68" s="24">
        <v>4.7381523441582089E-4</v>
      </c>
      <c r="Q68" s="24">
        <v>1.730129842392206E-2</v>
      </c>
      <c r="R68" s="24">
        <v>1.9122581962615823E-2</v>
      </c>
      <c r="S68" s="26">
        <v>0</v>
      </c>
      <c r="T68" s="26">
        <v>0</v>
      </c>
      <c r="U68" s="26">
        <v>8.6491252881602508E-5</v>
      </c>
      <c r="V68" s="26">
        <v>9.8317473549625417E-5</v>
      </c>
      <c r="W68" s="26">
        <v>2.993926671311958E-5</v>
      </c>
      <c r="X68" s="26">
        <v>8.3478841054753904E-3</v>
      </c>
      <c r="Y68" s="26">
        <v>8.562632098619738E-3</v>
      </c>
      <c r="Z68" s="28">
        <v>0</v>
      </c>
      <c r="AA68" s="28">
        <v>1.3758060237990489E-3</v>
      </c>
      <c r="AB68" s="28">
        <v>1.5261971665741149E-5</v>
      </c>
      <c r="AC68" s="28">
        <v>2.3968260093961618E-5</v>
      </c>
      <c r="AD68" s="28">
        <v>1.360936788162145E-5</v>
      </c>
      <c r="AE68" s="28">
        <v>1.241371074846764E-3</v>
      </c>
      <c r="AF68" s="28">
        <v>2.6700166982871372E-3</v>
      </c>
      <c r="AG68" s="30">
        <v>0</v>
      </c>
      <c r="AH68" s="30">
        <v>7.228237882960114E-6</v>
      </c>
      <c r="AI68" s="30">
        <v>5.7195725930249998E-5</v>
      </c>
      <c r="AJ68" s="30">
        <v>8.5554174677296554E-5</v>
      </c>
      <c r="AK68" s="30">
        <v>1.2701275452182609E-5</v>
      </c>
      <c r="AL68" s="30">
        <v>3.9694988774694904E-3</v>
      </c>
      <c r="AM68" s="30">
        <v>4.1321782914121793E-3</v>
      </c>
      <c r="AN68" s="32">
        <v>0</v>
      </c>
      <c r="AO68" s="32">
        <v>5.1842725945187069E-6</v>
      </c>
      <c r="AP68" s="32">
        <v>1.3512839746900889E-7</v>
      </c>
      <c r="AQ68" s="32">
        <v>6.5490648626579012E-8</v>
      </c>
      <c r="AR68" s="32">
        <v>5.0151159428265402E-8</v>
      </c>
      <c r="AS68" s="32">
        <v>2.1123012663586759E-6</v>
      </c>
      <c r="AT68" s="32">
        <v>7.5473440664012354E-6</v>
      </c>
      <c r="AU68" s="34">
        <v>0</v>
      </c>
      <c r="AV68" s="34">
        <v>0</v>
      </c>
      <c r="AW68" s="34">
        <v>1.5117612549304556E-3</v>
      </c>
      <c r="AX68" s="34">
        <v>2.01770987761535E-2</v>
      </c>
      <c r="AY68" s="34">
        <v>1.5521878294695623E-2</v>
      </c>
      <c r="AZ68" s="34">
        <v>0.21911361812630106</v>
      </c>
      <c r="BA68" s="34">
        <v>0.25632435645208063</v>
      </c>
      <c r="BB68" s="6"/>
      <c r="BC68" s="6"/>
      <c r="BD68" t="s">
        <v>628</v>
      </c>
      <c r="BF68" s="5">
        <v>1.3508155000000001E-2</v>
      </c>
      <c r="BG68" s="5">
        <f t="shared" ref="BG68:BG131" si="5">BF68-R68</f>
        <v>-5.6144269626158226E-3</v>
      </c>
      <c r="BH68" s="2">
        <v>39.291739</v>
      </c>
    </row>
    <row r="69" spans="1:60" x14ac:dyDescent="0.2">
      <c r="A69" t="str">
        <f t="shared" si="4"/>
        <v>Bicycle, electric (&lt;25 km/h) - 2040 - LFP - CH</v>
      </c>
      <c r="B69" t="s">
        <v>264</v>
      </c>
      <c r="D69" s="18">
        <v>2040</v>
      </c>
      <c r="E69" t="s">
        <v>37</v>
      </c>
      <c r="F69" t="s">
        <v>138</v>
      </c>
      <c r="G69" t="s">
        <v>39</v>
      </c>
      <c r="H69" t="s">
        <v>32</v>
      </c>
      <c r="I69" t="s">
        <v>44</v>
      </c>
      <c r="J69" t="s">
        <v>570</v>
      </c>
      <c r="L69" s="24">
        <v>0</v>
      </c>
      <c r="M69" s="24">
        <v>0</v>
      </c>
      <c r="N69" s="24">
        <v>1.5173567960250059E-4</v>
      </c>
      <c r="O69" s="24">
        <v>1.195732624675443E-3</v>
      </c>
      <c r="P69" s="24">
        <v>4.7190334305809368E-4</v>
      </c>
      <c r="Q69" s="24">
        <v>1.6441178310260911E-2</v>
      </c>
      <c r="R69" s="24">
        <v>1.8260549957596947E-2</v>
      </c>
      <c r="S69" s="26">
        <v>0</v>
      </c>
      <c r="T69" s="26">
        <v>0</v>
      </c>
      <c r="U69" s="26">
        <v>8.6491252881602508E-5</v>
      </c>
      <c r="V69" s="26">
        <v>9.8317473549625417E-5</v>
      </c>
      <c r="W69" s="26">
        <v>2.9818458809262119E-5</v>
      </c>
      <c r="X69" s="26">
        <v>7.5002296310549546E-3</v>
      </c>
      <c r="Y69" s="26">
        <v>7.7148568162954444E-3</v>
      </c>
      <c r="Z69" s="28">
        <v>0</v>
      </c>
      <c r="AA69" s="28">
        <v>1.3758060237990489E-3</v>
      </c>
      <c r="AB69" s="28">
        <v>1.5261971665741149E-5</v>
      </c>
      <c r="AC69" s="28">
        <v>2.3968260093961618E-5</v>
      </c>
      <c r="AD69" s="28">
        <v>1.355445273549052E-5</v>
      </c>
      <c r="AE69" s="28">
        <v>1.135527314052626E-3</v>
      </c>
      <c r="AF69" s="28">
        <v>2.5641180223468681E-3</v>
      </c>
      <c r="AG69" s="30">
        <v>0</v>
      </c>
      <c r="AH69" s="30">
        <v>7.228237882960114E-6</v>
      </c>
      <c r="AI69" s="30">
        <v>5.7195725930249998E-5</v>
      </c>
      <c r="AJ69" s="30">
        <v>8.5554174677296554E-5</v>
      </c>
      <c r="AK69" s="30">
        <v>1.2650024548865661E-5</v>
      </c>
      <c r="AL69" s="30">
        <v>3.631551749364771E-3</v>
      </c>
      <c r="AM69" s="30">
        <v>3.7941799124041435E-3</v>
      </c>
      <c r="AN69" s="32">
        <v>0</v>
      </c>
      <c r="AO69" s="32">
        <v>5.1842725945187069E-6</v>
      </c>
      <c r="AP69" s="32">
        <v>1.3512839746900889E-7</v>
      </c>
      <c r="AQ69" s="32">
        <v>6.5490648626579012E-8</v>
      </c>
      <c r="AR69" s="32">
        <v>4.9948794537214308E-8</v>
      </c>
      <c r="AS69" s="32">
        <v>1.9112971458837662E-6</v>
      </c>
      <c r="AT69" s="32">
        <v>7.3461375810352752E-6</v>
      </c>
      <c r="AU69" s="34">
        <v>0</v>
      </c>
      <c r="AV69" s="34">
        <v>0</v>
      </c>
      <c r="AW69" s="34">
        <v>1.5117612549304556E-3</v>
      </c>
      <c r="AX69" s="34">
        <v>2.01770987761535E-2</v>
      </c>
      <c r="AY69" s="34">
        <v>1.5459245979793569E-2</v>
      </c>
      <c r="AZ69" s="34">
        <v>0.20609465962102799</v>
      </c>
      <c r="BA69" s="34">
        <v>0.2432427656319055</v>
      </c>
      <c r="BB69" s="6"/>
      <c r="BC69" s="6"/>
      <c r="BD69" t="s">
        <v>629</v>
      </c>
      <c r="BF69" s="5">
        <v>1.2706182E-2</v>
      </c>
      <c r="BG69" s="5">
        <f t="shared" si="5"/>
        <v>-5.5543679575969472E-3</v>
      </c>
      <c r="BH69" s="2">
        <v>34.910271000000002</v>
      </c>
    </row>
    <row r="70" spans="1:60" x14ac:dyDescent="0.2">
      <c r="A70" t="str">
        <f t="shared" si="4"/>
        <v>Bicycle, electric (&lt;25 km/h) - 2050 - LFP - CH</v>
      </c>
      <c r="B70" t="s">
        <v>264</v>
      </c>
      <c r="D70" s="18">
        <v>2050</v>
      </c>
      <c r="E70" t="s">
        <v>37</v>
      </c>
      <c r="F70" t="s">
        <v>138</v>
      </c>
      <c r="G70" t="s">
        <v>39</v>
      </c>
      <c r="H70" t="s">
        <v>32</v>
      </c>
      <c r="I70" t="s">
        <v>44</v>
      </c>
      <c r="J70" t="s">
        <v>570</v>
      </c>
      <c r="L70" s="24">
        <v>0</v>
      </c>
      <c r="M70" s="24">
        <v>0</v>
      </c>
      <c r="N70" s="24">
        <v>1.5173567960250059E-4</v>
      </c>
      <c r="O70" s="24">
        <v>1.195732624675443E-3</v>
      </c>
      <c r="P70" s="24">
        <v>4.7492291750402812E-4</v>
      </c>
      <c r="Q70" s="24">
        <v>1.6277304766004991E-2</v>
      </c>
      <c r="R70" s="24">
        <v>1.8099695987786962E-2</v>
      </c>
      <c r="S70" s="26">
        <v>0</v>
      </c>
      <c r="T70" s="26">
        <v>0</v>
      </c>
      <c r="U70" s="26">
        <v>8.6491252881602508E-5</v>
      </c>
      <c r="V70" s="26">
        <v>9.8317473549625417E-5</v>
      </c>
      <c r="W70" s="26">
        <v>3.0009258593925888E-5</v>
      </c>
      <c r="X70" s="26">
        <v>7.1133864594540583E-3</v>
      </c>
      <c r="Y70" s="26">
        <v>7.3282044444792117E-3</v>
      </c>
      <c r="Z70" s="28">
        <v>0</v>
      </c>
      <c r="AA70" s="28">
        <v>1.3758060237990489E-3</v>
      </c>
      <c r="AB70" s="28">
        <v>1.5261971665741149E-5</v>
      </c>
      <c r="AC70" s="28">
        <v>2.3968260093961618E-5</v>
      </c>
      <c r="AD70" s="28">
        <v>1.3641183799617939E-5</v>
      </c>
      <c r="AE70" s="28">
        <v>1.0973681230276621E-3</v>
      </c>
      <c r="AF70" s="28">
        <v>2.5260455623860316E-3</v>
      </c>
      <c r="AG70" s="30">
        <v>0</v>
      </c>
      <c r="AH70" s="30">
        <v>7.228237882960114E-6</v>
      </c>
      <c r="AI70" s="30">
        <v>5.7195725930249998E-5</v>
      </c>
      <c r="AJ70" s="30">
        <v>8.5554174677296554E-5</v>
      </c>
      <c r="AK70" s="30">
        <v>1.2730968435850361E-5</v>
      </c>
      <c r="AL70" s="30">
        <v>3.5071907992978821E-3</v>
      </c>
      <c r="AM70" s="30">
        <v>3.6698999062242392E-3</v>
      </c>
      <c r="AN70" s="32">
        <v>0</v>
      </c>
      <c r="AO70" s="32">
        <v>5.1842725945187069E-6</v>
      </c>
      <c r="AP70" s="32">
        <v>1.3512839746900889E-7</v>
      </c>
      <c r="AQ70" s="32">
        <v>6.5490648626579012E-8</v>
      </c>
      <c r="AR70" s="32">
        <v>5.0268402579429921E-8</v>
      </c>
      <c r="AS70" s="32">
        <v>1.8242122660436949E-6</v>
      </c>
      <c r="AT70" s="32">
        <v>7.2593723092374188E-6</v>
      </c>
      <c r="AU70" s="34">
        <v>0</v>
      </c>
      <c r="AV70" s="34">
        <v>0</v>
      </c>
      <c r="AW70" s="34">
        <v>1.5117612549304556E-3</v>
      </c>
      <c r="AX70" s="34">
        <v>2.01770987761535E-2</v>
      </c>
      <c r="AY70" s="34">
        <v>1.5558165270789669E-2</v>
      </c>
      <c r="AZ70" s="34">
        <v>0.20249340819209583</v>
      </c>
      <c r="BA70" s="34">
        <v>0.23974043349396945</v>
      </c>
      <c r="BB70" s="6"/>
      <c r="BC70" s="6"/>
      <c r="BD70" t="s">
        <v>630</v>
      </c>
      <c r="BF70" s="5">
        <v>1.2432677000000001E-2</v>
      </c>
      <c r="BG70" s="5">
        <f t="shared" si="5"/>
        <v>-5.667018987786961E-3</v>
      </c>
      <c r="BH70" s="2">
        <v>32.805720000000001</v>
      </c>
    </row>
    <row r="71" spans="1:60" x14ac:dyDescent="0.2">
      <c r="A71" t="str">
        <f t="shared" si="4"/>
        <v>Bicycle, electric (&lt;45 km/h) - 2020 - LFP - CH</v>
      </c>
      <c r="B71" t="s">
        <v>265</v>
      </c>
      <c r="D71" s="18">
        <v>2020</v>
      </c>
      <c r="E71" t="s">
        <v>37</v>
      </c>
      <c r="F71" t="s">
        <v>138</v>
      </c>
      <c r="G71" t="s">
        <v>39</v>
      </c>
      <c r="H71" t="s">
        <v>32</v>
      </c>
      <c r="I71" t="s">
        <v>44</v>
      </c>
      <c r="J71" t="s">
        <v>570</v>
      </c>
      <c r="L71" s="24">
        <v>0</v>
      </c>
      <c r="M71" s="24">
        <v>0</v>
      </c>
      <c r="N71" s="24">
        <v>2.7867064536129458E-4</v>
      </c>
      <c r="O71" s="24">
        <v>1.195732624675443E-3</v>
      </c>
      <c r="P71" s="24">
        <v>4.8480102285228591E-4</v>
      </c>
      <c r="Q71" s="24">
        <v>1.197791323700367E-2</v>
      </c>
      <c r="R71" s="24">
        <v>1.3937117529892693E-2</v>
      </c>
      <c r="S71" s="26">
        <v>0</v>
      </c>
      <c r="T71" s="26">
        <v>0</v>
      </c>
      <c r="U71" s="26">
        <v>1.5884578578857799E-4</v>
      </c>
      <c r="V71" s="26">
        <v>9.8317473549625417E-5</v>
      </c>
      <c r="W71" s="26">
        <v>3.0633432763856099E-5</v>
      </c>
      <c r="X71" s="26">
        <v>5.7162676343939052E-3</v>
      </c>
      <c r="Y71" s="26">
        <v>6.0040643264959647E-3</v>
      </c>
      <c r="Z71" s="28">
        <v>0</v>
      </c>
      <c r="AA71" s="28">
        <v>1.3758060237990489E-3</v>
      </c>
      <c r="AB71" s="28">
        <v>2.8029422642845481E-5</v>
      </c>
      <c r="AC71" s="28">
        <v>2.3968260093961618E-5</v>
      </c>
      <c r="AD71" s="28">
        <v>1.392491205462772E-5</v>
      </c>
      <c r="AE71" s="28">
        <v>8.4585675456149041E-4</v>
      </c>
      <c r="AF71" s="28">
        <v>2.2875853731519746E-3</v>
      </c>
      <c r="AG71" s="30">
        <v>0</v>
      </c>
      <c r="AH71" s="30">
        <v>7.228237882960114E-6</v>
      </c>
      <c r="AI71" s="30">
        <v>1.050429925159661E-4</v>
      </c>
      <c r="AJ71" s="30">
        <v>8.5554174677296554E-5</v>
      </c>
      <c r="AK71" s="30">
        <v>1.299576476965459E-5</v>
      </c>
      <c r="AL71" s="30">
        <v>2.7117016161737882E-3</v>
      </c>
      <c r="AM71" s="30">
        <v>2.9225227860196655E-3</v>
      </c>
      <c r="AN71" s="32">
        <v>0</v>
      </c>
      <c r="AO71" s="32">
        <v>5.1842725945187069E-6</v>
      </c>
      <c r="AP71" s="32">
        <v>2.4817048849666651E-7</v>
      </c>
      <c r="AQ71" s="32">
        <v>6.5490648626579012E-8</v>
      </c>
      <c r="AR71" s="32">
        <v>5.131395451652724E-8</v>
      </c>
      <c r="AS71" s="32">
        <v>1.469558210803564E-6</v>
      </c>
      <c r="AT71" s="32">
        <v>7.0188058969620429E-6</v>
      </c>
      <c r="AU71" s="34">
        <v>0</v>
      </c>
      <c r="AV71" s="34">
        <v>0</v>
      </c>
      <c r="AW71" s="34">
        <v>2.7764299448046754E-3</v>
      </c>
      <c r="AX71" s="34">
        <v>2.01770987761535E-2</v>
      </c>
      <c r="AY71" s="34">
        <v>1.5881765564450298E-2</v>
      </c>
      <c r="AZ71" s="34">
        <v>0.15177121351182457</v>
      </c>
      <c r="BA71" s="34">
        <v>0.19060650779723304</v>
      </c>
      <c r="BB71" s="6"/>
      <c r="BC71" s="6"/>
      <c r="BD71" t="s">
        <v>903</v>
      </c>
      <c r="BF71" s="5">
        <v>1.0004999000000001E-2</v>
      </c>
      <c r="BG71" s="5">
        <f t="shared" si="5"/>
        <v>-3.9321185298926923E-3</v>
      </c>
      <c r="BH71" s="2">
        <v>28.347435000000001</v>
      </c>
    </row>
    <row r="72" spans="1:60" x14ac:dyDescent="0.2">
      <c r="A72" t="str">
        <f t="shared" si="4"/>
        <v>Bicycle, electric (&lt;45 km/h) - 2030 - LFP - CH</v>
      </c>
      <c r="B72" t="s">
        <v>265</v>
      </c>
      <c r="D72" s="18">
        <v>2030</v>
      </c>
      <c r="E72" t="s">
        <v>37</v>
      </c>
      <c r="F72" t="s">
        <v>138</v>
      </c>
      <c r="G72" t="s">
        <v>39</v>
      </c>
      <c r="H72" t="s">
        <v>32</v>
      </c>
      <c r="I72" t="s">
        <v>44</v>
      </c>
      <c r="J72" t="s">
        <v>570</v>
      </c>
      <c r="L72" s="24">
        <v>0</v>
      </c>
      <c r="M72" s="24">
        <v>0</v>
      </c>
      <c r="N72" s="24">
        <v>2.7867064536129458E-4</v>
      </c>
      <c r="O72" s="24">
        <v>1.195732624675443E-3</v>
      </c>
      <c r="P72" s="24">
        <v>4.9161403253180627E-4</v>
      </c>
      <c r="Q72" s="24">
        <v>1.260708056193968E-2</v>
      </c>
      <c r="R72" s="24">
        <v>1.4573097864508224E-2</v>
      </c>
      <c r="S72" s="26">
        <v>0</v>
      </c>
      <c r="T72" s="26">
        <v>0</v>
      </c>
      <c r="U72" s="26">
        <v>1.5884578578857799E-4</v>
      </c>
      <c r="V72" s="26">
        <v>9.8317473549625417E-5</v>
      </c>
      <c r="W72" s="26">
        <v>3.1063930770459273E-5</v>
      </c>
      <c r="X72" s="26">
        <v>5.815631562422395E-3</v>
      </c>
      <c r="Y72" s="26">
        <v>6.1038587525310576E-3</v>
      </c>
      <c r="Z72" s="28">
        <v>0</v>
      </c>
      <c r="AA72" s="28">
        <v>1.3758060237990489E-3</v>
      </c>
      <c r="AB72" s="28">
        <v>2.8029422642845481E-5</v>
      </c>
      <c r="AC72" s="28">
        <v>2.3968260093961618E-5</v>
      </c>
      <c r="AD72" s="28">
        <v>1.412060174203078E-5</v>
      </c>
      <c r="AE72" s="28">
        <v>8.8118741862179019E-4</v>
      </c>
      <c r="AF72" s="28">
        <v>2.3231117268996773E-3</v>
      </c>
      <c r="AG72" s="30">
        <v>0</v>
      </c>
      <c r="AH72" s="30">
        <v>7.228237882960114E-6</v>
      </c>
      <c r="AI72" s="30">
        <v>1.050429925159661E-4</v>
      </c>
      <c r="AJ72" s="30">
        <v>8.5554174677296554E-5</v>
      </c>
      <c r="AK72" s="30">
        <v>1.317839695687134E-5</v>
      </c>
      <c r="AL72" s="30">
        <v>2.8239285530257939E-3</v>
      </c>
      <c r="AM72" s="30">
        <v>3.0349323550588878E-3</v>
      </c>
      <c r="AN72" s="32">
        <v>0</v>
      </c>
      <c r="AO72" s="32">
        <v>5.1842725945187069E-6</v>
      </c>
      <c r="AP72" s="32">
        <v>2.4817048849666651E-7</v>
      </c>
      <c r="AQ72" s="32">
        <v>6.5490648626579012E-8</v>
      </c>
      <c r="AR72" s="32">
        <v>5.2035080199717248E-8</v>
      </c>
      <c r="AS72" s="32">
        <v>1.49898500022658E-6</v>
      </c>
      <c r="AT72" s="32">
        <v>7.0489538120682492E-6</v>
      </c>
      <c r="AU72" s="34">
        <v>0</v>
      </c>
      <c r="AV72" s="34">
        <v>0</v>
      </c>
      <c r="AW72" s="34">
        <v>2.7764299448046754E-3</v>
      </c>
      <c r="AX72" s="34">
        <v>2.01770987761535E-2</v>
      </c>
      <c r="AY72" s="34">
        <v>1.6104955321521921E-2</v>
      </c>
      <c r="AZ72" s="34">
        <v>0.15858661301656282</v>
      </c>
      <c r="BA72" s="34">
        <v>0.19764509705904293</v>
      </c>
      <c r="BB72" s="6"/>
      <c r="BC72" s="6"/>
      <c r="BD72" t="s">
        <v>631</v>
      </c>
      <c r="BF72" s="5">
        <v>1.0288837E-2</v>
      </c>
      <c r="BG72" s="5">
        <f t="shared" si="5"/>
        <v>-4.2842608645082235E-3</v>
      </c>
      <c r="BH72" s="2">
        <v>28.523598</v>
      </c>
    </row>
    <row r="73" spans="1:60" x14ac:dyDescent="0.2">
      <c r="A73" t="str">
        <f t="shared" si="4"/>
        <v>Bicycle, electric (&lt;45 km/h) - 2040 - LFP - CH</v>
      </c>
      <c r="B73" t="s">
        <v>265</v>
      </c>
      <c r="D73" s="18">
        <v>2040</v>
      </c>
      <c r="E73" t="s">
        <v>37</v>
      </c>
      <c r="F73" t="s">
        <v>138</v>
      </c>
      <c r="G73" t="s">
        <v>39</v>
      </c>
      <c r="H73" t="s">
        <v>32</v>
      </c>
      <c r="I73" t="s">
        <v>44</v>
      </c>
      <c r="J73" t="s">
        <v>570</v>
      </c>
      <c r="L73" s="24">
        <v>0</v>
      </c>
      <c r="M73" s="24">
        <v>0</v>
      </c>
      <c r="N73" s="24">
        <v>2.7867064536129458E-4</v>
      </c>
      <c r="O73" s="24">
        <v>1.195732624675443E-3</v>
      </c>
      <c r="P73" s="24">
        <v>4.8897380160923046E-4</v>
      </c>
      <c r="Q73" s="24">
        <v>1.208315306485455E-2</v>
      </c>
      <c r="R73" s="24">
        <v>1.4046530136500517E-2</v>
      </c>
      <c r="S73" s="26">
        <v>0</v>
      </c>
      <c r="T73" s="26">
        <v>0</v>
      </c>
      <c r="U73" s="26">
        <v>1.5884578578857799E-4</v>
      </c>
      <c r="V73" s="26">
        <v>9.8317473549625417E-5</v>
      </c>
      <c r="W73" s="26">
        <v>3.0897100807989451E-5</v>
      </c>
      <c r="X73" s="26">
        <v>5.2473757180386358E-3</v>
      </c>
      <c r="Y73" s="26">
        <v>5.5354360781848288E-3</v>
      </c>
      <c r="Z73" s="28">
        <v>0</v>
      </c>
      <c r="AA73" s="28">
        <v>1.3758060237990489E-3</v>
      </c>
      <c r="AB73" s="28">
        <v>2.8029422642845481E-5</v>
      </c>
      <c r="AC73" s="28">
        <v>2.3968260093961618E-5</v>
      </c>
      <c r="AD73" s="28">
        <v>1.4044766540230931E-5</v>
      </c>
      <c r="AE73" s="28">
        <v>8.1262323617899406E-4</v>
      </c>
      <c r="AF73" s="28">
        <v>2.254471709255081E-3</v>
      </c>
      <c r="AG73" s="30">
        <v>0</v>
      </c>
      <c r="AH73" s="30">
        <v>7.228237882960114E-6</v>
      </c>
      <c r="AI73" s="30">
        <v>1.050429925159661E-4</v>
      </c>
      <c r="AJ73" s="30">
        <v>8.5554174677296554E-5</v>
      </c>
      <c r="AK73" s="30">
        <v>1.310762189990984E-5</v>
      </c>
      <c r="AL73" s="30">
        <v>2.603132400579865E-3</v>
      </c>
      <c r="AM73" s="30">
        <v>2.8140654275559977E-3</v>
      </c>
      <c r="AN73" s="32">
        <v>0</v>
      </c>
      <c r="AO73" s="32">
        <v>5.1842725945187069E-6</v>
      </c>
      <c r="AP73" s="32">
        <v>2.4817048849666651E-7</v>
      </c>
      <c r="AQ73" s="32">
        <v>6.5490648626579012E-8</v>
      </c>
      <c r="AR73" s="32">
        <v>5.1755623921599077E-8</v>
      </c>
      <c r="AS73" s="32">
        <v>1.365644327390255E-6</v>
      </c>
      <c r="AT73" s="32">
        <v>6.9153336829538054E-6</v>
      </c>
      <c r="AU73" s="34">
        <v>0</v>
      </c>
      <c r="AV73" s="34">
        <v>0</v>
      </c>
      <c r="AW73" s="34">
        <v>2.7764299448046754E-3</v>
      </c>
      <c r="AX73" s="34">
        <v>2.01770987761535E-2</v>
      </c>
      <c r="AY73" s="34">
        <v>1.6018463077133369E-2</v>
      </c>
      <c r="AZ73" s="34">
        <v>0.15042861546950603</v>
      </c>
      <c r="BA73" s="34">
        <v>0.18940060726759758</v>
      </c>
      <c r="BB73" s="6"/>
      <c r="BC73" s="6"/>
      <c r="BD73" t="s">
        <v>632</v>
      </c>
      <c r="BF73" s="5">
        <v>9.7680244999999999E-3</v>
      </c>
      <c r="BG73" s="5">
        <f t="shared" si="5"/>
        <v>-4.2785056365005174E-3</v>
      </c>
      <c r="BH73" s="2">
        <v>25.580089000000001</v>
      </c>
    </row>
    <row r="74" spans="1:60" x14ac:dyDescent="0.2">
      <c r="A74" t="str">
        <f t="shared" si="4"/>
        <v>Bicycle, electric (&lt;45 km/h) - 2050 - LFP - CH</v>
      </c>
      <c r="B74" t="s">
        <v>265</v>
      </c>
      <c r="D74" s="18">
        <v>2050</v>
      </c>
      <c r="E74" t="s">
        <v>37</v>
      </c>
      <c r="F74" t="s">
        <v>138</v>
      </c>
      <c r="G74" t="s">
        <v>39</v>
      </c>
      <c r="H74" t="s">
        <v>32</v>
      </c>
      <c r="I74" t="s">
        <v>44</v>
      </c>
      <c r="J74" t="s">
        <v>570</v>
      </c>
      <c r="L74" s="24">
        <v>0</v>
      </c>
      <c r="M74" s="24">
        <v>0</v>
      </c>
      <c r="N74" s="24">
        <v>2.7867064536129458E-4</v>
      </c>
      <c r="O74" s="24">
        <v>1.195732624675443E-3</v>
      </c>
      <c r="P74" s="24">
        <v>4.9172024871834666E-4</v>
      </c>
      <c r="Q74" s="24">
        <v>1.2039724651308431E-2</v>
      </c>
      <c r="R74" s="24">
        <v>1.4005848170063515E-2</v>
      </c>
      <c r="S74" s="26">
        <v>0</v>
      </c>
      <c r="T74" s="26">
        <v>0</v>
      </c>
      <c r="U74" s="26">
        <v>1.5884578578857799E-4</v>
      </c>
      <c r="V74" s="26">
        <v>9.8317473549625417E-5</v>
      </c>
      <c r="W74" s="26">
        <v>3.1070642320673577E-5</v>
      </c>
      <c r="X74" s="26">
        <v>5.0014927998737564E-3</v>
      </c>
      <c r="Y74" s="26">
        <v>5.289726701532633E-3</v>
      </c>
      <c r="Z74" s="28">
        <v>0</v>
      </c>
      <c r="AA74" s="28">
        <v>1.3758060237990489E-3</v>
      </c>
      <c r="AB74" s="28">
        <v>2.8029422642845481E-5</v>
      </c>
      <c r="AC74" s="28">
        <v>2.3968260093961618E-5</v>
      </c>
      <c r="AD74" s="28">
        <v>1.41236525834825E-5</v>
      </c>
      <c r="AE74" s="28">
        <v>7.9093908825957971E-4</v>
      </c>
      <c r="AF74" s="28">
        <v>2.2328664473789182E-3</v>
      </c>
      <c r="AG74" s="30">
        <v>0</v>
      </c>
      <c r="AH74" s="30">
        <v>7.228237882960114E-6</v>
      </c>
      <c r="AI74" s="30">
        <v>1.050429925159661E-4</v>
      </c>
      <c r="AJ74" s="30">
        <v>8.5554174677296554E-5</v>
      </c>
      <c r="AK74" s="30">
        <v>1.318124422927783E-5</v>
      </c>
      <c r="AL74" s="30">
        <v>2.532883577710338E-3</v>
      </c>
      <c r="AM74" s="30">
        <v>2.7438902270158386E-3</v>
      </c>
      <c r="AN74" s="32">
        <v>0</v>
      </c>
      <c r="AO74" s="32">
        <v>5.1842725945187069E-6</v>
      </c>
      <c r="AP74" s="32">
        <v>2.4817048849666651E-7</v>
      </c>
      <c r="AQ74" s="32">
        <v>6.5490648626579012E-8</v>
      </c>
      <c r="AR74" s="32">
        <v>5.2046322693664528E-8</v>
      </c>
      <c r="AS74" s="32">
        <v>1.310356689145099E-6</v>
      </c>
      <c r="AT74" s="32">
        <v>6.8603367434807159E-6</v>
      </c>
      <c r="AU74" s="34">
        <v>0</v>
      </c>
      <c r="AV74" s="34">
        <v>0</v>
      </c>
      <c r="AW74" s="34">
        <v>2.7764299448046754E-3</v>
      </c>
      <c r="AX74" s="34">
        <v>2.01770987761535E-2</v>
      </c>
      <c r="AY74" s="34">
        <v>1.6108434894572029E-2</v>
      </c>
      <c r="AZ74" s="34">
        <v>0.14873284614030871</v>
      </c>
      <c r="BA74" s="34">
        <v>0.1877948097558389</v>
      </c>
      <c r="BB74" s="6"/>
      <c r="BC74" s="6"/>
      <c r="BD74" t="s">
        <v>633</v>
      </c>
      <c r="BF74" s="5">
        <v>9.6136794999999997E-3</v>
      </c>
      <c r="BG74" s="5">
        <f t="shared" si="5"/>
        <v>-4.3921686700635152E-3</v>
      </c>
      <c r="BH74" s="2">
        <v>24.193314999999998</v>
      </c>
    </row>
    <row r="75" spans="1:60" x14ac:dyDescent="0.2">
      <c r="A75" t="str">
        <f t="shared" si="4"/>
        <v>Bicycle, electric, cargo bike - 2020 - LFP - CH</v>
      </c>
      <c r="B75" t="s">
        <v>271</v>
      </c>
      <c r="D75" s="18">
        <v>2020</v>
      </c>
      <c r="E75" t="s">
        <v>37</v>
      </c>
      <c r="F75" t="s">
        <v>138</v>
      </c>
      <c r="G75" t="s">
        <v>39</v>
      </c>
      <c r="H75" t="s">
        <v>32</v>
      </c>
      <c r="I75" t="s">
        <v>44</v>
      </c>
      <c r="J75" t="s">
        <v>570</v>
      </c>
      <c r="L75" s="24">
        <v>0</v>
      </c>
      <c r="M75" s="24">
        <v>0</v>
      </c>
      <c r="N75" s="24">
        <v>2.1347201307001551E-4</v>
      </c>
      <c r="O75" s="24">
        <v>1.195732624675443E-3</v>
      </c>
      <c r="P75" s="24">
        <v>7.8979321563259718E-4</v>
      </c>
      <c r="Q75" s="24">
        <v>2.542449500895469E-2</v>
      </c>
      <c r="R75" s="24">
        <v>2.7623492862332746E-2</v>
      </c>
      <c r="S75" s="26">
        <v>0</v>
      </c>
      <c r="T75" s="26">
        <v>0</v>
      </c>
      <c r="U75" s="26">
        <v>1.2168174231632199E-4</v>
      </c>
      <c r="V75" s="26">
        <v>9.8317473549625417E-5</v>
      </c>
      <c r="W75" s="26">
        <v>4.9905169807784347E-5</v>
      </c>
      <c r="X75" s="26">
        <v>9.1136015202262204E-3</v>
      </c>
      <c r="Y75" s="26">
        <v>9.3835059058999526E-3</v>
      </c>
      <c r="Z75" s="28">
        <v>0</v>
      </c>
      <c r="AA75" s="28">
        <v>2.7516120475980978E-3</v>
      </c>
      <c r="AB75" s="28">
        <v>2.1471573616951781E-5</v>
      </c>
      <c r="AC75" s="28">
        <v>2.3968260093961618E-5</v>
      </c>
      <c r="AD75" s="28">
        <v>2.268518536598976E-5</v>
      </c>
      <c r="AE75" s="28">
        <v>1.5312676604341709E-3</v>
      </c>
      <c r="AF75" s="28">
        <v>4.3510047271091718E-3</v>
      </c>
      <c r="AG75" s="30">
        <v>0</v>
      </c>
      <c r="AH75" s="30">
        <v>1.445647576592023E-5</v>
      </c>
      <c r="AI75" s="30">
        <v>8.0466814300478743E-5</v>
      </c>
      <c r="AJ75" s="30">
        <v>8.5554174677296554E-5</v>
      </c>
      <c r="AK75" s="30">
        <v>2.117150410831053E-5</v>
      </c>
      <c r="AL75" s="30">
        <v>4.6771141513465009E-3</v>
      </c>
      <c r="AM75" s="30">
        <v>4.8787631201985069E-3</v>
      </c>
      <c r="AN75" s="32">
        <v>0</v>
      </c>
      <c r="AO75" s="32">
        <v>1.036854518903741E-5</v>
      </c>
      <c r="AP75" s="32">
        <v>1.901077657292092E-7</v>
      </c>
      <c r="AQ75" s="32">
        <v>6.5490648626579012E-8</v>
      </c>
      <c r="AR75" s="32">
        <v>8.359597285086832E-8</v>
      </c>
      <c r="AS75" s="32">
        <v>2.795573149973405E-6</v>
      </c>
      <c r="AT75" s="32">
        <v>1.3503312726217473E-5</v>
      </c>
      <c r="AU75" s="34">
        <v>0</v>
      </c>
      <c r="AV75" s="34">
        <v>0</v>
      </c>
      <c r="AW75" s="34">
        <v>2.1268479451680587E-3</v>
      </c>
      <c r="AX75" s="34">
        <v>2.01770987761535E-2</v>
      </c>
      <c r="AY75" s="34">
        <v>2.5873111036921376E-2</v>
      </c>
      <c r="AZ75" s="34">
        <v>0.31624977515645514</v>
      </c>
      <c r="BA75" s="34">
        <v>0.36442683291469807</v>
      </c>
      <c r="BB75" s="6"/>
      <c r="BC75" s="6"/>
      <c r="BD75" t="s">
        <v>904</v>
      </c>
      <c r="BF75" s="5">
        <v>1.9179189999999999E-2</v>
      </c>
      <c r="BG75" s="5">
        <f t="shared" si="5"/>
        <v>-8.4443028623327476E-3</v>
      </c>
      <c r="BH75" s="2">
        <v>48.444122</v>
      </c>
    </row>
    <row r="76" spans="1:60" x14ac:dyDescent="0.2">
      <c r="A76" t="str">
        <f t="shared" si="4"/>
        <v>Bicycle, electric, cargo bike - 2030 - LFP - CH</v>
      </c>
      <c r="B76" t="s">
        <v>271</v>
      </c>
      <c r="D76" s="18">
        <v>2030</v>
      </c>
      <c r="E76" t="s">
        <v>37</v>
      </c>
      <c r="F76" t="s">
        <v>138</v>
      </c>
      <c r="G76" t="s">
        <v>39</v>
      </c>
      <c r="H76" t="s">
        <v>32</v>
      </c>
      <c r="I76" t="s">
        <v>44</v>
      </c>
      <c r="J76" t="s">
        <v>570</v>
      </c>
      <c r="L76" s="24">
        <v>0</v>
      </c>
      <c r="M76" s="24">
        <v>0</v>
      </c>
      <c r="N76" s="24">
        <v>2.1347201307001551E-4</v>
      </c>
      <c r="O76" s="24">
        <v>1.195732624675443E-3</v>
      </c>
      <c r="P76" s="24">
        <v>7.8908004980868317E-4</v>
      </c>
      <c r="Q76" s="24">
        <v>2.626939728422828E-2</v>
      </c>
      <c r="R76" s="24">
        <v>2.846768197178242E-2</v>
      </c>
      <c r="S76" s="26">
        <v>0</v>
      </c>
      <c r="T76" s="26">
        <v>0</v>
      </c>
      <c r="U76" s="26">
        <v>1.2168174231632199E-4</v>
      </c>
      <c r="V76" s="26">
        <v>9.8317473549625417E-5</v>
      </c>
      <c r="W76" s="26">
        <v>4.9860106542059748E-5</v>
      </c>
      <c r="X76" s="26">
        <v>8.7427632140537458E-3</v>
      </c>
      <c r="Y76" s="26">
        <v>9.0126225364617531E-3</v>
      </c>
      <c r="Z76" s="28">
        <v>0</v>
      </c>
      <c r="AA76" s="28">
        <v>2.7516120475980978E-3</v>
      </c>
      <c r="AB76" s="28">
        <v>2.1471573616951781E-5</v>
      </c>
      <c r="AC76" s="28">
        <v>2.3968260093961618E-5</v>
      </c>
      <c r="AD76" s="28">
        <v>2.2664701144813939E-5</v>
      </c>
      <c r="AE76" s="28">
        <v>1.5367796168004259E-3</v>
      </c>
      <c r="AF76" s="28">
        <v>4.3564961992542508E-3</v>
      </c>
      <c r="AG76" s="30">
        <v>0</v>
      </c>
      <c r="AH76" s="30">
        <v>1.445647576592023E-5</v>
      </c>
      <c r="AI76" s="30">
        <v>8.0466814300478743E-5</v>
      </c>
      <c r="AJ76" s="30">
        <v>8.5554174677296554E-5</v>
      </c>
      <c r="AK76" s="30">
        <v>2.1152386707866911E-5</v>
      </c>
      <c r="AL76" s="30">
        <v>4.7055066893301441E-3</v>
      </c>
      <c r="AM76" s="30">
        <v>4.9071365407817062E-3</v>
      </c>
      <c r="AN76" s="32">
        <v>0</v>
      </c>
      <c r="AO76" s="32">
        <v>1.036854518903741E-5</v>
      </c>
      <c r="AP76" s="32">
        <v>1.901077657292092E-7</v>
      </c>
      <c r="AQ76" s="32">
        <v>6.5490648626579012E-8</v>
      </c>
      <c r="AR76" s="32">
        <v>8.3520487534365137E-8</v>
      </c>
      <c r="AS76" s="32">
        <v>2.7102528686705018E-6</v>
      </c>
      <c r="AT76" s="32">
        <v>1.3417916959598066E-5</v>
      </c>
      <c r="AU76" s="34">
        <v>0</v>
      </c>
      <c r="AV76" s="34">
        <v>0</v>
      </c>
      <c r="AW76" s="34">
        <v>2.1268479451680587E-3</v>
      </c>
      <c r="AX76" s="34">
        <v>2.01770987761535E-2</v>
      </c>
      <c r="AY76" s="34">
        <v>2.5849748189299193E-2</v>
      </c>
      <c r="AZ76" s="34">
        <v>0.32250638016648092</v>
      </c>
      <c r="BA76" s="34">
        <v>0.37066007507710169</v>
      </c>
      <c r="BB76" s="6"/>
      <c r="BC76" s="6"/>
      <c r="BD76" t="s">
        <v>634</v>
      </c>
      <c r="BF76" s="5">
        <v>1.9206132000000001E-2</v>
      </c>
      <c r="BG76" s="5">
        <f t="shared" si="5"/>
        <v>-9.2615499717824193E-3</v>
      </c>
      <c r="BH76" s="2">
        <v>45.514404999999996</v>
      </c>
    </row>
    <row r="77" spans="1:60" x14ac:dyDescent="0.2">
      <c r="A77" t="str">
        <f t="shared" si="4"/>
        <v>Bicycle, electric, cargo bike - 2040 - LFP - CH</v>
      </c>
      <c r="B77" t="s">
        <v>271</v>
      </c>
      <c r="D77" s="18">
        <v>2040</v>
      </c>
      <c r="E77" t="s">
        <v>37</v>
      </c>
      <c r="F77" t="s">
        <v>138</v>
      </c>
      <c r="G77" t="s">
        <v>39</v>
      </c>
      <c r="H77" t="s">
        <v>32</v>
      </c>
      <c r="I77" t="s">
        <v>44</v>
      </c>
      <c r="J77" t="s">
        <v>570</v>
      </c>
      <c r="L77" s="24">
        <v>0</v>
      </c>
      <c r="M77" s="24">
        <v>0</v>
      </c>
      <c r="N77" s="24">
        <v>2.1347201307001551E-4</v>
      </c>
      <c r="O77" s="24">
        <v>1.195732624675443E-3</v>
      </c>
      <c r="P77" s="24">
        <v>7.8220634516542513E-4</v>
      </c>
      <c r="Q77" s="24">
        <v>2.578366496560117E-2</v>
      </c>
      <c r="R77" s="24">
        <v>2.7975075948512052E-2</v>
      </c>
      <c r="S77" s="26">
        <v>0</v>
      </c>
      <c r="T77" s="26">
        <v>0</v>
      </c>
      <c r="U77" s="26">
        <v>1.2168174231632199E-4</v>
      </c>
      <c r="V77" s="26">
        <v>9.8317473549625417E-5</v>
      </c>
      <c r="W77" s="26">
        <v>4.942577336390553E-5</v>
      </c>
      <c r="X77" s="26">
        <v>7.7968102391621262E-3</v>
      </c>
      <c r="Y77" s="26">
        <v>8.0662352283919787E-3</v>
      </c>
      <c r="Z77" s="28">
        <v>0</v>
      </c>
      <c r="AA77" s="28">
        <v>2.7516120475980978E-3</v>
      </c>
      <c r="AB77" s="28">
        <v>2.1471573616951781E-5</v>
      </c>
      <c r="AC77" s="28">
        <v>2.3968260093961618E-5</v>
      </c>
      <c r="AD77" s="28">
        <v>2.2467268119438459E-5</v>
      </c>
      <c r="AE77" s="28">
        <v>1.4382961002366019E-3</v>
      </c>
      <c r="AF77" s="28">
        <v>4.2578152496650515E-3</v>
      </c>
      <c r="AG77" s="30">
        <v>0</v>
      </c>
      <c r="AH77" s="30">
        <v>1.445647576592023E-5</v>
      </c>
      <c r="AI77" s="30">
        <v>8.0466814300478743E-5</v>
      </c>
      <c r="AJ77" s="30">
        <v>8.5554174677296554E-5</v>
      </c>
      <c r="AK77" s="30">
        <v>2.0968127507846451E-5</v>
      </c>
      <c r="AL77" s="30">
        <v>4.4000001155117428E-3</v>
      </c>
      <c r="AM77" s="30">
        <v>4.6014457077632846E-3</v>
      </c>
      <c r="AN77" s="32">
        <v>0</v>
      </c>
      <c r="AO77" s="32">
        <v>1.036854518903741E-5</v>
      </c>
      <c r="AP77" s="32">
        <v>1.901077657292092E-7</v>
      </c>
      <c r="AQ77" s="32">
        <v>6.5490648626579012E-8</v>
      </c>
      <c r="AR77" s="32">
        <v>8.2792937568919515E-8</v>
      </c>
      <c r="AS77" s="32">
        <v>2.4823554928813048E-6</v>
      </c>
      <c r="AT77" s="32">
        <v>1.3189292033843424E-5</v>
      </c>
      <c r="AU77" s="34">
        <v>0</v>
      </c>
      <c r="AV77" s="34">
        <v>0</v>
      </c>
      <c r="AW77" s="34">
        <v>2.1268479451680587E-3</v>
      </c>
      <c r="AX77" s="34">
        <v>2.01770987761535E-2</v>
      </c>
      <c r="AY77" s="34">
        <v>2.5624570104770358E-2</v>
      </c>
      <c r="AZ77" s="34">
        <v>0.31251170151621827</v>
      </c>
      <c r="BA77" s="34">
        <v>0.36044021834231021</v>
      </c>
      <c r="BB77" s="6"/>
      <c r="BC77" s="6"/>
      <c r="BD77" t="s">
        <v>635</v>
      </c>
      <c r="BF77" s="5">
        <v>1.8432219000000003E-2</v>
      </c>
      <c r="BG77" s="5">
        <f t="shared" si="5"/>
        <v>-9.542856948512049E-3</v>
      </c>
      <c r="BH77" s="2">
        <v>40.143754999999999</v>
      </c>
    </row>
    <row r="78" spans="1:60" x14ac:dyDescent="0.2">
      <c r="A78" t="str">
        <f t="shared" si="4"/>
        <v>Bicycle, electric, cargo bike - 2050 - LFP - CH</v>
      </c>
      <c r="B78" t="s">
        <v>271</v>
      </c>
      <c r="D78" s="18">
        <v>2050</v>
      </c>
      <c r="E78" t="s">
        <v>37</v>
      </c>
      <c r="F78" t="s">
        <v>138</v>
      </c>
      <c r="G78" t="s">
        <v>39</v>
      </c>
      <c r="H78" t="s">
        <v>32</v>
      </c>
      <c r="I78" t="s">
        <v>44</v>
      </c>
      <c r="J78" t="s">
        <v>570</v>
      </c>
      <c r="L78" s="24">
        <v>0</v>
      </c>
      <c r="M78" s="24">
        <v>0</v>
      </c>
      <c r="N78" s="24">
        <v>2.1347201307001551E-4</v>
      </c>
      <c r="O78" s="24">
        <v>1.195732624675443E-3</v>
      </c>
      <c r="P78" s="24">
        <v>7.7631893368289989E-4</v>
      </c>
      <c r="Q78" s="24">
        <v>2.5641509576497589E-2</v>
      </c>
      <c r="R78" s="24">
        <v>2.7827033147925947E-2</v>
      </c>
      <c r="S78" s="26">
        <v>0</v>
      </c>
      <c r="T78" s="26">
        <v>0</v>
      </c>
      <c r="U78" s="26">
        <v>1.2168174231632199E-4</v>
      </c>
      <c r="V78" s="26">
        <v>9.8317473549625417E-5</v>
      </c>
      <c r="W78" s="26">
        <v>4.9053761723455578E-5</v>
      </c>
      <c r="X78" s="26">
        <v>7.0811706497131482E-3</v>
      </c>
      <c r="Y78" s="26">
        <v>7.3502236273025514E-3</v>
      </c>
      <c r="Z78" s="28">
        <v>0</v>
      </c>
      <c r="AA78" s="28">
        <v>2.7516120475980978E-3</v>
      </c>
      <c r="AB78" s="28">
        <v>2.1471573616951781E-5</v>
      </c>
      <c r="AC78" s="28">
        <v>2.3968260093961618E-5</v>
      </c>
      <c r="AD78" s="28">
        <v>2.2298164336114662E-5</v>
      </c>
      <c r="AE78" s="28">
        <v>1.3733371347972199E-3</v>
      </c>
      <c r="AF78" s="28">
        <v>4.1926871804423456E-3</v>
      </c>
      <c r="AG78" s="30">
        <v>0</v>
      </c>
      <c r="AH78" s="30">
        <v>1.445647576592023E-5</v>
      </c>
      <c r="AI78" s="30">
        <v>8.0466814300478743E-5</v>
      </c>
      <c r="AJ78" s="30">
        <v>8.5554174677296554E-5</v>
      </c>
      <c r="AK78" s="30">
        <v>2.0810307265886331E-5</v>
      </c>
      <c r="AL78" s="30">
        <v>4.2012578757362716E-3</v>
      </c>
      <c r="AM78" s="30">
        <v>4.4025456477458534E-3</v>
      </c>
      <c r="AN78" s="32">
        <v>0</v>
      </c>
      <c r="AO78" s="32">
        <v>1.036854518903741E-5</v>
      </c>
      <c r="AP78" s="32">
        <v>1.901077657292092E-7</v>
      </c>
      <c r="AQ78" s="32">
        <v>6.5490648626579012E-8</v>
      </c>
      <c r="AR78" s="32">
        <v>8.2169782190127282E-8</v>
      </c>
      <c r="AS78" s="32">
        <v>2.3102412858192088E-6</v>
      </c>
      <c r="AT78" s="32">
        <v>1.3016554671402537E-5</v>
      </c>
      <c r="AU78" s="34">
        <v>0</v>
      </c>
      <c r="AV78" s="34">
        <v>0</v>
      </c>
      <c r="AW78" s="34">
        <v>2.1268479451680587E-3</v>
      </c>
      <c r="AX78" s="34">
        <v>2.01770987761535E-2</v>
      </c>
      <c r="AY78" s="34">
        <v>2.5431702341421163E-2</v>
      </c>
      <c r="AZ78" s="34">
        <v>0.30715814296346022</v>
      </c>
      <c r="BA78" s="34">
        <v>0.35489379202620297</v>
      </c>
      <c r="BB78" s="6"/>
      <c r="BC78" s="6"/>
      <c r="BD78" t="s">
        <v>636</v>
      </c>
      <c r="BF78" s="5">
        <v>1.7913862999999999E-2</v>
      </c>
      <c r="BG78" s="5">
        <f t="shared" si="5"/>
        <v>-9.9131701479259482E-3</v>
      </c>
      <c r="BH78" s="2">
        <v>35.893363999999998</v>
      </c>
    </row>
    <row r="79" spans="1:60" x14ac:dyDescent="0.2">
      <c r="A79" t="str">
        <f t="shared" si="4"/>
        <v>Bicycle, electric (&lt;25 km/h) - 2020 - NCA - CH</v>
      </c>
      <c r="B79" t="s">
        <v>264</v>
      </c>
      <c r="D79" s="18">
        <v>2020</v>
      </c>
      <c r="E79" t="s">
        <v>37</v>
      </c>
      <c r="F79" t="s">
        <v>138</v>
      </c>
      <c r="G79" t="s">
        <v>39</v>
      </c>
      <c r="H79" t="s">
        <v>32</v>
      </c>
      <c r="I79" t="s">
        <v>45</v>
      </c>
      <c r="J79" t="s">
        <v>570</v>
      </c>
      <c r="L79" s="24">
        <v>0</v>
      </c>
      <c r="M79" s="24">
        <v>0</v>
      </c>
      <c r="N79" s="24">
        <v>1.5173567960250059E-4</v>
      </c>
      <c r="O79" s="24">
        <v>1.195732624675443E-3</v>
      </c>
      <c r="P79" s="24">
        <v>4.498684323099595E-4</v>
      </c>
      <c r="Q79" s="24">
        <v>1.195942720652177E-2</v>
      </c>
      <c r="R79" s="24">
        <v>1.3756763943109674E-2</v>
      </c>
      <c r="S79" s="26">
        <v>0</v>
      </c>
      <c r="T79" s="26">
        <v>0</v>
      </c>
      <c r="U79" s="26">
        <v>8.6491252881602508E-5</v>
      </c>
      <c r="V79" s="26">
        <v>9.8317473549625417E-5</v>
      </c>
      <c r="W79" s="26">
        <v>2.8426124789648879E-5</v>
      </c>
      <c r="X79" s="26">
        <v>6.1850393424667067E-3</v>
      </c>
      <c r="Y79" s="26">
        <v>6.3982741936875831E-3</v>
      </c>
      <c r="Z79" s="28">
        <v>0</v>
      </c>
      <c r="AA79" s="28">
        <v>1.3758060237990489E-3</v>
      </c>
      <c r="AB79" s="28">
        <v>1.5261971665741149E-5</v>
      </c>
      <c r="AC79" s="28">
        <v>2.3968260093961618E-5</v>
      </c>
      <c r="AD79" s="28">
        <v>1.292154525420241E-5</v>
      </c>
      <c r="AE79" s="28">
        <v>8.2462494292362561E-4</v>
      </c>
      <c r="AF79" s="28">
        <v>2.2525827437365796E-3</v>
      </c>
      <c r="AG79" s="30">
        <v>0</v>
      </c>
      <c r="AH79" s="30">
        <v>7.228237882960114E-6</v>
      </c>
      <c r="AI79" s="30">
        <v>5.7195725930249998E-5</v>
      </c>
      <c r="AJ79" s="30">
        <v>8.5554174677296554E-5</v>
      </c>
      <c r="AK79" s="30">
        <v>1.2059348161430861E-5</v>
      </c>
      <c r="AL79" s="30">
        <v>2.5731631404864201E-3</v>
      </c>
      <c r="AM79" s="30">
        <v>2.7352006271383574E-3</v>
      </c>
      <c r="AN79" s="32">
        <v>0</v>
      </c>
      <c r="AO79" s="32">
        <v>5.1842725945187069E-6</v>
      </c>
      <c r="AP79" s="32">
        <v>1.3512839746900889E-7</v>
      </c>
      <c r="AQ79" s="32">
        <v>6.5490648626579012E-8</v>
      </c>
      <c r="AR79" s="32">
        <v>4.7616500761815227E-8</v>
      </c>
      <c r="AS79" s="32">
        <v>1.614841507887932E-6</v>
      </c>
      <c r="AT79" s="32">
        <v>7.0473496492640416E-6</v>
      </c>
      <c r="AU79" s="34">
        <v>0</v>
      </c>
      <c r="AV79" s="34">
        <v>0</v>
      </c>
      <c r="AW79" s="34">
        <v>1.5117612549304556E-3</v>
      </c>
      <c r="AX79" s="34">
        <v>2.01770987761535E-2</v>
      </c>
      <c r="AY79" s="34">
        <v>1.4737396663807122E-2</v>
      </c>
      <c r="AZ79" s="34">
        <v>0.15192758732811798</v>
      </c>
      <c r="BA79" s="34">
        <v>0.18835384402300906</v>
      </c>
      <c r="BB79" s="6"/>
      <c r="BC79" s="6"/>
      <c r="BD79" t="s">
        <v>905</v>
      </c>
      <c r="BF79" s="5">
        <v>1.0032362E-2</v>
      </c>
      <c r="BG79" s="5">
        <f t="shared" si="5"/>
        <v>-3.7244019431096741E-3</v>
      </c>
      <c r="BH79" s="2">
        <v>27.757622000000001</v>
      </c>
    </row>
    <row r="80" spans="1:60" x14ac:dyDescent="0.2">
      <c r="A80" t="str">
        <f t="shared" si="4"/>
        <v>Bicycle, electric (&lt;25 km/h) - 2030 - NCA - CH</v>
      </c>
      <c r="B80" t="s">
        <v>264</v>
      </c>
      <c r="D80" s="18">
        <v>2030</v>
      </c>
      <c r="E80" t="s">
        <v>37</v>
      </c>
      <c r="F80" t="s">
        <v>138</v>
      </c>
      <c r="G80" t="s">
        <v>39</v>
      </c>
      <c r="H80" t="s">
        <v>32</v>
      </c>
      <c r="I80" t="s">
        <v>45</v>
      </c>
      <c r="J80" t="s">
        <v>570</v>
      </c>
      <c r="L80" s="24">
        <v>0</v>
      </c>
      <c r="M80" s="24">
        <v>0</v>
      </c>
      <c r="N80" s="24">
        <v>1.5173567960250059E-4</v>
      </c>
      <c r="O80" s="24">
        <v>1.195732624675443E-3</v>
      </c>
      <c r="P80" s="24">
        <v>4.5014419855824448E-4</v>
      </c>
      <c r="Q80" s="24">
        <v>1.2439471398616011E-2</v>
      </c>
      <c r="R80" s="24">
        <v>1.4237083901452199E-2</v>
      </c>
      <c r="S80" s="26">
        <v>0</v>
      </c>
      <c r="T80" s="26">
        <v>0</v>
      </c>
      <c r="U80" s="26">
        <v>8.6491252881602508E-5</v>
      </c>
      <c r="V80" s="26">
        <v>9.8317473549625417E-5</v>
      </c>
      <c r="W80" s="26">
        <v>2.844354980821769E-5</v>
      </c>
      <c r="X80" s="26">
        <v>6.027723165204296E-3</v>
      </c>
      <c r="Y80" s="26">
        <v>6.240975441443742E-3</v>
      </c>
      <c r="Z80" s="28">
        <v>0</v>
      </c>
      <c r="AA80" s="28">
        <v>1.3758060237990489E-3</v>
      </c>
      <c r="AB80" s="28">
        <v>1.5261971665741149E-5</v>
      </c>
      <c r="AC80" s="28">
        <v>2.3968260093961618E-5</v>
      </c>
      <c r="AD80" s="28">
        <v>1.2929466072381411E-5</v>
      </c>
      <c r="AE80" s="28">
        <v>8.3320773450341152E-4</v>
      </c>
      <c r="AF80" s="28">
        <v>2.2611734561345446E-3</v>
      </c>
      <c r="AG80" s="30">
        <v>0</v>
      </c>
      <c r="AH80" s="30">
        <v>7.228237882960114E-6</v>
      </c>
      <c r="AI80" s="30">
        <v>5.7195725930249998E-5</v>
      </c>
      <c r="AJ80" s="30">
        <v>8.5554174677296554E-5</v>
      </c>
      <c r="AK80" s="30">
        <v>1.2066740458734681E-5</v>
      </c>
      <c r="AL80" s="30">
        <v>2.608428463405082E-3</v>
      </c>
      <c r="AM80" s="30">
        <v>2.7704733423543231E-3</v>
      </c>
      <c r="AN80" s="32">
        <v>0</v>
      </c>
      <c r="AO80" s="32">
        <v>5.1842725945187069E-6</v>
      </c>
      <c r="AP80" s="32">
        <v>1.3512839746900889E-7</v>
      </c>
      <c r="AQ80" s="32">
        <v>6.5490648626579012E-8</v>
      </c>
      <c r="AR80" s="32">
        <v>4.7645689348585192E-8</v>
      </c>
      <c r="AS80" s="32">
        <v>1.577329677426445E-6</v>
      </c>
      <c r="AT80" s="32">
        <v>7.0098670073893242E-6</v>
      </c>
      <c r="AU80" s="34">
        <v>0</v>
      </c>
      <c r="AV80" s="34">
        <v>0</v>
      </c>
      <c r="AW80" s="34">
        <v>1.5117612549304556E-3</v>
      </c>
      <c r="AX80" s="34">
        <v>2.01770987761535E-2</v>
      </c>
      <c r="AY80" s="34">
        <v>1.4746430586384435E-2</v>
      </c>
      <c r="AZ80" s="34">
        <v>0.15604468123473014</v>
      </c>
      <c r="BA80" s="34">
        <v>0.19247997185219853</v>
      </c>
      <c r="BB80" s="6"/>
      <c r="BC80" s="6"/>
      <c r="BD80" t="s">
        <v>637</v>
      </c>
      <c r="BF80" s="5">
        <v>1.0115417E-2</v>
      </c>
      <c r="BG80" s="5">
        <f t="shared" si="5"/>
        <v>-4.1216669014521989E-3</v>
      </c>
      <c r="BH80" s="2">
        <v>26.663468999999999</v>
      </c>
    </row>
    <row r="81" spans="1:60" x14ac:dyDescent="0.2">
      <c r="A81" t="str">
        <f t="shared" si="4"/>
        <v>Bicycle, electric (&lt;25 km/h) - 2040 - NCA - CH</v>
      </c>
      <c r="B81" t="s">
        <v>264</v>
      </c>
      <c r="D81" s="18">
        <v>2040</v>
      </c>
      <c r="E81" t="s">
        <v>37</v>
      </c>
      <c r="F81" t="s">
        <v>138</v>
      </c>
      <c r="G81" t="s">
        <v>39</v>
      </c>
      <c r="H81" t="s">
        <v>32</v>
      </c>
      <c r="I81" t="s">
        <v>45</v>
      </c>
      <c r="J81" t="s">
        <v>570</v>
      </c>
      <c r="L81" s="24">
        <v>0</v>
      </c>
      <c r="M81" s="24">
        <v>0</v>
      </c>
      <c r="N81" s="24">
        <v>1.5173567960250059E-4</v>
      </c>
      <c r="O81" s="24">
        <v>1.195732624675443E-3</v>
      </c>
      <c r="P81" s="24">
        <v>4.472460140397849E-4</v>
      </c>
      <c r="Q81" s="24">
        <v>1.2198250459837801E-2</v>
      </c>
      <c r="R81" s="24">
        <v>1.399296477815553E-2</v>
      </c>
      <c r="S81" s="26">
        <v>0</v>
      </c>
      <c r="T81" s="26">
        <v>0</v>
      </c>
      <c r="U81" s="26">
        <v>8.6491252881602508E-5</v>
      </c>
      <c r="V81" s="26">
        <v>9.8317473549625417E-5</v>
      </c>
      <c r="W81" s="26">
        <v>2.8260420366655981E-5</v>
      </c>
      <c r="X81" s="26">
        <v>5.3994048208173837E-3</v>
      </c>
      <c r="Y81" s="26">
        <v>5.6124739676152672E-3</v>
      </c>
      <c r="Z81" s="28">
        <v>0</v>
      </c>
      <c r="AA81" s="28">
        <v>1.3758060237990489E-3</v>
      </c>
      <c r="AB81" s="28">
        <v>1.5261971665741149E-5</v>
      </c>
      <c r="AC81" s="28">
        <v>2.3968260093961618E-5</v>
      </c>
      <c r="AD81" s="28">
        <v>1.284622168419881E-5</v>
      </c>
      <c r="AE81" s="28">
        <v>7.7368493079684136E-4</v>
      </c>
      <c r="AF81" s="28">
        <v>2.2015674080397918E-3</v>
      </c>
      <c r="AG81" s="30">
        <v>0</v>
      </c>
      <c r="AH81" s="30">
        <v>7.228237882960114E-6</v>
      </c>
      <c r="AI81" s="30">
        <v>5.7195725930249998E-5</v>
      </c>
      <c r="AJ81" s="30">
        <v>8.5554174677296554E-5</v>
      </c>
      <c r="AK81" s="30">
        <v>1.1989050597357409E-5</v>
      </c>
      <c r="AL81" s="30">
        <v>2.4346642938696621E-3</v>
      </c>
      <c r="AM81" s="30">
        <v>2.5966314829575263E-3</v>
      </c>
      <c r="AN81" s="32">
        <v>0</v>
      </c>
      <c r="AO81" s="32">
        <v>5.1842725945187069E-6</v>
      </c>
      <c r="AP81" s="32">
        <v>1.3512839746900889E-7</v>
      </c>
      <c r="AQ81" s="32">
        <v>6.5490648626579012E-8</v>
      </c>
      <c r="AR81" s="32">
        <v>4.7338929870880761E-8</v>
      </c>
      <c r="AS81" s="32">
        <v>1.4197002256924101E-6</v>
      </c>
      <c r="AT81" s="32">
        <v>6.8519307961775854E-6</v>
      </c>
      <c r="AU81" s="34">
        <v>0</v>
      </c>
      <c r="AV81" s="34">
        <v>0</v>
      </c>
      <c r="AW81" s="34">
        <v>1.5117612549304556E-3</v>
      </c>
      <c r="AX81" s="34">
        <v>2.01770987761535E-2</v>
      </c>
      <c r="AY81" s="34">
        <v>1.4651487950302742E-2</v>
      </c>
      <c r="AZ81" s="34">
        <v>0.15079487731350202</v>
      </c>
      <c r="BA81" s="34">
        <v>0.18713522529488871</v>
      </c>
      <c r="BB81" s="6"/>
      <c r="BC81" s="6"/>
      <c r="BD81" t="s">
        <v>638</v>
      </c>
      <c r="BF81" s="5">
        <v>9.7080232000000006E-3</v>
      </c>
      <c r="BG81" s="5">
        <f t="shared" si="5"/>
        <v>-4.2849415781555291E-3</v>
      </c>
      <c r="BH81" s="2">
        <v>23.588927000000002</v>
      </c>
    </row>
    <row r="82" spans="1:60" x14ac:dyDescent="0.2">
      <c r="A82" t="str">
        <f t="shared" si="4"/>
        <v>Bicycle, electric (&lt;25 km/h) - 2050 - NCA - CH</v>
      </c>
      <c r="B82" t="s">
        <v>264</v>
      </c>
      <c r="D82" s="18">
        <v>2050</v>
      </c>
      <c r="E82" t="s">
        <v>37</v>
      </c>
      <c r="F82" t="s">
        <v>138</v>
      </c>
      <c r="G82" t="s">
        <v>39</v>
      </c>
      <c r="H82" t="s">
        <v>32</v>
      </c>
      <c r="I82" t="s">
        <v>45</v>
      </c>
      <c r="J82" t="s">
        <v>570</v>
      </c>
      <c r="L82" s="24">
        <v>0</v>
      </c>
      <c r="M82" s="24">
        <v>0</v>
      </c>
      <c r="N82" s="24">
        <v>1.5173567960250059E-4</v>
      </c>
      <c r="O82" s="24">
        <v>1.195732624675443E-3</v>
      </c>
      <c r="P82" s="24">
        <v>4.4829300216425461E-4</v>
      </c>
      <c r="Q82" s="24">
        <v>1.260365568323627E-2</v>
      </c>
      <c r="R82" s="24">
        <v>1.4399416989678468E-2</v>
      </c>
      <c r="S82" s="26">
        <v>0</v>
      </c>
      <c r="T82" s="26">
        <v>0</v>
      </c>
      <c r="U82" s="26">
        <v>8.6491252881602508E-5</v>
      </c>
      <c r="V82" s="26">
        <v>9.8317473549625417E-5</v>
      </c>
      <c r="W82" s="26">
        <v>2.832657707591125E-5</v>
      </c>
      <c r="X82" s="26">
        <v>5.3727117660605393E-3</v>
      </c>
      <c r="Y82" s="26">
        <v>5.5858470695676786E-3</v>
      </c>
      <c r="Z82" s="28">
        <v>0</v>
      </c>
      <c r="AA82" s="28">
        <v>1.3758060237990489E-3</v>
      </c>
      <c r="AB82" s="28">
        <v>1.5261971665741149E-5</v>
      </c>
      <c r="AC82" s="28">
        <v>2.3968260093961618E-5</v>
      </c>
      <c r="AD82" s="28">
        <v>1.2876294264222889E-5</v>
      </c>
      <c r="AE82" s="28">
        <v>7.8933914750218843E-4</v>
      </c>
      <c r="AF82" s="28">
        <v>2.2172516973251628E-3</v>
      </c>
      <c r="AG82" s="30">
        <v>0</v>
      </c>
      <c r="AH82" s="30">
        <v>7.228237882960114E-6</v>
      </c>
      <c r="AI82" s="30">
        <v>5.7195725930249998E-5</v>
      </c>
      <c r="AJ82" s="30">
        <v>8.5554174677296554E-5</v>
      </c>
      <c r="AK82" s="30">
        <v>1.201711656822145E-5</v>
      </c>
      <c r="AL82" s="30">
        <v>2.4862151650290108E-3</v>
      </c>
      <c r="AM82" s="30">
        <v>2.6482104200877387E-3</v>
      </c>
      <c r="AN82" s="32">
        <v>0</v>
      </c>
      <c r="AO82" s="32">
        <v>5.1842725945187069E-6</v>
      </c>
      <c r="AP82" s="32">
        <v>1.3512839746900889E-7</v>
      </c>
      <c r="AQ82" s="32">
        <v>6.5490648626579012E-8</v>
      </c>
      <c r="AR82" s="32">
        <v>4.7449748739789693E-8</v>
      </c>
      <c r="AS82" s="32">
        <v>1.415924914824982E-6</v>
      </c>
      <c r="AT82" s="32">
        <v>6.848266304179066E-6</v>
      </c>
      <c r="AU82" s="34">
        <v>0</v>
      </c>
      <c r="AV82" s="34">
        <v>0</v>
      </c>
      <c r="AW82" s="34">
        <v>1.5117612549304556E-3</v>
      </c>
      <c r="AX82" s="34">
        <v>2.01770987761535E-2</v>
      </c>
      <c r="AY82" s="34">
        <v>1.4685786598939585E-2</v>
      </c>
      <c r="AZ82" s="34">
        <v>0.15478529578694766</v>
      </c>
      <c r="BA82" s="34">
        <v>0.19115994241697121</v>
      </c>
      <c r="BB82" s="6"/>
      <c r="BC82" s="6"/>
      <c r="BD82" t="s">
        <v>639</v>
      </c>
      <c r="BF82" s="5">
        <v>9.8363779999999998E-3</v>
      </c>
      <c r="BG82" s="5">
        <f t="shared" si="5"/>
        <v>-4.5630389896784678E-3</v>
      </c>
      <c r="BH82" s="2">
        <v>23.235011</v>
      </c>
    </row>
    <row r="83" spans="1:60" x14ac:dyDescent="0.2">
      <c r="A83" t="str">
        <f t="shared" si="4"/>
        <v>Bicycle, electric (&lt;45 km/h) - 2020 - NCA - CH</v>
      </c>
      <c r="B83" t="s">
        <v>265</v>
      </c>
      <c r="D83" s="18">
        <v>2020</v>
      </c>
      <c r="E83" t="s">
        <v>37</v>
      </c>
      <c r="F83" t="s">
        <v>138</v>
      </c>
      <c r="G83" t="s">
        <v>39</v>
      </c>
      <c r="H83" t="s">
        <v>32</v>
      </c>
      <c r="I83" t="s">
        <v>45</v>
      </c>
      <c r="J83" t="s">
        <v>570</v>
      </c>
      <c r="L83" s="24">
        <v>0</v>
      </c>
      <c r="M83" s="24">
        <v>0</v>
      </c>
      <c r="N83" s="24">
        <v>2.7867064536129458E-4</v>
      </c>
      <c r="O83" s="24">
        <v>1.195732624675443E-3</v>
      </c>
      <c r="P83" s="24">
        <v>4.6807692143117208E-4</v>
      </c>
      <c r="Q83" s="24">
        <v>8.9471022005478597E-3</v>
      </c>
      <c r="R83" s="24">
        <v>1.0889582392015769E-2</v>
      </c>
      <c r="S83" s="26">
        <v>0</v>
      </c>
      <c r="T83" s="26">
        <v>0</v>
      </c>
      <c r="U83" s="26">
        <v>1.5884578578857799E-4</v>
      </c>
      <c r="V83" s="26">
        <v>9.8317473549625417E-5</v>
      </c>
      <c r="W83" s="26">
        <v>2.957667625495802E-5</v>
      </c>
      <c r="X83" s="26">
        <v>4.3557162755091484E-3</v>
      </c>
      <c r="Y83" s="26">
        <v>4.6424562111023098E-3</v>
      </c>
      <c r="Z83" s="28">
        <v>0</v>
      </c>
      <c r="AA83" s="28">
        <v>1.3758060237990489E-3</v>
      </c>
      <c r="AB83" s="28">
        <v>2.8029422642845481E-5</v>
      </c>
      <c r="AC83" s="28">
        <v>2.3968260093961618E-5</v>
      </c>
      <c r="AD83" s="28">
        <v>1.344454664592552E-5</v>
      </c>
      <c r="AE83" s="28">
        <v>5.9772369747387736E-4</v>
      </c>
      <c r="AF83" s="28">
        <v>2.0389719506556589E-3</v>
      </c>
      <c r="AG83" s="30">
        <v>0</v>
      </c>
      <c r="AH83" s="30">
        <v>7.228237882960114E-6</v>
      </c>
      <c r="AI83" s="30">
        <v>1.050429925159661E-4</v>
      </c>
      <c r="AJ83" s="30">
        <v>8.5554174677296554E-5</v>
      </c>
      <c r="AK83" s="30">
        <v>1.254745200254465E-5</v>
      </c>
      <c r="AL83" s="30">
        <v>1.8740503591009371E-3</v>
      </c>
      <c r="AM83" s="30">
        <v>2.0844232161797045E-3</v>
      </c>
      <c r="AN83" s="32">
        <v>0</v>
      </c>
      <c r="AO83" s="32">
        <v>5.1842725945187069E-6</v>
      </c>
      <c r="AP83" s="32">
        <v>2.4817048849666651E-7</v>
      </c>
      <c r="AQ83" s="32">
        <v>6.5490648626579012E-8</v>
      </c>
      <c r="AR83" s="32">
        <v>4.9543785438492312E-8</v>
      </c>
      <c r="AS83" s="32">
        <v>1.163191731086597E-6</v>
      </c>
      <c r="AT83" s="32">
        <v>6.7106692481670411E-6</v>
      </c>
      <c r="AU83" s="34">
        <v>0</v>
      </c>
      <c r="AV83" s="34">
        <v>0</v>
      </c>
      <c r="AW83" s="34">
        <v>2.7764299448046754E-3</v>
      </c>
      <c r="AX83" s="34">
        <v>2.01770987761535E-2</v>
      </c>
      <c r="AY83" s="34">
        <v>1.5333894900969576E-2</v>
      </c>
      <c r="AZ83" s="34">
        <v>0.1127383291124191</v>
      </c>
      <c r="BA83" s="34">
        <v>0.15102575273434685</v>
      </c>
      <c r="BB83" s="6"/>
      <c r="BC83" s="6"/>
      <c r="BD83" t="s">
        <v>906</v>
      </c>
      <c r="BF83" s="5">
        <v>7.9219604000000006E-3</v>
      </c>
      <c r="BG83" s="5">
        <f t="shared" si="5"/>
        <v>-2.9676219920157683E-3</v>
      </c>
      <c r="BH83" s="2">
        <v>20.796040000000001</v>
      </c>
    </row>
    <row r="84" spans="1:60" x14ac:dyDescent="0.2">
      <c r="A84" t="str">
        <f t="shared" si="4"/>
        <v>Bicycle, electric (&lt;45 km/h) - 2030 - NCA - CH</v>
      </c>
      <c r="B84" t="s">
        <v>265</v>
      </c>
      <c r="D84" s="18">
        <v>2030</v>
      </c>
      <c r="E84" t="s">
        <v>37</v>
      </c>
      <c r="F84" t="s">
        <v>138</v>
      </c>
      <c r="G84" t="s">
        <v>39</v>
      </c>
      <c r="H84" t="s">
        <v>32</v>
      </c>
      <c r="I84" t="s">
        <v>45</v>
      </c>
      <c r="J84" t="s">
        <v>570</v>
      </c>
      <c r="L84" s="24">
        <v>0</v>
      </c>
      <c r="M84" s="24">
        <v>0</v>
      </c>
      <c r="N84" s="24">
        <v>2.7867064536129458E-4</v>
      </c>
      <c r="O84" s="24">
        <v>1.195732624675443E-3</v>
      </c>
      <c r="P84" s="24">
        <v>4.6794299667422991E-4</v>
      </c>
      <c r="Q84" s="24">
        <v>9.3658625355491978E-3</v>
      </c>
      <c r="R84" s="24">
        <v>1.1308208802260165E-2</v>
      </c>
      <c r="S84" s="26">
        <v>0</v>
      </c>
      <c r="T84" s="26">
        <v>0</v>
      </c>
      <c r="U84" s="26">
        <v>1.5884578578857799E-4</v>
      </c>
      <c r="V84" s="26">
        <v>9.8317473549625417E-5</v>
      </c>
      <c r="W84" s="26">
        <v>2.956821386555738E-5</v>
      </c>
      <c r="X84" s="26">
        <v>4.2688576020364433E-3</v>
      </c>
      <c r="Y84" s="26">
        <v>4.5555890752402043E-3</v>
      </c>
      <c r="Z84" s="28">
        <v>0</v>
      </c>
      <c r="AA84" s="28">
        <v>1.3758060237990489E-3</v>
      </c>
      <c r="AB84" s="28">
        <v>2.8029422642845481E-5</v>
      </c>
      <c r="AC84" s="28">
        <v>2.3968260093961618E-5</v>
      </c>
      <c r="AD84" s="28">
        <v>1.3440699932790739E-5</v>
      </c>
      <c r="AE84" s="28">
        <v>6.0907852498301245E-4</v>
      </c>
      <c r="AF84" s="28">
        <v>2.0503229314516591E-3</v>
      </c>
      <c r="AG84" s="30">
        <v>0</v>
      </c>
      <c r="AH84" s="30">
        <v>7.228237882960114E-6</v>
      </c>
      <c r="AI84" s="30">
        <v>1.050429925159661E-4</v>
      </c>
      <c r="AJ84" s="30">
        <v>8.5554174677296554E-5</v>
      </c>
      <c r="AK84" s="30">
        <v>1.2543861963423409E-5</v>
      </c>
      <c r="AL84" s="30">
        <v>1.916548276935175E-3</v>
      </c>
      <c r="AM84" s="30">
        <v>2.1269175439748212E-3</v>
      </c>
      <c r="AN84" s="32">
        <v>0</v>
      </c>
      <c r="AO84" s="32">
        <v>5.1842725945187069E-6</v>
      </c>
      <c r="AP84" s="32">
        <v>2.4817048849666651E-7</v>
      </c>
      <c r="AQ84" s="32">
        <v>6.5490648626579012E-8</v>
      </c>
      <c r="AR84" s="32">
        <v>4.9529610120037038E-8</v>
      </c>
      <c r="AS84" s="32">
        <v>1.1423372738046949E-6</v>
      </c>
      <c r="AT84" s="32">
        <v>6.6898006155666838E-6</v>
      </c>
      <c r="AU84" s="34">
        <v>0</v>
      </c>
      <c r="AV84" s="34">
        <v>0</v>
      </c>
      <c r="AW84" s="34">
        <v>2.7764299448046754E-3</v>
      </c>
      <c r="AX84" s="34">
        <v>2.01770987761535E-2</v>
      </c>
      <c r="AY84" s="34">
        <v>1.5329507613210733E-2</v>
      </c>
      <c r="AZ84" s="34">
        <v>0.116540654959193</v>
      </c>
      <c r="BA84" s="34">
        <v>0.1548236912933619</v>
      </c>
      <c r="BB84" s="6"/>
      <c r="BC84" s="6"/>
      <c r="BD84" t="s">
        <v>640</v>
      </c>
      <c r="BF84" s="5">
        <v>8.0175000999999999E-3</v>
      </c>
      <c r="BG84" s="5">
        <f t="shared" si="5"/>
        <v>-3.2907087022601648E-3</v>
      </c>
      <c r="BH84" s="2">
        <v>20.087430000000001</v>
      </c>
    </row>
    <row r="85" spans="1:60" x14ac:dyDescent="0.2">
      <c r="A85" t="str">
        <f t="shared" si="4"/>
        <v>Bicycle, electric (&lt;45 km/h) - 2040 - NCA - CH</v>
      </c>
      <c r="B85" t="s">
        <v>265</v>
      </c>
      <c r="D85" s="18">
        <v>2040</v>
      </c>
      <c r="E85" t="s">
        <v>37</v>
      </c>
      <c r="F85" t="s">
        <v>138</v>
      </c>
      <c r="G85" t="s">
        <v>39</v>
      </c>
      <c r="H85" t="s">
        <v>32</v>
      </c>
      <c r="I85" t="s">
        <v>45</v>
      </c>
      <c r="J85" t="s">
        <v>570</v>
      </c>
      <c r="L85" s="24">
        <v>0</v>
      </c>
      <c r="M85" s="24">
        <v>0</v>
      </c>
      <c r="N85" s="24">
        <v>2.7867064536129458E-4</v>
      </c>
      <c r="O85" s="24">
        <v>1.195732624675443E-3</v>
      </c>
      <c r="P85" s="24">
        <v>4.6431647259092168E-4</v>
      </c>
      <c r="Q85" s="24">
        <v>9.2545344979058069E-3</v>
      </c>
      <c r="R85" s="24">
        <v>1.1193254240533466E-2</v>
      </c>
      <c r="S85" s="26">
        <v>0</v>
      </c>
      <c r="T85" s="26">
        <v>0</v>
      </c>
      <c r="U85" s="26">
        <v>1.5884578578857799E-4</v>
      </c>
      <c r="V85" s="26">
        <v>9.8317473549625417E-5</v>
      </c>
      <c r="W85" s="26">
        <v>2.9339062365383309E-5</v>
      </c>
      <c r="X85" s="26">
        <v>3.8468258445469201E-3</v>
      </c>
      <c r="Y85" s="26">
        <v>4.1333281662505068E-3</v>
      </c>
      <c r="Z85" s="28">
        <v>0</v>
      </c>
      <c r="AA85" s="28">
        <v>1.3758060237990489E-3</v>
      </c>
      <c r="AB85" s="28">
        <v>2.8029422642845481E-5</v>
      </c>
      <c r="AC85" s="28">
        <v>2.3968260093961618E-5</v>
      </c>
      <c r="AD85" s="28">
        <v>1.3336535488939229E-5</v>
      </c>
      <c r="AE85" s="28">
        <v>5.7139498067513704E-4</v>
      </c>
      <c r="AF85" s="28">
        <v>2.0125352226999325E-3</v>
      </c>
      <c r="AG85" s="30">
        <v>0</v>
      </c>
      <c r="AH85" s="30">
        <v>7.228237882960114E-6</v>
      </c>
      <c r="AI85" s="30">
        <v>1.050429925159661E-4</v>
      </c>
      <c r="AJ85" s="30">
        <v>8.5554174677296554E-5</v>
      </c>
      <c r="AK85" s="30">
        <v>1.244664794840158E-5</v>
      </c>
      <c r="AL85" s="30">
        <v>1.805207430249791E-3</v>
      </c>
      <c r="AM85" s="30">
        <v>2.0154794832744154E-3</v>
      </c>
      <c r="AN85" s="32">
        <v>0</v>
      </c>
      <c r="AO85" s="32">
        <v>5.1842725945187069E-6</v>
      </c>
      <c r="AP85" s="32">
        <v>2.4817048849666651E-7</v>
      </c>
      <c r="AQ85" s="32">
        <v>6.5490648626579012E-8</v>
      </c>
      <c r="AR85" s="32">
        <v>4.9145759255265523E-8</v>
      </c>
      <c r="AS85" s="32">
        <v>1.0379130472625481E-6</v>
      </c>
      <c r="AT85" s="32">
        <v>6.584992538159766E-6</v>
      </c>
      <c r="AU85" s="34">
        <v>0</v>
      </c>
      <c r="AV85" s="34">
        <v>0</v>
      </c>
      <c r="AW85" s="34">
        <v>2.7764299448046754E-3</v>
      </c>
      <c r="AX85" s="34">
        <v>2.01770987761535E-2</v>
      </c>
      <c r="AY85" s="34">
        <v>1.5210705047642539E-2</v>
      </c>
      <c r="AZ85" s="34">
        <v>0.11356209393115528</v>
      </c>
      <c r="BA85" s="34">
        <v>0.151726327699756</v>
      </c>
      <c r="BB85" s="6"/>
      <c r="BC85" s="6"/>
      <c r="BD85" t="s">
        <v>641</v>
      </c>
      <c r="BF85" s="5">
        <v>7.7592416999999999E-3</v>
      </c>
      <c r="BG85" s="5">
        <f t="shared" si="5"/>
        <v>-3.4340125405334663E-3</v>
      </c>
      <c r="BH85" s="2">
        <v>18.014213999999999</v>
      </c>
    </row>
    <row r="86" spans="1:60" x14ac:dyDescent="0.2">
      <c r="A86" t="str">
        <f t="shared" si="4"/>
        <v>Bicycle, electric (&lt;45 km/h) - 2050 - NCA - CH</v>
      </c>
      <c r="B86" t="s">
        <v>265</v>
      </c>
      <c r="D86" s="18">
        <v>2050</v>
      </c>
      <c r="E86" t="s">
        <v>37</v>
      </c>
      <c r="F86" t="s">
        <v>138</v>
      </c>
      <c r="G86" t="s">
        <v>39</v>
      </c>
      <c r="H86" t="s">
        <v>32</v>
      </c>
      <c r="I86" t="s">
        <v>45</v>
      </c>
      <c r="J86" t="s">
        <v>570</v>
      </c>
      <c r="L86" s="24">
        <v>0</v>
      </c>
      <c r="M86" s="24">
        <v>0</v>
      </c>
      <c r="N86" s="24">
        <v>2.7867064536129458E-4</v>
      </c>
      <c r="O86" s="24">
        <v>1.195732624675443E-3</v>
      </c>
      <c r="P86" s="24">
        <v>4.6509033337857321E-4</v>
      </c>
      <c r="Q86" s="24">
        <v>9.5906252532761711E-3</v>
      </c>
      <c r="R86" s="24">
        <v>1.1530118856691482E-2</v>
      </c>
      <c r="S86" s="26">
        <v>0</v>
      </c>
      <c r="T86" s="26">
        <v>0</v>
      </c>
      <c r="U86" s="26">
        <v>1.5884578578857799E-4</v>
      </c>
      <c r="V86" s="26">
        <v>9.8317473549625417E-5</v>
      </c>
      <c r="W86" s="26">
        <v>2.9387960802658939E-5</v>
      </c>
      <c r="X86" s="26">
        <v>3.8410430040728498E-3</v>
      </c>
      <c r="Y86" s="26">
        <v>4.1275942242137119E-3</v>
      </c>
      <c r="Z86" s="28">
        <v>0</v>
      </c>
      <c r="AA86" s="28">
        <v>1.3758060237990489E-3</v>
      </c>
      <c r="AB86" s="28">
        <v>2.8029422642845481E-5</v>
      </c>
      <c r="AC86" s="28">
        <v>2.3968260093961618E-5</v>
      </c>
      <c r="AD86" s="28">
        <v>1.335876304808745E-5</v>
      </c>
      <c r="AE86" s="28">
        <v>5.8558643783272095E-4</v>
      </c>
      <c r="AF86" s="28">
        <v>2.0267489074166645E-3</v>
      </c>
      <c r="AG86" s="30">
        <v>0</v>
      </c>
      <c r="AH86" s="30">
        <v>7.228237882960114E-6</v>
      </c>
      <c r="AI86" s="30">
        <v>1.050429925159661E-4</v>
      </c>
      <c r="AJ86" s="30">
        <v>8.5554174677296554E-5</v>
      </c>
      <c r="AK86" s="30">
        <v>1.246739236164892E-5</v>
      </c>
      <c r="AL86" s="30">
        <v>1.852233154816748E-3</v>
      </c>
      <c r="AM86" s="30">
        <v>2.0625259522546197E-3</v>
      </c>
      <c r="AN86" s="32">
        <v>0</v>
      </c>
      <c r="AO86" s="32">
        <v>5.1842725945187069E-6</v>
      </c>
      <c r="AP86" s="32">
        <v>2.4817048849666651E-7</v>
      </c>
      <c r="AQ86" s="32">
        <v>6.5490648626579012E-8</v>
      </c>
      <c r="AR86" s="32">
        <v>4.9227668854024287E-8</v>
      </c>
      <c r="AS86" s="32">
        <v>1.038165121198836E-6</v>
      </c>
      <c r="AT86" s="32">
        <v>6.5853265216948129E-6</v>
      </c>
      <c r="AU86" s="34">
        <v>0</v>
      </c>
      <c r="AV86" s="34">
        <v>0</v>
      </c>
      <c r="AW86" s="34">
        <v>2.7764299448046754E-3</v>
      </c>
      <c r="AX86" s="34">
        <v>2.01770987761535E-2</v>
      </c>
      <c r="AY86" s="34">
        <v>1.5236056222721946E-2</v>
      </c>
      <c r="AZ86" s="34">
        <v>0.11692743774055409</v>
      </c>
      <c r="BA86" s="34">
        <v>0.15511702268423422</v>
      </c>
      <c r="BB86" s="6"/>
      <c r="BC86" s="6"/>
      <c r="BD86" t="s">
        <v>642</v>
      </c>
      <c r="BF86" s="5">
        <v>7.8720396999999998E-3</v>
      </c>
      <c r="BG86" s="5">
        <f t="shared" si="5"/>
        <v>-3.6580791566914826E-3</v>
      </c>
      <c r="BH86" s="2">
        <v>17.793037000000002</v>
      </c>
    </row>
    <row r="87" spans="1:60" x14ac:dyDescent="0.2">
      <c r="A87" t="str">
        <f t="shared" si="4"/>
        <v>Bicycle, electric, cargo bike - 2020 - NCA - CH</v>
      </c>
      <c r="B87" t="s">
        <v>271</v>
      </c>
      <c r="D87" s="18">
        <v>2020</v>
      </c>
      <c r="E87" t="s">
        <v>37</v>
      </c>
      <c r="F87" t="s">
        <v>138</v>
      </c>
      <c r="G87" t="s">
        <v>39</v>
      </c>
      <c r="H87" t="s">
        <v>32</v>
      </c>
      <c r="I87" t="s">
        <v>45</v>
      </c>
      <c r="J87" t="s">
        <v>570</v>
      </c>
      <c r="L87" s="24">
        <v>0</v>
      </c>
      <c r="M87" s="24">
        <v>0</v>
      </c>
      <c r="N87" s="24">
        <v>2.1347201307001551E-4</v>
      </c>
      <c r="O87" s="24">
        <v>1.195732624675443E-3</v>
      </c>
      <c r="P87" s="24">
        <v>7.7306911421148351E-4</v>
      </c>
      <c r="Q87" s="24">
        <v>2.0878278466762681E-2</v>
      </c>
      <c r="R87" s="24">
        <v>2.3060552218719624E-2</v>
      </c>
      <c r="S87" s="26">
        <v>0</v>
      </c>
      <c r="T87" s="26">
        <v>0</v>
      </c>
      <c r="U87" s="26">
        <v>1.2168174231632199E-4</v>
      </c>
      <c r="V87" s="26">
        <v>9.8317473549625417E-5</v>
      </c>
      <c r="W87" s="26">
        <v>4.8848413298886282E-5</v>
      </c>
      <c r="X87" s="26">
        <v>7.0727744821350233E-3</v>
      </c>
      <c r="Y87" s="26">
        <v>7.3416221112998573E-3</v>
      </c>
      <c r="Z87" s="28">
        <v>0</v>
      </c>
      <c r="AA87" s="28">
        <v>2.7516120475980978E-3</v>
      </c>
      <c r="AB87" s="28">
        <v>2.1471573616951781E-5</v>
      </c>
      <c r="AC87" s="28">
        <v>2.3968260093961618E-5</v>
      </c>
      <c r="AD87" s="28">
        <v>2.220481995728756E-5</v>
      </c>
      <c r="AE87" s="28">
        <v>1.159068076553423E-3</v>
      </c>
      <c r="AF87" s="28">
        <v>3.9783247778197219E-3</v>
      </c>
      <c r="AG87" s="30">
        <v>0</v>
      </c>
      <c r="AH87" s="30">
        <v>1.445647576592023E-5</v>
      </c>
      <c r="AI87" s="30">
        <v>8.0466814300478743E-5</v>
      </c>
      <c r="AJ87" s="30">
        <v>8.5554174677296554E-5</v>
      </c>
      <c r="AK87" s="30">
        <v>2.0723191341200589E-5</v>
      </c>
      <c r="AL87" s="30">
        <v>3.4206372658351892E-3</v>
      </c>
      <c r="AM87" s="30">
        <v>3.6218379219200851E-3</v>
      </c>
      <c r="AN87" s="32">
        <v>0</v>
      </c>
      <c r="AO87" s="32">
        <v>1.036854518903741E-5</v>
      </c>
      <c r="AP87" s="32">
        <v>1.901077657292092E-7</v>
      </c>
      <c r="AQ87" s="32">
        <v>6.5490648626579012E-8</v>
      </c>
      <c r="AR87" s="32">
        <v>8.1825803772833398E-8</v>
      </c>
      <c r="AS87" s="32">
        <v>2.3360234366057679E-6</v>
      </c>
      <c r="AT87" s="32">
        <v>1.3041992843771801E-5</v>
      </c>
      <c r="AU87" s="34">
        <v>0</v>
      </c>
      <c r="AV87" s="34">
        <v>0</v>
      </c>
      <c r="AW87" s="34">
        <v>2.1268479451680587E-3</v>
      </c>
      <c r="AX87" s="34">
        <v>2.01770987761535E-2</v>
      </c>
      <c r="AY87" s="34">
        <v>2.5325240373440656E-2</v>
      </c>
      <c r="AZ87" s="34">
        <v>0.25770044876159887</v>
      </c>
      <c r="BA87" s="34">
        <v>0.30532963585636108</v>
      </c>
      <c r="BB87" s="6"/>
      <c r="BC87" s="6"/>
      <c r="BD87" t="s">
        <v>907</v>
      </c>
      <c r="BF87" s="5">
        <v>1.6064688000000001E-2</v>
      </c>
      <c r="BG87" s="5">
        <f t="shared" si="5"/>
        <v>-6.9958642187196232E-3</v>
      </c>
      <c r="BH87" s="2">
        <v>37.135261</v>
      </c>
    </row>
    <row r="88" spans="1:60" x14ac:dyDescent="0.2">
      <c r="A88" t="str">
        <f t="shared" si="4"/>
        <v>Bicycle, electric, cargo bike - 2030 - NCA - CH</v>
      </c>
      <c r="B88" t="s">
        <v>271</v>
      </c>
      <c r="D88" s="18">
        <v>2030</v>
      </c>
      <c r="E88" t="s">
        <v>37</v>
      </c>
      <c r="F88" t="s">
        <v>138</v>
      </c>
      <c r="G88" t="s">
        <v>39</v>
      </c>
      <c r="H88" t="s">
        <v>32</v>
      </c>
      <c r="I88" t="s">
        <v>45</v>
      </c>
      <c r="J88" t="s">
        <v>570</v>
      </c>
      <c r="L88" s="24">
        <v>0</v>
      </c>
      <c r="M88" s="24">
        <v>0</v>
      </c>
      <c r="N88" s="24">
        <v>2.1347201307001551E-4</v>
      </c>
      <c r="O88" s="24">
        <v>1.195732624675443E-3</v>
      </c>
      <c r="P88" s="24">
        <v>7.6836789343330363E-4</v>
      </c>
      <c r="Q88" s="24">
        <v>2.20152986110074E-2</v>
      </c>
      <c r="R88" s="24">
        <v>2.4192871142186163E-2</v>
      </c>
      <c r="S88" s="26">
        <v>0</v>
      </c>
      <c r="T88" s="26">
        <v>0</v>
      </c>
      <c r="U88" s="26">
        <v>1.2168174231632199E-4</v>
      </c>
      <c r="V88" s="26">
        <v>9.8317473549625417E-5</v>
      </c>
      <c r="W88" s="26">
        <v>4.855135425027058E-5</v>
      </c>
      <c r="X88" s="26">
        <v>6.7126223626184402E-3</v>
      </c>
      <c r="Y88" s="26">
        <v>6.9811729327346585E-3</v>
      </c>
      <c r="Z88" s="28">
        <v>0</v>
      </c>
      <c r="AA88" s="28">
        <v>2.7516120475980978E-3</v>
      </c>
      <c r="AB88" s="28">
        <v>2.1471573616951781E-5</v>
      </c>
      <c r="AC88" s="28">
        <v>2.3968260093961618E-5</v>
      </c>
      <c r="AD88" s="28">
        <v>2.2069787061728899E-5</v>
      </c>
      <c r="AE88" s="28">
        <v>1.17963669245097E-3</v>
      </c>
      <c r="AF88" s="28">
        <v>3.99875836082171E-3</v>
      </c>
      <c r="AG88" s="30">
        <v>0</v>
      </c>
      <c r="AH88" s="30">
        <v>1.445647576592023E-5</v>
      </c>
      <c r="AI88" s="30">
        <v>8.0466814300478743E-5</v>
      </c>
      <c r="AJ88" s="30">
        <v>8.5554174677296554E-5</v>
      </c>
      <c r="AK88" s="30">
        <v>2.0597168588599979E-5</v>
      </c>
      <c r="AL88" s="30">
        <v>3.5145700701957861E-3</v>
      </c>
      <c r="AM88" s="30">
        <v>3.7156447035280814E-3</v>
      </c>
      <c r="AN88" s="32">
        <v>0</v>
      </c>
      <c r="AO88" s="32">
        <v>1.036854518903741E-5</v>
      </c>
      <c r="AP88" s="32">
        <v>1.901077657292092E-7</v>
      </c>
      <c r="AQ88" s="32">
        <v>6.5490648626579012E-8</v>
      </c>
      <c r="AR88" s="32">
        <v>8.1328201214644952E-8</v>
      </c>
      <c r="AS88" s="32">
        <v>2.2421527293958001E-6</v>
      </c>
      <c r="AT88" s="32">
        <v>1.2947624534003645E-5</v>
      </c>
      <c r="AU88" s="34">
        <v>0</v>
      </c>
      <c r="AV88" s="34">
        <v>0</v>
      </c>
      <c r="AW88" s="34">
        <v>2.1268479451680587E-3</v>
      </c>
      <c r="AX88" s="34">
        <v>2.01770987761535E-2</v>
      </c>
      <c r="AY88" s="34">
        <v>2.5171231444526893E-2</v>
      </c>
      <c r="AZ88" s="34">
        <v>0.26732106008133277</v>
      </c>
      <c r="BA88" s="34">
        <v>0.31479623824718123</v>
      </c>
      <c r="BB88" s="6"/>
      <c r="BC88" s="6"/>
      <c r="BD88" t="s">
        <v>643</v>
      </c>
      <c r="BF88" s="5">
        <v>1.6237141E-2</v>
      </c>
      <c r="BG88" s="5">
        <f t="shared" si="5"/>
        <v>-7.9557301421861633E-3</v>
      </c>
      <c r="BH88" s="2">
        <v>34.464179000000001</v>
      </c>
    </row>
    <row r="89" spans="1:60" x14ac:dyDescent="0.2">
      <c r="A89" t="str">
        <f t="shared" si="4"/>
        <v>Bicycle, electric, cargo bike - 2040 - NCA - CH</v>
      </c>
      <c r="B89" t="s">
        <v>271</v>
      </c>
      <c r="D89" s="18">
        <v>2040</v>
      </c>
      <c r="E89" t="s">
        <v>37</v>
      </c>
      <c r="F89" t="s">
        <v>138</v>
      </c>
      <c r="G89" t="s">
        <v>39</v>
      </c>
      <c r="H89" t="s">
        <v>32</v>
      </c>
      <c r="I89" t="s">
        <v>45</v>
      </c>
      <c r="J89" t="s">
        <v>570</v>
      </c>
      <c r="L89" s="24">
        <v>0</v>
      </c>
      <c r="M89" s="24">
        <v>0</v>
      </c>
      <c r="N89" s="24">
        <v>2.1347201307001551E-4</v>
      </c>
      <c r="O89" s="24">
        <v>1.195732624675443E-3</v>
      </c>
      <c r="P89" s="24">
        <v>7.6248048195077839E-4</v>
      </c>
      <c r="Q89" s="24">
        <v>2.2389322592270031E-2</v>
      </c>
      <c r="R89" s="24">
        <v>2.4561007711966266E-2</v>
      </c>
      <c r="S89" s="26">
        <v>0</v>
      </c>
      <c r="T89" s="26">
        <v>0</v>
      </c>
      <c r="U89" s="26">
        <v>1.2168174231632199E-4</v>
      </c>
      <c r="V89" s="26">
        <v>9.8317473549625417E-5</v>
      </c>
      <c r="W89" s="26">
        <v>4.8179342609820628E-5</v>
      </c>
      <c r="X89" s="26">
        <v>6.116150346419302E-3</v>
      </c>
      <c r="Y89" s="26">
        <v>6.3843289048950702E-3</v>
      </c>
      <c r="Z89" s="28">
        <v>0</v>
      </c>
      <c r="AA89" s="28">
        <v>2.7516120475980978E-3</v>
      </c>
      <c r="AB89" s="28">
        <v>2.1471573616951781E-5</v>
      </c>
      <c r="AC89" s="28">
        <v>2.3968260093961618E-5</v>
      </c>
      <c r="AD89" s="28">
        <v>2.1900683278405099E-5</v>
      </c>
      <c r="AE89" s="28">
        <v>1.1488221856844601E-3</v>
      </c>
      <c r="AF89" s="28">
        <v>3.9677747502718762E-3</v>
      </c>
      <c r="AG89" s="30">
        <v>0</v>
      </c>
      <c r="AH89" s="30">
        <v>1.445647576592023E-5</v>
      </c>
      <c r="AI89" s="30">
        <v>8.0466814300478743E-5</v>
      </c>
      <c r="AJ89" s="30">
        <v>8.5554174677296554E-5</v>
      </c>
      <c r="AK89" s="30">
        <v>2.0439348346639859E-5</v>
      </c>
      <c r="AL89" s="30">
        <v>3.4424901281110551E-3</v>
      </c>
      <c r="AM89" s="30">
        <v>3.6434069412013903E-3</v>
      </c>
      <c r="AN89" s="32">
        <v>0</v>
      </c>
      <c r="AO89" s="32">
        <v>1.036854518903741E-5</v>
      </c>
      <c r="AP89" s="32">
        <v>1.901077657292092E-7</v>
      </c>
      <c r="AQ89" s="32">
        <v>6.5490648626579012E-8</v>
      </c>
      <c r="AR89" s="32">
        <v>8.0705045835852706E-8</v>
      </c>
      <c r="AS89" s="32">
        <v>2.0890779398036739E-6</v>
      </c>
      <c r="AT89" s="32">
        <v>1.2793926589032726E-5</v>
      </c>
      <c r="AU89" s="34">
        <v>0</v>
      </c>
      <c r="AV89" s="34">
        <v>0</v>
      </c>
      <c r="AW89" s="34">
        <v>2.1268479451680587E-3</v>
      </c>
      <c r="AX89" s="34">
        <v>2.01770987761535E-2</v>
      </c>
      <c r="AY89" s="34">
        <v>2.4978363681177701E-2</v>
      </c>
      <c r="AZ89" s="34">
        <v>0.26827187443993367</v>
      </c>
      <c r="BA89" s="34">
        <v>0.31555418484243292</v>
      </c>
      <c r="BB89" s="6"/>
      <c r="BC89" s="6"/>
      <c r="BD89" t="s">
        <v>644</v>
      </c>
      <c r="BF89" s="5">
        <v>1.6033511E-2</v>
      </c>
      <c r="BG89" s="5">
        <f t="shared" si="5"/>
        <v>-8.5274967119662662E-3</v>
      </c>
      <c r="BH89" s="2">
        <v>31.085521</v>
      </c>
    </row>
    <row r="90" spans="1:60" x14ac:dyDescent="0.2">
      <c r="A90" t="str">
        <f t="shared" si="4"/>
        <v>Bicycle, electric, cargo bike - 2050 - NCA - CH</v>
      </c>
      <c r="B90" t="s">
        <v>271</v>
      </c>
      <c r="D90" s="18">
        <v>2050</v>
      </c>
      <c r="E90" t="s">
        <v>37</v>
      </c>
      <c r="F90" t="s">
        <v>138</v>
      </c>
      <c r="G90" t="s">
        <v>39</v>
      </c>
      <c r="H90" t="s">
        <v>32</v>
      </c>
      <c r="I90" t="s">
        <v>45</v>
      </c>
      <c r="J90" t="s">
        <v>570</v>
      </c>
      <c r="L90" s="24">
        <v>0</v>
      </c>
      <c r="M90" s="24">
        <v>0</v>
      </c>
      <c r="N90" s="24">
        <v>2.1347201307001551E-4</v>
      </c>
      <c r="O90" s="24">
        <v>1.195732624675443E-3</v>
      </c>
      <c r="P90" s="24">
        <v>7.5856565678971755E-4</v>
      </c>
      <c r="Q90" s="24">
        <v>2.3192410185793658E-2</v>
      </c>
      <c r="R90" s="24">
        <v>2.5360180480328835E-2</v>
      </c>
      <c r="S90" s="26">
        <v>0</v>
      </c>
      <c r="T90" s="26">
        <v>0</v>
      </c>
      <c r="U90" s="26">
        <v>1.2168174231632199E-4</v>
      </c>
      <c r="V90" s="26">
        <v>9.8317473549625417E-5</v>
      </c>
      <c r="W90" s="26">
        <v>4.7931974044779159E-5</v>
      </c>
      <c r="X90" s="26">
        <v>5.9207208665991726E-3</v>
      </c>
      <c r="Y90" s="26">
        <v>6.1886520565098994E-3</v>
      </c>
      <c r="Z90" s="28">
        <v>0</v>
      </c>
      <c r="AA90" s="28">
        <v>2.7516120475980978E-3</v>
      </c>
      <c r="AB90" s="28">
        <v>2.1471573616951781E-5</v>
      </c>
      <c r="AC90" s="28">
        <v>2.3968260093961618E-5</v>
      </c>
      <c r="AD90" s="28">
        <v>2.1788237979184629E-5</v>
      </c>
      <c r="AE90" s="28">
        <v>1.1679844838327149E-3</v>
      </c>
      <c r="AF90" s="28">
        <v>3.9868246031209108E-3</v>
      </c>
      <c r="AG90" s="30">
        <v>0</v>
      </c>
      <c r="AH90" s="30">
        <v>1.445647576592023E-5</v>
      </c>
      <c r="AI90" s="30">
        <v>8.0466814300478743E-5</v>
      </c>
      <c r="AJ90" s="30">
        <v>8.5554174677296554E-5</v>
      </c>
      <c r="AK90" s="30">
        <v>2.0334406020800391E-5</v>
      </c>
      <c r="AL90" s="30">
        <v>3.5206074558304318E-3</v>
      </c>
      <c r="AM90" s="30">
        <v>3.7214193265949279E-3</v>
      </c>
      <c r="AN90" s="32">
        <v>0</v>
      </c>
      <c r="AO90" s="32">
        <v>1.036854518903741E-5</v>
      </c>
      <c r="AP90" s="32">
        <v>1.901077657292092E-7</v>
      </c>
      <c r="AQ90" s="32">
        <v>6.5490648626579012E-8</v>
      </c>
      <c r="AR90" s="32">
        <v>8.0290679630367122E-8</v>
      </c>
      <c r="AS90" s="32">
        <v>2.038049713160376E-6</v>
      </c>
      <c r="AT90" s="32">
        <v>1.2742483996183944E-5</v>
      </c>
      <c r="AU90" s="34">
        <v>0</v>
      </c>
      <c r="AV90" s="34">
        <v>0</v>
      </c>
      <c r="AW90" s="34">
        <v>2.1268479451680587E-3</v>
      </c>
      <c r="AX90" s="34">
        <v>2.01770987761535E-2</v>
      </c>
      <c r="AY90" s="34">
        <v>2.4850116560187773E-2</v>
      </c>
      <c r="AZ90" s="34">
        <v>0.27535273461658422</v>
      </c>
      <c r="BA90" s="34">
        <v>0.32250679789809356</v>
      </c>
      <c r="BB90" s="6"/>
      <c r="BC90" s="6"/>
      <c r="BD90" t="s">
        <v>645</v>
      </c>
      <c r="BF90" s="5">
        <v>1.6183102000000001E-2</v>
      </c>
      <c r="BG90" s="5">
        <f t="shared" si="5"/>
        <v>-9.177078480328834E-3</v>
      </c>
      <c r="BH90" s="2">
        <v>29.513086999999999</v>
      </c>
    </row>
    <row r="91" spans="1:60" x14ac:dyDescent="0.2">
      <c r="A91" t="str">
        <f t="shared" si="0"/>
        <v>Tram, electric - 2020 - None - CH</v>
      </c>
      <c r="B91" t="s">
        <v>266</v>
      </c>
      <c r="C91" t="s">
        <v>34</v>
      </c>
      <c r="D91" s="18">
        <v>2020</v>
      </c>
      <c r="E91" t="s">
        <v>37</v>
      </c>
      <c r="F91" t="s">
        <v>138</v>
      </c>
      <c r="G91" t="s">
        <v>40</v>
      </c>
      <c r="H91" t="s">
        <v>32</v>
      </c>
      <c r="I91" t="s">
        <v>138</v>
      </c>
      <c r="J91" t="s">
        <v>138</v>
      </c>
      <c r="L91" s="24">
        <v>0</v>
      </c>
      <c r="M91" s="24">
        <v>1.956797293172932E-4</v>
      </c>
      <c r="N91" s="24">
        <v>9.3541078224898492E-3</v>
      </c>
      <c r="O91" s="24">
        <v>3.2777569908739641E-4</v>
      </c>
      <c r="P91" s="24">
        <v>0</v>
      </c>
      <c r="Q91" s="24">
        <v>1.8324312001857101E-3</v>
      </c>
      <c r="R91" s="24">
        <v>1.1709994451080249E-2</v>
      </c>
      <c r="S91" s="26">
        <v>0</v>
      </c>
      <c r="T91" s="26">
        <v>0</v>
      </c>
      <c r="U91" s="26">
        <v>3.5924961226553142E-4</v>
      </c>
      <c r="V91" s="26">
        <v>1.0483734955580971E-5</v>
      </c>
      <c r="W91" s="26">
        <v>0</v>
      </c>
      <c r="X91" s="26">
        <v>1.711018047193602E-3</v>
      </c>
      <c r="Y91" s="26">
        <v>2.0807513944147145E-3</v>
      </c>
      <c r="Z91" s="28">
        <v>1.718433157894737E-6</v>
      </c>
      <c r="AA91" s="28">
        <v>6.9022556390977446E-9</v>
      </c>
      <c r="AB91" s="28">
        <v>2.295759312253106E-4</v>
      </c>
      <c r="AC91" s="28">
        <v>7.030026356166962E-6</v>
      </c>
      <c r="AD91" s="28">
        <v>0</v>
      </c>
      <c r="AE91" s="28">
        <v>1.830788584424419E-4</v>
      </c>
      <c r="AF91" s="28">
        <v>4.2141015143745328E-4</v>
      </c>
      <c r="AG91" s="30">
        <v>4.8749999999999999E-7</v>
      </c>
      <c r="AH91" s="30">
        <v>0</v>
      </c>
      <c r="AI91" s="30">
        <v>2.7705030440136521E-4</v>
      </c>
      <c r="AJ91" s="30">
        <v>7.4651632094057728E-6</v>
      </c>
      <c r="AK91" s="30">
        <v>0</v>
      </c>
      <c r="AL91" s="30">
        <v>8.6983450217119546E-4</v>
      </c>
      <c r="AM91" s="30">
        <v>1.1548374697819665E-3</v>
      </c>
      <c r="AN91" s="32">
        <v>3.0749789473684212E-7</v>
      </c>
      <c r="AO91" s="32">
        <v>0</v>
      </c>
      <c r="AP91" s="32">
        <v>4.7419718910257708E-7</v>
      </c>
      <c r="AQ91" s="32">
        <v>1.9176305050935569E-8</v>
      </c>
      <c r="AR91" s="32">
        <v>0</v>
      </c>
      <c r="AS91" s="32">
        <v>4.083793281378228E-7</v>
      </c>
      <c r="AT91" s="32">
        <v>1.2092507170281777E-6</v>
      </c>
      <c r="AU91" s="34">
        <v>0</v>
      </c>
      <c r="AV91" s="34">
        <v>0</v>
      </c>
      <c r="AW91" s="34">
        <v>0.44863833161575678</v>
      </c>
      <c r="AX91" s="34">
        <v>1.2439104189875273E-2</v>
      </c>
      <c r="AY91" s="34">
        <v>0</v>
      </c>
      <c r="AZ91" s="34">
        <v>2.4726970774509874E-2</v>
      </c>
      <c r="BA91" s="34">
        <v>0.4858044065801419</v>
      </c>
      <c r="BB91" s="6"/>
      <c r="BC91" s="6"/>
      <c r="BD91" s="6" t="s">
        <v>908</v>
      </c>
      <c r="BF91" s="5">
        <f>19.126506/1000</f>
        <v>1.9126505999999998E-2</v>
      </c>
      <c r="BG91" s="5">
        <f t="shared" si="5"/>
        <v>7.4165115489197488E-3</v>
      </c>
      <c r="BH91" s="2">
        <f>36.08469/1000</f>
        <v>3.6084690000000003E-2</v>
      </c>
    </row>
    <row r="92" spans="1:60" x14ac:dyDescent="0.2">
      <c r="A92" t="str">
        <f t="shared" si="0"/>
        <v>Tram, electric - 2030 - None - CH</v>
      </c>
      <c r="B92" t="s">
        <v>266</v>
      </c>
      <c r="C92" t="s">
        <v>34</v>
      </c>
      <c r="D92" s="18">
        <v>2030</v>
      </c>
      <c r="E92" t="s">
        <v>37</v>
      </c>
      <c r="F92" t="s">
        <v>138</v>
      </c>
      <c r="G92" t="s">
        <v>40</v>
      </c>
      <c r="H92" t="s">
        <v>32</v>
      </c>
      <c r="I92" t="s">
        <v>138</v>
      </c>
      <c r="J92" t="s">
        <v>138</v>
      </c>
      <c r="L92" s="24">
        <v>0</v>
      </c>
      <c r="M92" s="24">
        <v>3.3250878004241052E-4</v>
      </c>
      <c r="N92" s="24">
        <v>9.3541078224898492E-3</v>
      </c>
      <c r="O92" s="24">
        <v>3.2937200159192373E-4</v>
      </c>
      <c r="P92" s="24">
        <v>0</v>
      </c>
      <c r="Q92" s="24">
        <v>2.231267179567592E-3</v>
      </c>
      <c r="R92" s="24">
        <v>1.2247255783691777E-2</v>
      </c>
      <c r="S92" s="26">
        <v>0</v>
      </c>
      <c r="T92" s="26">
        <v>0</v>
      </c>
      <c r="U92" s="26">
        <v>3.5924961226553142E-4</v>
      </c>
      <c r="V92" s="26">
        <v>1.052491235450947E-5</v>
      </c>
      <c r="W92" s="26">
        <v>0</v>
      </c>
      <c r="X92" s="26">
        <v>1.7741581220618429E-3</v>
      </c>
      <c r="Y92" s="26">
        <v>2.1439326466818837E-3</v>
      </c>
      <c r="Z92" s="28">
        <v>1.718433157894737E-6</v>
      </c>
      <c r="AA92" s="28">
        <v>1.172865789473684E-8</v>
      </c>
      <c r="AB92" s="28">
        <v>2.295759312253106E-4</v>
      </c>
      <c r="AC92" s="28">
        <v>7.1156606251453789E-6</v>
      </c>
      <c r="AD92" s="28">
        <v>0</v>
      </c>
      <c r="AE92" s="28">
        <v>2.0523456651903011E-4</v>
      </c>
      <c r="AF92" s="28">
        <v>4.436563201852756E-4</v>
      </c>
      <c r="AG92" s="30">
        <v>4.8749999999999999E-7</v>
      </c>
      <c r="AH92" s="30">
        <v>0</v>
      </c>
      <c r="AI92" s="30">
        <v>2.7705030440136521E-4</v>
      </c>
      <c r="AJ92" s="30">
        <v>7.491203811326216E-6</v>
      </c>
      <c r="AK92" s="30">
        <v>0</v>
      </c>
      <c r="AL92" s="30">
        <v>9.4229451472251579E-4</v>
      </c>
      <c r="AM92" s="30">
        <v>1.2273235229352071E-3</v>
      </c>
      <c r="AN92" s="32">
        <v>3.0749789473684212E-7</v>
      </c>
      <c r="AO92" s="32">
        <v>0</v>
      </c>
      <c r="AP92" s="32">
        <v>4.7419718910257708E-7</v>
      </c>
      <c r="AQ92" s="32">
        <v>1.925346272557938E-8</v>
      </c>
      <c r="AR92" s="32">
        <v>0</v>
      </c>
      <c r="AS92" s="32">
        <v>4.2433346793508008E-7</v>
      </c>
      <c r="AT92" s="32">
        <v>1.2252820145000786E-6</v>
      </c>
      <c r="AU92" s="34">
        <v>0</v>
      </c>
      <c r="AV92" s="34">
        <v>0</v>
      </c>
      <c r="AW92" s="34">
        <v>0.44863833161575678</v>
      </c>
      <c r="AX92" s="34">
        <v>1.2450287382389258E-2</v>
      </c>
      <c r="AY92" s="34">
        <v>0</v>
      </c>
      <c r="AZ92" s="34">
        <v>2.8950228379673943E-2</v>
      </c>
      <c r="BA92" s="34">
        <v>0.49003884737781994</v>
      </c>
      <c r="BB92" s="6"/>
      <c r="BC92" s="6"/>
      <c r="BD92" s="6" t="s">
        <v>762</v>
      </c>
      <c r="BF92" s="5">
        <f>19.437868/1000</f>
        <v>1.9437868000000001E-2</v>
      </c>
      <c r="BG92" s="5">
        <f t="shared" si="5"/>
        <v>7.1906122163082238E-3</v>
      </c>
      <c r="BH92" s="2">
        <f>36.248877/1000</f>
        <v>3.6248876999999999E-2</v>
      </c>
    </row>
    <row r="93" spans="1:60" x14ac:dyDescent="0.2">
      <c r="A93" t="str">
        <f t="shared" si="0"/>
        <v>Tram, electric - 2040 - None - CH</v>
      </c>
      <c r="B93" t="s">
        <v>266</v>
      </c>
      <c r="C93" t="s">
        <v>34</v>
      </c>
      <c r="D93" s="18">
        <v>2040</v>
      </c>
      <c r="E93" t="s">
        <v>37</v>
      </c>
      <c r="F93" t="s">
        <v>138</v>
      </c>
      <c r="G93" t="s">
        <v>40</v>
      </c>
      <c r="H93" t="s">
        <v>32</v>
      </c>
      <c r="I93" t="s">
        <v>138</v>
      </c>
      <c r="J93" t="s">
        <v>138</v>
      </c>
      <c r="L93" s="24">
        <v>0</v>
      </c>
      <c r="M93" s="24">
        <v>3.3250878004241052E-4</v>
      </c>
      <c r="N93" s="24">
        <v>9.3541078224898492E-3</v>
      </c>
      <c r="O93" s="24">
        <v>3.2937200159192373E-4</v>
      </c>
      <c r="P93" s="24">
        <v>0</v>
      </c>
      <c r="Q93" s="24">
        <v>2.4938322929111629E-3</v>
      </c>
      <c r="R93" s="24">
        <v>1.2509820897035347E-2</v>
      </c>
      <c r="S93" s="26">
        <v>0</v>
      </c>
      <c r="T93" s="26">
        <v>0</v>
      </c>
      <c r="U93" s="26">
        <v>3.5924961226553142E-4</v>
      </c>
      <c r="V93" s="26">
        <v>1.052491235450947E-5</v>
      </c>
      <c r="W93" s="26">
        <v>0</v>
      </c>
      <c r="X93" s="26">
        <v>1.8131463030672829E-3</v>
      </c>
      <c r="Y93" s="26">
        <v>2.1829208276873237E-3</v>
      </c>
      <c r="Z93" s="28">
        <v>1.718433157894737E-6</v>
      </c>
      <c r="AA93" s="28">
        <v>1.172865789473684E-8</v>
      </c>
      <c r="AB93" s="28">
        <v>2.295759312253106E-4</v>
      </c>
      <c r="AC93" s="28">
        <v>7.1156606251453789E-6</v>
      </c>
      <c r="AD93" s="28">
        <v>0</v>
      </c>
      <c r="AE93" s="28">
        <v>2.196727822363444E-4</v>
      </c>
      <c r="AF93" s="28">
        <v>4.5809453590258986E-4</v>
      </c>
      <c r="AG93" s="30">
        <v>4.8749999999999999E-7</v>
      </c>
      <c r="AH93" s="30">
        <v>0</v>
      </c>
      <c r="AI93" s="30">
        <v>2.7705030440136521E-4</v>
      </c>
      <c r="AJ93" s="30">
        <v>7.491203811326216E-6</v>
      </c>
      <c r="AK93" s="30">
        <v>0</v>
      </c>
      <c r="AL93" s="30">
        <v>9.8902258984547259E-4</v>
      </c>
      <c r="AM93" s="30">
        <v>1.274051598058164E-3</v>
      </c>
      <c r="AN93" s="32">
        <v>3.0749789473684212E-7</v>
      </c>
      <c r="AO93" s="32">
        <v>0</v>
      </c>
      <c r="AP93" s="32">
        <v>4.7419718910257708E-7</v>
      </c>
      <c r="AQ93" s="32">
        <v>1.925346272557938E-8</v>
      </c>
      <c r="AR93" s="32">
        <v>0</v>
      </c>
      <c r="AS93" s="32">
        <v>4.3422842372512038E-7</v>
      </c>
      <c r="AT93" s="32">
        <v>1.2351769702901189E-6</v>
      </c>
      <c r="AU93" s="34">
        <v>0</v>
      </c>
      <c r="AV93" s="34">
        <v>0</v>
      </c>
      <c r="AW93" s="34">
        <v>0.44863833161575678</v>
      </c>
      <c r="AX93" s="34">
        <v>1.2450287382389258E-2</v>
      </c>
      <c r="AY93" s="34">
        <v>0</v>
      </c>
      <c r="AZ93" s="34">
        <v>3.1720858368947807E-2</v>
      </c>
      <c r="BA93" s="34">
        <v>0.4928094773670938</v>
      </c>
      <c r="BB93" s="6"/>
      <c r="BC93" s="6"/>
      <c r="BD93" s="6" t="s">
        <v>763</v>
      </c>
      <c r="BF93" s="5">
        <f>19.544804/1000</f>
        <v>1.9544803999999999E-2</v>
      </c>
      <c r="BG93" s="5">
        <f t="shared" si="5"/>
        <v>7.0349831029646523E-3</v>
      </c>
      <c r="BH93" s="2">
        <f>36.292762/1000</f>
        <v>3.6292762000000006E-2</v>
      </c>
    </row>
    <row r="94" spans="1:60" x14ac:dyDescent="0.2">
      <c r="A94" t="str">
        <f t="shared" si="0"/>
        <v>Tram, electric - 2050 - None - CH</v>
      </c>
      <c r="B94" t="s">
        <v>266</v>
      </c>
      <c r="C94" t="s">
        <v>34</v>
      </c>
      <c r="D94" s="18">
        <v>2050</v>
      </c>
      <c r="E94" t="s">
        <v>37</v>
      </c>
      <c r="F94" t="s">
        <v>138</v>
      </c>
      <c r="G94" t="s">
        <v>40</v>
      </c>
      <c r="H94" t="s">
        <v>32</v>
      </c>
      <c r="I94" t="s">
        <v>138</v>
      </c>
      <c r="J94" t="s">
        <v>138</v>
      </c>
      <c r="L94" s="24">
        <v>0</v>
      </c>
      <c r="M94" s="24">
        <v>3.3250878004241052E-4</v>
      </c>
      <c r="N94" s="24">
        <v>9.3541078224898492E-3</v>
      </c>
      <c r="O94" s="24">
        <v>3.2937200159192373E-4</v>
      </c>
      <c r="P94" s="24">
        <v>0</v>
      </c>
      <c r="Q94" s="24">
        <v>2.756702822032019E-3</v>
      </c>
      <c r="R94" s="24">
        <v>1.2772691426156203E-2</v>
      </c>
      <c r="S94" s="26">
        <v>0</v>
      </c>
      <c r="T94" s="26">
        <v>0</v>
      </c>
      <c r="U94" s="26">
        <v>3.5924961226553142E-4</v>
      </c>
      <c r="V94" s="26">
        <v>1.052491235450947E-5</v>
      </c>
      <c r="W94" s="26">
        <v>0</v>
      </c>
      <c r="X94" s="26">
        <v>1.852419664499443E-3</v>
      </c>
      <c r="Y94" s="26">
        <v>2.2221941891194838E-3</v>
      </c>
      <c r="Z94" s="28">
        <v>1.718433157894737E-6</v>
      </c>
      <c r="AA94" s="28">
        <v>1.172865789473684E-8</v>
      </c>
      <c r="AB94" s="28">
        <v>2.295759312253106E-4</v>
      </c>
      <c r="AC94" s="28">
        <v>7.1156606251453789E-6</v>
      </c>
      <c r="AD94" s="28">
        <v>0</v>
      </c>
      <c r="AE94" s="28">
        <v>2.341415121840008E-4</v>
      </c>
      <c r="AF94" s="28">
        <v>4.7256326585024629E-4</v>
      </c>
      <c r="AG94" s="30">
        <v>4.8749999999999999E-7</v>
      </c>
      <c r="AH94" s="30">
        <v>0</v>
      </c>
      <c r="AI94" s="30">
        <v>2.7705030440136521E-4</v>
      </c>
      <c r="AJ94" s="30">
        <v>7.491203811326216E-6</v>
      </c>
      <c r="AK94" s="30">
        <v>0</v>
      </c>
      <c r="AL94" s="30">
        <v>1.035895642900098E-3</v>
      </c>
      <c r="AM94" s="30">
        <v>1.3209246511127893E-3</v>
      </c>
      <c r="AN94" s="32">
        <v>3.0749789473684212E-7</v>
      </c>
      <c r="AO94" s="32">
        <v>0</v>
      </c>
      <c r="AP94" s="32">
        <v>4.7419718910257708E-7</v>
      </c>
      <c r="AQ94" s="32">
        <v>1.925346272557938E-8</v>
      </c>
      <c r="AR94" s="32">
        <v>0</v>
      </c>
      <c r="AS94" s="32">
        <v>4.4419144508488108E-7</v>
      </c>
      <c r="AT94" s="32">
        <v>1.2451399916498797E-6</v>
      </c>
      <c r="AU94" s="34">
        <v>0</v>
      </c>
      <c r="AV94" s="34">
        <v>0</v>
      </c>
      <c r="AW94" s="34">
        <v>0.44863833161575678</v>
      </c>
      <c r="AX94" s="34">
        <v>1.2450287382389258E-2</v>
      </c>
      <c r="AY94" s="34">
        <v>0</v>
      </c>
      <c r="AZ94" s="34">
        <v>3.4495609660682769E-2</v>
      </c>
      <c r="BA94" s="34">
        <v>0.49558422865882878</v>
      </c>
      <c r="BB94" s="6"/>
      <c r="BC94" s="6"/>
      <c r="BD94" s="6" t="s">
        <v>764</v>
      </c>
      <c r="BF94" s="5">
        <f>19.651928/1000</f>
        <v>1.9651928000000003E-2</v>
      </c>
      <c r="BG94" s="5">
        <f t="shared" si="5"/>
        <v>6.8792365738437992E-3</v>
      </c>
      <c r="BH94" s="2">
        <f>36.337108/1000</f>
        <v>3.6337108E-2</v>
      </c>
    </row>
    <row r="95" spans="1:60" x14ac:dyDescent="0.2">
      <c r="A95" t="str">
        <f t="shared" si="0"/>
        <v>Moped, gasoline, &lt;4kW, EURO-3 - 2006 - None - CH</v>
      </c>
      <c r="B95" t="s">
        <v>354</v>
      </c>
      <c r="D95" s="18">
        <v>2006</v>
      </c>
      <c r="E95" t="s">
        <v>37</v>
      </c>
      <c r="F95" t="s">
        <v>139</v>
      </c>
      <c r="G95" t="s">
        <v>39</v>
      </c>
      <c r="H95" t="s">
        <v>35</v>
      </c>
      <c r="I95" t="s">
        <v>138</v>
      </c>
      <c r="J95" t="s">
        <v>138</v>
      </c>
      <c r="L95" s="24">
        <v>7.6158807849571478E-2</v>
      </c>
      <c r="M95" s="24">
        <v>0</v>
      </c>
      <c r="N95" s="24">
        <v>1.2216500437448451E-2</v>
      </c>
      <c r="O95" s="24">
        <v>9.5118975182542226E-3</v>
      </c>
      <c r="P95" s="24">
        <v>4.327689440643121E-3</v>
      </c>
      <c r="Q95" s="24">
        <v>1.1663392242302031E-2</v>
      </c>
      <c r="R95" s="24">
        <v>0.11387828748821929</v>
      </c>
      <c r="S95" s="26">
        <v>0</v>
      </c>
      <c r="T95" s="26">
        <v>0</v>
      </c>
      <c r="U95" s="26">
        <v>2.8032155576443652E-4</v>
      </c>
      <c r="V95" s="26">
        <v>5.4149643498382851E-4</v>
      </c>
      <c r="W95" s="26">
        <v>3.0040213972647579E-4</v>
      </c>
      <c r="X95" s="26">
        <v>2.6915767937218918E-3</v>
      </c>
      <c r="Y95" s="26">
        <v>3.8137969241966328E-3</v>
      </c>
      <c r="Z95" s="28">
        <v>2.5595337125993631E-2</v>
      </c>
      <c r="AA95" s="28">
        <v>2.7516120475980978E-3</v>
      </c>
      <c r="AB95" s="28">
        <v>6.2619259792784333E-4</v>
      </c>
      <c r="AC95" s="28">
        <v>1.891362620619139E-4</v>
      </c>
      <c r="AD95" s="28">
        <v>1.3387280590702801E-4</v>
      </c>
      <c r="AE95" s="28">
        <v>5.6825601161226871E-4</v>
      </c>
      <c r="AF95" s="28">
        <v>2.9864406851100783E-2</v>
      </c>
      <c r="AG95" s="30">
        <v>2.3696459537734282E-6</v>
      </c>
      <c r="AH95" s="30">
        <v>1.445647576592023E-5</v>
      </c>
      <c r="AI95" s="30">
        <v>1.092229405257441E-4</v>
      </c>
      <c r="AJ95" s="30">
        <v>3.7496238084001741E-4</v>
      </c>
      <c r="AK95" s="30">
        <v>1.8347596037874211E-4</v>
      </c>
      <c r="AL95" s="30">
        <v>1.2416250313614481E-3</v>
      </c>
      <c r="AM95" s="30">
        <v>1.9261124348256453E-3</v>
      </c>
      <c r="AN95" s="32">
        <v>5.700466977606345E-6</v>
      </c>
      <c r="AO95" s="32">
        <v>1.036854518903741E-5</v>
      </c>
      <c r="AP95" s="32">
        <v>2.40276050593929E-6</v>
      </c>
      <c r="AQ95" s="32">
        <v>5.7073161734124143E-7</v>
      </c>
      <c r="AR95" s="32">
        <v>7.4612909852064662E-7</v>
      </c>
      <c r="AS95" s="32">
        <v>2.4241264442910122E-6</v>
      </c>
      <c r="AT95" s="32">
        <v>2.2212759832735942E-5</v>
      </c>
      <c r="AU95" s="34">
        <v>0</v>
      </c>
      <c r="AV95" s="34">
        <v>0</v>
      </c>
      <c r="AW95" s="34">
        <v>1.0704762575237599</v>
      </c>
      <c r="AX95" s="34">
        <v>0.17743074935185008</v>
      </c>
      <c r="AY95" s="34">
        <v>0.15224090294374568</v>
      </c>
      <c r="AZ95" s="34">
        <v>0.17321715958219866</v>
      </c>
      <c r="BA95" s="34">
        <v>1.5733650694015544</v>
      </c>
      <c r="BB95" s="6"/>
      <c r="BC95" s="6"/>
      <c r="BD95" t="s">
        <v>972</v>
      </c>
      <c r="BF95" s="5">
        <v>0.11010976</v>
      </c>
      <c r="BG95" s="5">
        <f t="shared" si="5"/>
        <v>-3.7685274882192921E-3</v>
      </c>
      <c r="BH95" s="2">
        <v>239.49606</v>
      </c>
    </row>
    <row r="96" spans="1:60" x14ac:dyDescent="0.2">
      <c r="A96" t="str">
        <f t="shared" si="0"/>
        <v>Moped, gasoline, &lt;4kW, EURO-4 - 2016 - None - CH</v>
      </c>
      <c r="B96" t="s">
        <v>355</v>
      </c>
      <c r="D96" s="18">
        <v>2016</v>
      </c>
      <c r="E96" t="s">
        <v>37</v>
      </c>
      <c r="F96" t="s">
        <v>140</v>
      </c>
      <c r="G96" t="s">
        <v>39</v>
      </c>
      <c r="H96" t="s">
        <v>35</v>
      </c>
      <c r="I96" t="s">
        <v>138</v>
      </c>
      <c r="J96" t="s">
        <v>138</v>
      </c>
      <c r="L96" s="24">
        <v>7.2098118546289489E-2</v>
      </c>
      <c r="M96" s="24">
        <v>0</v>
      </c>
      <c r="N96" s="24">
        <v>1.209554498757272E-2</v>
      </c>
      <c r="O96" s="24">
        <v>9.5118975182542226E-3</v>
      </c>
      <c r="P96" s="24">
        <v>4.3219588877075046E-3</v>
      </c>
      <c r="Q96" s="24">
        <v>1.164930380824032E-2</v>
      </c>
      <c r="R96" s="24">
        <v>0.10967682374806426</v>
      </c>
      <c r="S96" s="26">
        <v>0</v>
      </c>
      <c r="T96" s="26">
        <v>0</v>
      </c>
      <c r="U96" s="26">
        <v>2.775460948162738E-4</v>
      </c>
      <c r="V96" s="26">
        <v>5.4149643498382851E-4</v>
      </c>
      <c r="W96" s="26">
        <v>3.000400396075031E-4</v>
      </c>
      <c r="X96" s="26">
        <v>2.6912906902973742E-3</v>
      </c>
      <c r="Y96" s="26">
        <v>3.8103732597049795E-3</v>
      </c>
      <c r="Z96" s="28">
        <v>1.259043798309188E-2</v>
      </c>
      <c r="AA96" s="28">
        <v>2.7516120475980978E-3</v>
      </c>
      <c r="AB96" s="28">
        <v>6.1999267121568653E-4</v>
      </c>
      <c r="AC96" s="28">
        <v>1.891362620619139E-4</v>
      </c>
      <c r="AD96" s="28">
        <v>1.3370820756277669E-4</v>
      </c>
      <c r="AE96" s="28">
        <v>5.6727139557644698E-4</v>
      </c>
      <c r="AF96" s="28">
        <v>1.6852158567106802E-2</v>
      </c>
      <c r="AG96" s="30">
        <v>1.237606184978023E-6</v>
      </c>
      <c r="AH96" s="30">
        <v>1.445647576592023E-5</v>
      </c>
      <c r="AI96" s="30">
        <v>1.08141525273014E-4</v>
      </c>
      <c r="AJ96" s="30">
        <v>3.7496238084001741E-4</v>
      </c>
      <c r="AK96" s="30">
        <v>1.833223449479966E-4</v>
      </c>
      <c r="AL96" s="30">
        <v>1.2415357770236589E-3</v>
      </c>
      <c r="AM96" s="30">
        <v>1.9236561100355852E-3</v>
      </c>
      <c r="AN96" s="32">
        <v>2.894383995750942E-6</v>
      </c>
      <c r="AO96" s="32">
        <v>1.036854518903741E-5</v>
      </c>
      <c r="AP96" s="32">
        <v>2.3789707979596928E-6</v>
      </c>
      <c r="AQ96" s="32">
        <v>5.7073161734124143E-7</v>
      </c>
      <c r="AR96" s="32">
        <v>7.4552254589630871E-7</v>
      </c>
      <c r="AS96" s="32">
        <v>2.420480924882581E-6</v>
      </c>
      <c r="AT96" s="32">
        <v>1.9378635070868174E-5</v>
      </c>
      <c r="AU96" s="34">
        <v>0</v>
      </c>
      <c r="AV96" s="34">
        <v>0</v>
      </c>
      <c r="AW96" s="34">
        <v>1.0598774826967927</v>
      </c>
      <c r="AX96" s="34">
        <v>0.17743074935185008</v>
      </c>
      <c r="AY96" s="34">
        <v>0.15205317376416869</v>
      </c>
      <c r="AZ96" s="34">
        <v>0.1730072649338944</v>
      </c>
      <c r="BA96" s="34">
        <v>1.5623686707467059</v>
      </c>
      <c r="BB96" s="6"/>
      <c r="BC96" s="6"/>
      <c r="BD96" t="s">
        <v>978</v>
      </c>
      <c r="BF96" s="5">
        <v>0.10933002999999999</v>
      </c>
      <c r="BG96" s="5">
        <f t="shared" si="5"/>
        <v>-3.4679374806426133E-4</v>
      </c>
      <c r="BH96" s="2">
        <v>171.39883</v>
      </c>
    </row>
    <row r="97" spans="1:60" x14ac:dyDescent="0.2">
      <c r="A97" t="str">
        <f t="shared" si="0"/>
        <v>Moped, gasoline, &lt;4kW, EURO-5 - 2020 - None - CH</v>
      </c>
      <c r="B97" t="s">
        <v>356</v>
      </c>
      <c r="D97" s="18">
        <v>2020</v>
      </c>
      <c r="E97" t="s">
        <v>37</v>
      </c>
      <c r="F97" t="s">
        <v>141</v>
      </c>
      <c r="G97" t="s">
        <v>39</v>
      </c>
      <c r="H97" t="s">
        <v>35</v>
      </c>
      <c r="I97" t="s">
        <v>138</v>
      </c>
      <c r="J97" t="s">
        <v>138</v>
      </c>
      <c r="L97" s="24">
        <v>7.1377137360826598E-2</v>
      </c>
      <c r="M97" s="24">
        <v>0</v>
      </c>
      <c r="N97" s="24">
        <v>1.197458953769699E-2</v>
      </c>
      <c r="O97" s="24">
        <v>9.5118975182542226E-3</v>
      </c>
      <c r="P97" s="24">
        <v>4.3181385190837586E-3</v>
      </c>
      <c r="Q97" s="24">
        <v>1.1639911526481649E-2</v>
      </c>
      <c r="R97" s="24">
        <v>0.10882167446234323</v>
      </c>
      <c r="S97" s="26">
        <v>0</v>
      </c>
      <c r="T97" s="26">
        <v>0</v>
      </c>
      <c r="U97" s="26">
        <v>2.7477063386811108E-4</v>
      </c>
      <c r="V97" s="26">
        <v>5.4149643498382851E-4</v>
      </c>
      <c r="W97" s="26">
        <v>2.9979863952818789E-4</v>
      </c>
      <c r="X97" s="26">
        <v>2.691099954845204E-3</v>
      </c>
      <c r="Y97" s="26">
        <v>3.8071656632253314E-3</v>
      </c>
      <c r="Z97" s="28">
        <v>1.246453360326096E-2</v>
      </c>
      <c r="AA97" s="28">
        <v>2.7516120475980978E-3</v>
      </c>
      <c r="AB97" s="28">
        <v>6.1379274450352962E-4</v>
      </c>
      <c r="AC97" s="28">
        <v>1.891362620619139E-4</v>
      </c>
      <c r="AD97" s="28">
        <v>1.335984753332758E-4</v>
      </c>
      <c r="AE97" s="28">
        <v>5.6661498494713265E-4</v>
      </c>
      <c r="AF97" s="28">
        <v>1.6719288117704911E-2</v>
      </c>
      <c r="AG97" s="30">
        <v>1.2252301231282421E-6</v>
      </c>
      <c r="AH97" s="30">
        <v>1.445647576592023E-5</v>
      </c>
      <c r="AI97" s="30">
        <v>1.070601100202838E-4</v>
      </c>
      <c r="AJ97" s="30">
        <v>3.7496238084001741E-4</v>
      </c>
      <c r="AK97" s="30">
        <v>1.832199346608329E-4</v>
      </c>
      <c r="AL97" s="30">
        <v>1.2414762741699431E-3</v>
      </c>
      <c r="AM97" s="30">
        <v>1.9224004055801258E-3</v>
      </c>
      <c r="AN97" s="32">
        <v>2.8654401557934321E-6</v>
      </c>
      <c r="AO97" s="32">
        <v>1.036854518903741E-5</v>
      </c>
      <c r="AP97" s="32">
        <v>2.3551810899800961E-6</v>
      </c>
      <c r="AQ97" s="32">
        <v>5.7073161734124143E-7</v>
      </c>
      <c r="AR97" s="32">
        <v>7.4511817748008339E-7</v>
      </c>
      <c r="AS97" s="32">
        <v>2.4180505789840031E-6</v>
      </c>
      <c r="AT97" s="32">
        <v>1.9323066808616268E-5</v>
      </c>
      <c r="AU97" s="34">
        <v>0</v>
      </c>
      <c r="AV97" s="34">
        <v>0</v>
      </c>
      <c r="AW97" s="34">
        <v>1.0492787078698251</v>
      </c>
      <c r="AX97" s="34">
        <v>0.17743074935185008</v>
      </c>
      <c r="AY97" s="34">
        <v>0.15192802097778405</v>
      </c>
      <c r="AZ97" s="34">
        <v>0.17286733527208248</v>
      </c>
      <c r="BA97" s="34">
        <v>1.5515048134715417</v>
      </c>
      <c r="BB97" s="6"/>
      <c r="BC97" s="6"/>
      <c r="BD97" t="s">
        <v>909</v>
      </c>
      <c r="BF97" s="5">
        <v>0.10852245000000001</v>
      </c>
      <c r="BG97" s="5">
        <f t="shared" si="5"/>
        <v>-2.9922446234321998E-4</v>
      </c>
      <c r="BH97" s="2">
        <v>170.18522999999999</v>
      </c>
    </row>
    <row r="98" spans="1:60" x14ac:dyDescent="0.2">
      <c r="A98" t="str">
        <f t="shared" si="0"/>
        <v>Moped, gasoline, &lt;4kW, EURO-5 - 2030 - None - CH</v>
      </c>
      <c r="B98" t="s">
        <v>356</v>
      </c>
      <c r="D98" s="18">
        <v>2030</v>
      </c>
      <c r="E98" t="s">
        <v>37</v>
      </c>
      <c r="F98" t="s">
        <v>141</v>
      </c>
      <c r="G98" t="s">
        <v>39</v>
      </c>
      <c r="H98" t="s">
        <v>35</v>
      </c>
      <c r="I98" t="s">
        <v>138</v>
      </c>
      <c r="J98" t="s">
        <v>138</v>
      </c>
      <c r="L98" s="24">
        <v>7.0663365987218341E-2</v>
      </c>
      <c r="M98" s="24">
        <v>0</v>
      </c>
      <c r="N98" s="24">
        <v>1.185484364232002E-2</v>
      </c>
      <c r="O98" s="24">
        <v>9.5118975182542226E-3</v>
      </c>
      <c r="P98" s="24">
        <v>4.3123533406807801E-3</v>
      </c>
      <c r="Q98" s="24">
        <v>1.334277129371862E-2</v>
      </c>
      <c r="R98" s="24">
        <v>0.10968523178219199</v>
      </c>
      <c r="S98" s="26">
        <v>0</v>
      </c>
      <c r="T98" s="26">
        <v>0</v>
      </c>
      <c r="U98" s="26">
        <v>2.7202292752943002E-4</v>
      </c>
      <c r="V98" s="26">
        <v>5.4149643498382851E-4</v>
      </c>
      <c r="W98" s="26">
        <v>2.9943308775481919E-4</v>
      </c>
      <c r="X98" s="26">
        <v>2.9972968297730918E-3</v>
      </c>
      <c r="Y98" s="26">
        <v>4.1102492800411698E-3</v>
      </c>
      <c r="Z98" s="28">
        <v>1.2339888267228351E-2</v>
      </c>
      <c r="AA98" s="28">
        <v>2.7516120475980978E-3</v>
      </c>
      <c r="AB98" s="28">
        <v>6.0765481705849444E-4</v>
      </c>
      <c r="AC98" s="28">
        <v>1.891362620619139E-4</v>
      </c>
      <c r="AD98" s="28">
        <v>1.3343230798484919E-4</v>
      </c>
      <c r="AE98" s="28">
        <v>6.6360526640711149E-4</v>
      </c>
      <c r="AF98" s="28">
        <v>1.6685328968338818E-2</v>
      </c>
      <c r="AG98" s="30">
        <v>1.21297782189696E-6</v>
      </c>
      <c r="AH98" s="30">
        <v>1.445647576592023E-5</v>
      </c>
      <c r="AI98" s="30">
        <v>1.0598950892008099E-4</v>
      </c>
      <c r="AJ98" s="30">
        <v>3.7496238084001741E-4</v>
      </c>
      <c r="AK98" s="30">
        <v>1.8306485491856409E-4</v>
      </c>
      <c r="AL98" s="30">
        <v>1.565631020328212E-3</v>
      </c>
      <c r="AM98" s="30">
        <v>2.245317218594692E-3</v>
      </c>
      <c r="AN98" s="32">
        <v>2.8367857542354979E-6</v>
      </c>
      <c r="AO98" s="32">
        <v>1.036854518903741E-5</v>
      </c>
      <c r="AP98" s="32">
        <v>2.331629279080296E-6</v>
      </c>
      <c r="AQ98" s="32">
        <v>5.7073161734124143E-7</v>
      </c>
      <c r="AR98" s="32">
        <v>7.445058430017154E-7</v>
      </c>
      <c r="AS98" s="32">
        <v>2.4944900648852379E-6</v>
      </c>
      <c r="AT98" s="32">
        <v>1.9346687747581396E-5</v>
      </c>
      <c r="AU98" s="34">
        <v>0</v>
      </c>
      <c r="AV98" s="34">
        <v>0</v>
      </c>
      <c r="AW98" s="34">
        <v>1.0387859207911265</v>
      </c>
      <c r="AX98" s="34">
        <v>0.17743074935185008</v>
      </c>
      <c r="AY98" s="34">
        <v>0.15173850230349559</v>
      </c>
      <c r="AZ98" s="34">
        <v>0.19100922548704211</v>
      </c>
      <c r="BA98" s="34">
        <v>1.5589643979335144</v>
      </c>
      <c r="BB98" s="6"/>
      <c r="BC98" s="6"/>
      <c r="BD98" t="s">
        <v>646</v>
      </c>
      <c r="BF98" s="5">
        <v>0.10845150000000001</v>
      </c>
      <c r="BG98" s="5">
        <f t="shared" si="5"/>
        <v>-1.2337317821919797E-3</v>
      </c>
      <c r="BH98" s="2">
        <v>169.38229000000001</v>
      </c>
    </row>
    <row r="99" spans="1:60" x14ac:dyDescent="0.2">
      <c r="A99" t="str">
        <f t="shared" si="0"/>
        <v>Moped, gasoline, &lt;4kW, EURO-5 - 2040 - None - CH</v>
      </c>
      <c r="B99" t="s">
        <v>356</v>
      </c>
      <c r="D99" s="18">
        <v>2040</v>
      </c>
      <c r="E99" t="s">
        <v>37</v>
      </c>
      <c r="F99" t="s">
        <v>141</v>
      </c>
      <c r="G99" t="s">
        <v>39</v>
      </c>
      <c r="H99" t="s">
        <v>35</v>
      </c>
      <c r="I99" t="s">
        <v>138</v>
      </c>
      <c r="J99" t="s">
        <v>138</v>
      </c>
      <c r="L99" s="24">
        <v>6.9956732327346144E-2</v>
      </c>
      <c r="M99" s="24">
        <v>0</v>
      </c>
      <c r="N99" s="24">
        <v>1.1736295205896819E-2</v>
      </c>
      <c r="O99" s="24">
        <v>9.5118975182542226E-3</v>
      </c>
      <c r="P99" s="24">
        <v>4.3083827520217846E-3</v>
      </c>
      <c r="Q99" s="24">
        <v>1.451150879229869E-2</v>
      </c>
      <c r="R99" s="24">
        <v>0.11002481659581766</v>
      </c>
      <c r="S99" s="26">
        <v>0</v>
      </c>
      <c r="T99" s="26">
        <v>0</v>
      </c>
      <c r="U99" s="26">
        <v>2.6930269825413568E-4</v>
      </c>
      <c r="V99" s="26">
        <v>5.4149643498382851E-4</v>
      </c>
      <c r="W99" s="26">
        <v>2.9918219562591531E-4</v>
      </c>
      <c r="X99" s="26">
        <v>3.2074513873982398E-3</v>
      </c>
      <c r="Y99" s="26">
        <v>4.3174327162621194E-3</v>
      </c>
      <c r="Z99" s="28">
        <v>1.221648938455607E-2</v>
      </c>
      <c r="AA99" s="28">
        <v>2.7516120475980978E-3</v>
      </c>
      <c r="AB99" s="28">
        <v>6.0157826888790941E-4</v>
      </c>
      <c r="AC99" s="28">
        <v>1.891362620619139E-4</v>
      </c>
      <c r="AD99" s="28">
        <v>1.333182609938666E-4</v>
      </c>
      <c r="AE99" s="28">
        <v>7.3017339203925846E-4</v>
      </c>
      <c r="AF99" s="28">
        <v>1.6622307616137116E-2</v>
      </c>
      <c r="AG99" s="30">
        <v>1.2008480436779901E-6</v>
      </c>
      <c r="AH99" s="30">
        <v>1.445647576592023E-5</v>
      </c>
      <c r="AI99" s="30">
        <v>1.0492961383088021E-4</v>
      </c>
      <c r="AJ99" s="30">
        <v>3.7496238084001741E-4</v>
      </c>
      <c r="AK99" s="30">
        <v>1.8295841777471119E-4</v>
      </c>
      <c r="AL99" s="30">
        <v>1.7881107853725199E-3</v>
      </c>
      <c r="AM99" s="30">
        <v>2.466618521627727E-3</v>
      </c>
      <c r="AN99" s="32">
        <v>2.8084178966931429E-6</v>
      </c>
      <c r="AO99" s="32">
        <v>1.036854518903741E-5</v>
      </c>
      <c r="AP99" s="32">
        <v>2.308312986289492E-6</v>
      </c>
      <c r="AQ99" s="32">
        <v>5.7073161734124143E-7</v>
      </c>
      <c r="AR99" s="32">
        <v>7.4408557448690755E-7</v>
      </c>
      <c r="AS99" s="32">
        <v>2.5469533531252588E-6</v>
      </c>
      <c r="AT99" s="32">
        <v>1.9347046616973454E-5</v>
      </c>
      <c r="AU99" s="34">
        <v>0</v>
      </c>
      <c r="AV99" s="34">
        <v>0</v>
      </c>
      <c r="AW99" s="34">
        <v>1.0283980615832151</v>
      </c>
      <c r="AX99" s="34">
        <v>0.17743074935185008</v>
      </c>
      <c r="AY99" s="34">
        <v>0.15160842840665434</v>
      </c>
      <c r="AZ99" s="34">
        <v>0.20346069449177195</v>
      </c>
      <c r="BA99" s="34">
        <v>1.5608979338334916</v>
      </c>
      <c r="BB99" s="6"/>
      <c r="BC99" s="6"/>
      <c r="BD99" t="s">
        <v>647</v>
      </c>
      <c r="BF99" s="5">
        <v>0.10816863</v>
      </c>
      <c r="BG99" s="5">
        <f t="shared" si="5"/>
        <v>-1.8561865958176549E-3</v>
      </c>
      <c r="BH99" s="2">
        <v>168.49018000000001</v>
      </c>
    </row>
    <row r="100" spans="1:60" x14ac:dyDescent="0.2">
      <c r="A100" t="str">
        <f t="shared" si="0"/>
        <v>Moped, gasoline, &lt;4kW, EURO-5 - 2050 - None - CH</v>
      </c>
      <c r="B100" t="s">
        <v>356</v>
      </c>
      <c r="D100" s="18">
        <v>2050</v>
      </c>
      <c r="E100" t="s">
        <v>37</v>
      </c>
      <c r="F100" t="s">
        <v>141</v>
      </c>
      <c r="G100" t="s">
        <v>39</v>
      </c>
      <c r="H100" t="s">
        <v>35</v>
      </c>
      <c r="I100" t="s">
        <v>138</v>
      </c>
      <c r="J100" t="s">
        <v>138</v>
      </c>
      <c r="L100" s="24">
        <v>6.9257165004072682E-2</v>
      </c>
      <c r="M100" s="24">
        <v>0</v>
      </c>
      <c r="N100" s="24">
        <v>1.161893225383785E-2</v>
      </c>
      <c r="O100" s="24">
        <v>9.5118975182542226E-3</v>
      </c>
      <c r="P100" s="24">
        <v>4.3043529857731463E-3</v>
      </c>
      <c r="Q100" s="24">
        <v>1.569766507499884E-2</v>
      </c>
      <c r="R100" s="24">
        <v>0.11039001283693674</v>
      </c>
      <c r="S100" s="26">
        <v>0</v>
      </c>
      <c r="T100" s="26">
        <v>0</v>
      </c>
      <c r="U100" s="26">
        <v>2.6660967127159431E-4</v>
      </c>
      <c r="V100" s="26">
        <v>5.4149643498382851E-4</v>
      </c>
      <c r="W100" s="26">
        <v>2.9892756420474899E-4</v>
      </c>
      <c r="X100" s="26">
        <v>3.420738093818463E-3</v>
      </c>
      <c r="Y100" s="26">
        <v>4.527771764278635E-3</v>
      </c>
      <c r="Z100" s="28">
        <v>1.209432449071051E-2</v>
      </c>
      <c r="AA100" s="28">
        <v>2.7516120475980978E-3</v>
      </c>
      <c r="AB100" s="28">
        <v>5.9556248619903026E-4</v>
      </c>
      <c r="AC100" s="28">
        <v>1.891362620619139E-4</v>
      </c>
      <c r="AD100" s="28">
        <v>1.332025142483609E-4</v>
      </c>
      <c r="AE100" s="28">
        <v>7.9773364226647494E-4</v>
      </c>
      <c r="AF100" s="28">
        <v>1.6561571443084389E-2</v>
      </c>
      <c r="AG100" s="30">
        <v>1.18883956324121E-6</v>
      </c>
      <c r="AH100" s="30">
        <v>1.445647576592023E-5</v>
      </c>
      <c r="AI100" s="30">
        <v>1.038803176925714E-4</v>
      </c>
      <c r="AJ100" s="30">
        <v>3.7496238084001741E-4</v>
      </c>
      <c r="AK100" s="30">
        <v>1.828503942933747E-4</v>
      </c>
      <c r="AL100" s="30">
        <v>2.0139063565176429E-3</v>
      </c>
      <c r="AM100" s="30">
        <v>2.6912447646727676E-3</v>
      </c>
      <c r="AN100" s="32">
        <v>2.7803337177262118E-6</v>
      </c>
      <c r="AO100" s="32">
        <v>1.036854518903741E-5</v>
      </c>
      <c r="AP100" s="32">
        <v>2.285229856426598E-6</v>
      </c>
      <c r="AQ100" s="32">
        <v>5.7073161734124143E-7</v>
      </c>
      <c r="AR100" s="32">
        <v>7.4365904229690045E-7</v>
      </c>
      <c r="AS100" s="32">
        <v>2.6001985906203342E-6</v>
      </c>
      <c r="AT100" s="32">
        <v>1.9348698013448696E-5</v>
      </c>
      <c r="AU100" s="34">
        <v>0</v>
      </c>
      <c r="AV100" s="34">
        <v>0</v>
      </c>
      <c r="AW100" s="34">
        <v>1.0181140809673834</v>
      </c>
      <c r="AX100" s="34">
        <v>0.17743074935185008</v>
      </c>
      <c r="AY100" s="34">
        <v>0.15147641589054234</v>
      </c>
      <c r="AZ100" s="34">
        <v>0.21609774034262755</v>
      </c>
      <c r="BA100" s="34">
        <v>1.5631189865524036</v>
      </c>
      <c r="BB100" s="6"/>
      <c r="BC100" s="6"/>
      <c r="BD100" t="s">
        <v>648</v>
      </c>
      <c r="BF100" s="5">
        <v>0.1078909</v>
      </c>
      <c r="BG100" s="5">
        <f t="shared" si="5"/>
        <v>-2.4991128369367399E-3</v>
      </c>
      <c r="BH100" s="2">
        <v>167.60146</v>
      </c>
    </row>
    <row r="101" spans="1:60" x14ac:dyDescent="0.2">
      <c r="A101" t="str">
        <f t="shared" si="0"/>
        <v>Scooter, gasoline, &lt;4kW, EURO-3 - 2006 - None - CH</v>
      </c>
      <c r="B101" t="s">
        <v>384</v>
      </c>
      <c r="D101" s="18">
        <v>2006</v>
      </c>
      <c r="E101" t="s">
        <v>37</v>
      </c>
      <c r="F101" t="s">
        <v>141</v>
      </c>
      <c r="G101" t="s">
        <v>39</v>
      </c>
      <c r="H101" t="s">
        <v>35</v>
      </c>
      <c r="I101" t="s">
        <v>138</v>
      </c>
      <c r="J101" t="s">
        <v>138</v>
      </c>
      <c r="L101" s="24">
        <v>0</v>
      </c>
      <c r="M101" s="24">
        <v>0</v>
      </c>
      <c r="N101" s="24">
        <v>0</v>
      </c>
      <c r="O101" s="24">
        <v>0</v>
      </c>
      <c r="P101" s="24">
        <v>0</v>
      </c>
      <c r="Q101" s="24">
        <v>0</v>
      </c>
      <c r="R101" s="24">
        <v>0</v>
      </c>
      <c r="S101" s="26">
        <v>0</v>
      </c>
      <c r="T101" s="26">
        <v>0</v>
      </c>
      <c r="U101" s="26">
        <v>0</v>
      </c>
      <c r="V101" s="26">
        <v>0</v>
      </c>
      <c r="W101" s="26">
        <v>0</v>
      </c>
      <c r="X101" s="26">
        <v>0</v>
      </c>
      <c r="Y101" s="26">
        <v>0</v>
      </c>
      <c r="Z101" s="28">
        <v>0</v>
      </c>
      <c r="AA101" s="28">
        <v>0</v>
      </c>
      <c r="AB101" s="28">
        <v>0</v>
      </c>
      <c r="AC101" s="28">
        <v>0</v>
      </c>
      <c r="AD101" s="28">
        <v>0</v>
      </c>
      <c r="AE101" s="28">
        <v>0</v>
      </c>
      <c r="AF101" s="28">
        <v>0</v>
      </c>
      <c r="AG101" s="30">
        <v>0</v>
      </c>
      <c r="AH101" s="30">
        <v>0</v>
      </c>
      <c r="AI101" s="30">
        <v>0</v>
      </c>
      <c r="AJ101" s="30">
        <v>0</v>
      </c>
      <c r="AK101" s="30">
        <v>0</v>
      </c>
      <c r="AL101" s="30">
        <v>0</v>
      </c>
      <c r="AM101" s="30">
        <v>0</v>
      </c>
      <c r="AN101" s="32">
        <v>0</v>
      </c>
      <c r="AO101" s="32">
        <v>0</v>
      </c>
      <c r="AP101" s="32">
        <v>0</v>
      </c>
      <c r="AQ101" s="32">
        <v>0</v>
      </c>
      <c r="AR101" s="32">
        <v>0</v>
      </c>
      <c r="AS101" s="32">
        <v>0</v>
      </c>
      <c r="AT101" s="32">
        <v>0</v>
      </c>
      <c r="AU101" s="34">
        <v>0</v>
      </c>
      <c r="AV101" s="34">
        <v>0</v>
      </c>
      <c r="AW101" s="34">
        <v>0</v>
      </c>
      <c r="AX101" s="34">
        <v>0</v>
      </c>
      <c r="AY101" s="34">
        <v>0</v>
      </c>
      <c r="AZ101" s="34">
        <v>0</v>
      </c>
      <c r="BA101" s="34">
        <v>0</v>
      </c>
      <c r="BB101" s="6"/>
      <c r="BC101" s="6"/>
      <c r="BD101" t="s">
        <v>973</v>
      </c>
      <c r="BF101" s="5">
        <v>0.16551129000000001</v>
      </c>
      <c r="BG101" s="5">
        <f t="shared" si="5"/>
        <v>0.16551129000000001</v>
      </c>
      <c r="BH101" s="2">
        <v>257.89483999999999</v>
      </c>
    </row>
    <row r="102" spans="1:60" x14ac:dyDescent="0.2">
      <c r="A102" t="str">
        <f t="shared" si="0"/>
        <v>Scooter, gasoline, &lt;4kW, EURO-4 - 2016 - None - CH</v>
      </c>
      <c r="B102" t="s">
        <v>385</v>
      </c>
      <c r="D102" s="18">
        <v>2016</v>
      </c>
      <c r="E102" t="s">
        <v>37</v>
      </c>
      <c r="F102" t="s">
        <v>140</v>
      </c>
      <c r="G102" t="s">
        <v>39</v>
      </c>
      <c r="H102" t="s">
        <v>35</v>
      </c>
      <c r="I102" t="s">
        <v>138</v>
      </c>
      <c r="J102" t="s">
        <v>138</v>
      </c>
      <c r="L102" s="24">
        <v>0.1128969651379165</v>
      </c>
      <c r="M102" s="24">
        <v>0</v>
      </c>
      <c r="N102" s="24">
        <v>1.8940165822903782E-2</v>
      </c>
      <c r="O102" s="24">
        <v>9.5118975182542226E-3</v>
      </c>
      <c r="P102" s="24">
        <v>4.4596981416954867E-3</v>
      </c>
      <c r="Q102" s="24">
        <v>1.7347925130808101E-2</v>
      </c>
      <c r="R102" s="24">
        <v>0.16315665175157809</v>
      </c>
      <c r="S102" s="26">
        <v>0</v>
      </c>
      <c r="T102" s="26">
        <v>0</v>
      </c>
      <c r="U102" s="26">
        <v>4.3460373755135011E-4</v>
      </c>
      <c r="V102" s="26">
        <v>5.4149643498382851E-4</v>
      </c>
      <c r="W102" s="26">
        <v>3.0874345807630068E-4</v>
      </c>
      <c r="X102" s="26">
        <v>4.0150139972204022E-3</v>
      </c>
      <c r="Y102" s="26">
        <v>5.2998576278318818E-3</v>
      </c>
      <c r="Z102" s="28">
        <v>1.971510861459749E-2</v>
      </c>
      <c r="AA102" s="28">
        <v>4.6261147379200417E-3</v>
      </c>
      <c r="AB102" s="28">
        <v>9.7083380813969041E-4</v>
      </c>
      <c r="AC102" s="28">
        <v>1.891362620619139E-4</v>
      </c>
      <c r="AD102" s="28">
        <v>1.3766448427805311E-4</v>
      </c>
      <c r="AE102" s="28">
        <v>8.4431375179181605E-4</v>
      </c>
      <c r="AF102" s="28">
        <v>2.6483171658789006E-2</v>
      </c>
      <c r="AG102" s="30">
        <v>1.9379421424184219E-6</v>
      </c>
      <c r="AH102" s="30">
        <v>2.4017681479425239E-5</v>
      </c>
      <c r="AI102" s="30">
        <v>1.6933659650036591E-4</v>
      </c>
      <c r="AJ102" s="30">
        <v>3.7496238084001741E-4</v>
      </c>
      <c r="AK102" s="30">
        <v>1.8701463696059191E-4</v>
      </c>
      <c r="AL102" s="30">
        <v>1.852588283102466E-3</v>
      </c>
      <c r="AM102" s="30">
        <v>2.6098575210252847E-3</v>
      </c>
      <c r="AN102" s="32">
        <v>4.5322565366839864E-6</v>
      </c>
      <c r="AO102" s="32">
        <v>1.7366458046533871E-5</v>
      </c>
      <c r="AP102" s="32">
        <v>3.7251815811107482E-6</v>
      </c>
      <c r="AQ102" s="32">
        <v>5.7073161734124143E-7</v>
      </c>
      <c r="AR102" s="32">
        <v>7.6010161128832478E-7</v>
      </c>
      <c r="AS102" s="32">
        <v>3.6032811164636561E-6</v>
      </c>
      <c r="AT102" s="32">
        <v>3.0558010509421825E-5</v>
      </c>
      <c r="AU102" s="34">
        <v>0</v>
      </c>
      <c r="AV102" s="34">
        <v>0</v>
      </c>
      <c r="AW102" s="34">
        <v>1.6596404126365452</v>
      </c>
      <c r="AX102" s="34">
        <v>0.17743074935185008</v>
      </c>
      <c r="AY102" s="34">
        <v>0.15656542196032386</v>
      </c>
      <c r="AZ102" s="34">
        <v>0.25714487608654957</v>
      </c>
      <c r="BA102" s="34">
        <v>2.2507814600352685</v>
      </c>
      <c r="BB102" s="6"/>
      <c r="BC102" s="6"/>
      <c r="BD102" t="s">
        <v>979</v>
      </c>
      <c r="BF102" s="5">
        <v>0.15808216</v>
      </c>
      <c r="BG102" s="5">
        <f t="shared" si="5"/>
        <v>-5.0744917515780918E-3</v>
      </c>
      <c r="BH102" s="2">
        <v>246.73308999999998</v>
      </c>
    </row>
    <row r="103" spans="1:60" x14ac:dyDescent="0.2">
      <c r="A103" t="str">
        <f t="shared" si="0"/>
        <v>Scooter, gasoline, &lt;4kW, EURO-5 - 2020 - None - CH</v>
      </c>
      <c r="B103" t="s">
        <v>386</v>
      </c>
      <c r="D103" s="18">
        <v>2020</v>
      </c>
      <c r="E103" t="s">
        <v>37</v>
      </c>
      <c r="F103" t="s">
        <v>141</v>
      </c>
      <c r="G103" t="s">
        <v>39</v>
      </c>
      <c r="H103" t="s">
        <v>35</v>
      </c>
      <c r="I103" t="s">
        <v>138</v>
      </c>
      <c r="J103" t="s">
        <v>138</v>
      </c>
      <c r="L103" s="24">
        <v>0.11176799548653731</v>
      </c>
      <c r="M103" s="24">
        <v>0</v>
      </c>
      <c r="N103" s="24">
        <v>1.8750764164674749E-2</v>
      </c>
      <c r="O103" s="24">
        <v>9.5118975182542226E-3</v>
      </c>
      <c r="P103" s="24">
        <v>4.4548728920783664E-3</v>
      </c>
      <c r="Q103" s="24">
        <v>1.7336062327081739E-2</v>
      </c>
      <c r="R103" s="24">
        <v>0.16182159238862637</v>
      </c>
      <c r="S103" s="26">
        <v>0</v>
      </c>
      <c r="T103" s="26">
        <v>0</v>
      </c>
      <c r="U103" s="26">
        <v>4.3025770017583661E-4</v>
      </c>
      <c r="V103" s="26">
        <v>5.4149643498382851E-4</v>
      </c>
      <c r="W103" s="26">
        <v>3.0843856193799382E-4</v>
      </c>
      <c r="X103" s="26">
        <v>4.0147730912364343E-3</v>
      </c>
      <c r="Y103" s="26">
        <v>5.2949657883340929E-3</v>
      </c>
      <c r="Z103" s="28">
        <v>1.9517957528451511E-2</v>
      </c>
      <c r="AA103" s="28">
        <v>4.6261147379200417E-3</v>
      </c>
      <c r="AB103" s="28">
        <v>9.6112547005829346E-4</v>
      </c>
      <c r="AC103" s="28">
        <v>1.891362620619139E-4</v>
      </c>
      <c r="AD103" s="28">
        <v>1.375258889092465E-4</v>
      </c>
      <c r="AE103" s="28">
        <v>8.4348467871178689E-4</v>
      </c>
      <c r="AF103" s="28">
        <v>2.6275344566112795E-2</v>
      </c>
      <c r="AG103" s="30">
        <v>1.918562720994238E-6</v>
      </c>
      <c r="AH103" s="30">
        <v>2.4017681479425239E-5</v>
      </c>
      <c r="AI103" s="30">
        <v>1.6764323053536221E-4</v>
      </c>
      <c r="AJ103" s="30">
        <v>3.7496238084001741E-4</v>
      </c>
      <c r="AK103" s="30">
        <v>1.868852894426968E-4</v>
      </c>
      <c r="AL103" s="30">
        <v>1.8525131287290639E-3</v>
      </c>
      <c r="AM103" s="30">
        <v>2.6079402737475598E-3</v>
      </c>
      <c r="AN103" s="32">
        <v>4.4869339713171451E-6</v>
      </c>
      <c r="AO103" s="32">
        <v>1.7366458046533871E-5</v>
      </c>
      <c r="AP103" s="32">
        <v>3.6879297652996402E-6</v>
      </c>
      <c r="AQ103" s="32">
        <v>5.7073161734124143E-7</v>
      </c>
      <c r="AR103" s="32">
        <v>7.5959088084900532E-7</v>
      </c>
      <c r="AS103" s="32">
        <v>3.6002114922254679E-6</v>
      </c>
      <c r="AT103" s="32">
        <v>3.047185577356637E-5</v>
      </c>
      <c r="AU103" s="34">
        <v>0</v>
      </c>
      <c r="AV103" s="34">
        <v>0</v>
      </c>
      <c r="AW103" s="34">
        <v>1.6430440085101798</v>
      </c>
      <c r="AX103" s="34">
        <v>0.17743074935185008</v>
      </c>
      <c r="AY103" s="34">
        <v>0.15640734992747582</v>
      </c>
      <c r="AZ103" s="34">
        <v>0.25696813964292659</v>
      </c>
      <c r="BA103" s="34">
        <v>2.2338502474324322</v>
      </c>
      <c r="BB103" s="6"/>
      <c r="BC103" s="6"/>
      <c r="BD103" t="s">
        <v>910</v>
      </c>
      <c r="BF103" s="5">
        <v>0.15683154999999999</v>
      </c>
      <c r="BG103" s="5">
        <f t="shared" si="5"/>
        <v>-4.9900423886263812E-3</v>
      </c>
      <c r="BH103" s="2">
        <v>244.84818999999999</v>
      </c>
    </row>
    <row r="104" spans="1:60" x14ac:dyDescent="0.2">
      <c r="A104" t="str">
        <f t="shared" si="0"/>
        <v>Scooter, gasoline, &lt;4kW, EURO-5 - 2030 - None - CH</v>
      </c>
      <c r="B104" t="s">
        <v>386</v>
      </c>
      <c r="D104" s="18">
        <v>2030</v>
      </c>
      <c r="E104" t="s">
        <v>37</v>
      </c>
      <c r="F104" t="s">
        <v>141</v>
      </c>
      <c r="G104" t="s">
        <v>39</v>
      </c>
      <c r="H104" t="s">
        <v>35</v>
      </c>
      <c r="I104" t="s">
        <v>138</v>
      </c>
      <c r="J104" t="s">
        <v>138</v>
      </c>
      <c r="L104" s="24">
        <v>0.1106503155316719</v>
      </c>
      <c r="M104" s="24">
        <v>0</v>
      </c>
      <c r="N104" s="24">
        <v>1.8563256523027989E-2</v>
      </c>
      <c r="O104" s="24">
        <v>9.5118975182542226E-3</v>
      </c>
      <c r="P104" s="24">
        <v>4.4430828953723814E-3</v>
      </c>
      <c r="Q104" s="24">
        <v>1.9264430544300909E-2</v>
      </c>
      <c r="R104" s="24">
        <v>0.1624329830126274</v>
      </c>
      <c r="S104" s="26">
        <v>0</v>
      </c>
      <c r="T104" s="26">
        <v>0</v>
      </c>
      <c r="U104" s="26">
        <v>4.2595512317407808E-4</v>
      </c>
      <c r="V104" s="26">
        <v>5.4149643498382851E-4</v>
      </c>
      <c r="W104" s="26">
        <v>3.0769357986420607E-4</v>
      </c>
      <c r="X104" s="26">
        <v>4.3506640148857868E-3</v>
      </c>
      <c r="Y104" s="26">
        <v>5.6258091529078997E-3</v>
      </c>
      <c r="Z104" s="28">
        <v>1.9322777953167E-2</v>
      </c>
      <c r="AA104" s="28">
        <v>4.6261147379200417E-3</v>
      </c>
      <c r="AB104" s="28">
        <v>9.5151421535771038E-4</v>
      </c>
      <c r="AC104" s="28">
        <v>1.891362620619139E-4</v>
      </c>
      <c r="AD104" s="28">
        <v>1.371872455081058E-4</v>
      </c>
      <c r="AE104" s="28">
        <v>9.5497248338508858E-4</v>
      </c>
      <c r="AF104" s="28">
        <v>2.618170289739986E-2</v>
      </c>
      <c r="AG104" s="30">
        <v>1.8993770937842949E-6</v>
      </c>
      <c r="AH104" s="30">
        <v>2.4017681479425239E-5</v>
      </c>
      <c r="AI104" s="30">
        <v>1.659667982300086E-4</v>
      </c>
      <c r="AJ104" s="30">
        <v>3.7496238084001741E-4</v>
      </c>
      <c r="AK104" s="30">
        <v>1.8656924220557559E-4</v>
      </c>
      <c r="AL104" s="30">
        <v>2.2362937921843332E-3</v>
      </c>
      <c r="AM104" s="30">
        <v>2.9897092720331444E-3</v>
      </c>
      <c r="AN104" s="32">
        <v>4.4420646316039738E-6</v>
      </c>
      <c r="AO104" s="32">
        <v>1.7366458046533871E-5</v>
      </c>
      <c r="AP104" s="32">
        <v>3.6510504676466428E-6</v>
      </c>
      <c r="AQ104" s="32">
        <v>5.7073161734124143E-7</v>
      </c>
      <c r="AR104" s="32">
        <v>7.5834296402085692E-7</v>
      </c>
      <c r="AS104" s="32">
        <v>3.6537168051200861E-6</v>
      </c>
      <c r="AT104" s="32">
        <v>3.0442364532266668E-5</v>
      </c>
      <c r="AU104" s="34">
        <v>0</v>
      </c>
      <c r="AV104" s="34">
        <v>0</v>
      </c>
      <c r="AW104" s="34">
        <v>1.626613568425078</v>
      </c>
      <c r="AX104" s="34">
        <v>0.17743074935185008</v>
      </c>
      <c r="AY104" s="34">
        <v>0.15602111731891316</v>
      </c>
      <c r="AZ104" s="34">
        <v>0.27669049883705338</v>
      </c>
      <c r="BA104" s="34">
        <v>2.2367559339328946</v>
      </c>
      <c r="BB104" s="6"/>
      <c r="BC104" s="6"/>
      <c r="BD104" t="s">
        <v>649</v>
      </c>
      <c r="BF104" s="5">
        <v>0.15633928999999999</v>
      </c>
      <c r="BG104" s="5">
        <f t="shared" si="5"/>
        <v>-6.0936930126274103E-3</v>
      </c>
      <c r="BH104" s="2">
        <v>243.20273</v>
      </c>
    </row>
    <row r="105" spans="1:60" x14ac:dyDescent="0.2">
      <c r="A105" t="str">
        <f t="shared" si="0"/>
        <v>Scooter, gasoline, &lt;4kW, EURO-5 - 2040 - None - CH</v>
      </c>
      <c r="B105" t="s">
        <v>386</v>
      </c>
      <c r="D105" s="18">
        <v>2040</v>
      </c>
      <c r="E105" t="s">
        <v>37</v>
      </c>
      <c r="F105" t="s">
        <v>141</v>
      </c>
      <c r="G105" t="s">
        <v>39</v>
      </c>
      <c r="H105" t="s">
        <v>35</v>
      </c>
      <c r="I105" t="s">
        <v>138</v>
      </c>
      <c r="J105" t="s">
        <v>138</v>
      </c>
      <c r="L105" s="24">
        <v>0.1095438123763552</v>
      </c>
      <c r="M105" s="24">
        <v>0</v>
      </c>
      <c r="N105" s="24">
        <v>1.8377623957797719E-2</v>
      </c>
      <c r="O105" s="24">
        <v>9.5118975182542226E-3</v>
      </c>
      <c r="P105" s="24">
        <v>4.4341607357029867E-3</v>
      </c>
      <c r="Q105" s="24">
        <v>2.050285446007101E-2</v>
      </c>
      <c r="R105" s="24">
        <v>0.16237034904818115</v>
      </c>
      <c r="S105" s="26">
        <v>0</v>
      </c>
      <c r="T105" s="26">
        <v>0</v>
      </c>
      <c r="U105" s="26">
        <v>4.2169557194233738E-4</v>
      </c>
      <c r="V105" s="26">
        <v>5.4149643498382851E-4</v>
      </c>
      <c r="W105" s="26">
        <v>3.0712980964620458E-4</v>
      </c>
      <c r="X105" s="26">
        <v>4.5635792844195312E-3</v>
      </c>
      <c r="Y105" s="26">
        <v>5.8339011009919013E-3</v>
      </c>
      <c r="Z105" s="28">
        <v>1.912955017363533E-2</v>
      </c>
      <c r="AA105" s="28">
        <v>4.6261147379200417E-3</v>
      </c>
      <c r="AB105" s="28">
        <v>9.4199907320413341E-4</v>
      </c>
      <c r="AC105" s="28">
        <v>1.891362620619139E-4</v>
      </c>
      <c r="AD105" s="28">
        <v>1.3693097482616139E-4</v>
      </c>
      <c r="AE105" s="28">
        <v>1.0269976166834051E-3</v>
      </c>
      <c r="AF105" s="28">
        <v>2.6050728838330983E-2</v>
      </c>
      <c r="AG105" s="30">
        <v>1.880383322846452E-6</v>
      </c>
      <c r="AH105" s="30">
        <v>2.4017681479425239E-5</v>
      </c>
      <c r="AI105" s="30">
        <v>1.6430713024770849E-4</v>
      </c>
      <c r="AJ105" s="30">
        <v>3.7496238084001741E-4</v>
      </c>
      <c r="AK105" s="30">
        <v>1.8633007132342979E-4</v>
      </c>
      <c r="AL105" s="30">
        <v>2.487067527395477E-3</v>
      </c>
      <c r="AM105" s="30">
        <v>3.2385651746089043E-3</v>
      </c>
      <c r="AN105" s="32">
        <v>4.3976439852879343E-6</v>
      </c>
      <c r="AO105" s="32">
        <v>1.7366458046533871E-5</v>
      </c>
      <c r="AP105" s="32">
        <v>3.6145399629701769E-6</v>
      </c>
      <c r="AQ105" s="32">
        <v>5.7073161734124143E-7</v>
      </c>
      <c r="AR105" s="32">
        <v>7.5739859452928519E-7</v>
      </c>
      <c r="AS105" s="32">
        <v>3.679556920721218E-6</v>
      </c>
      <c r="AT105" s="32">
        <v>3.0386329127383723E-5</v>
      </c>
      <c r="AU105" s="34">
        <v>0</v>
      </c>
      <c r="AV105" s="34">
        <v>0</v>
      </c>
      <c r="AW105" s="34">
        <v>1.6103474327408269</v>
      </c>
      <c r="AX105" s="34">
        <v>0.17743074935185008</v>
      </c>
      <c r="AY105" s="34">
        <v>0.15572883318270353</v>
      </c>
      <c r="AZ105" s="34">
        <v>0.28914454762042363</v>
      </c>
      <c r="BA105" s="34">
        <v>2.2326515628958044</v>
      </c>
      <c r="BB105" s="6"/>
      <c r="BC105" s="6"/>
      <c r="BD105" t="s">
        <v>650</v>
      </c>
      <c r="BF105" s="5">
        <v>0.15559520000000002</v>
      </c>
      <c r="BG105" s="5">
        <f t="shared" si="5"/>
        <v>-6.7751490481811338E-3</v>
      </c>
      <c r="BH105" s="2">
        <v>241.48463000000001</v>
      </c>
    </row>
    <row r="106" spans="1:60" x14ac:dyDescent="0.2">
      <c r="A106" t="str">
        <f t="shared" si="0"/>
        <v>Scooter, gasoline, &lt;4kW, EURO-5 - 2050 - None - CH</v>
      </c>
      <c r="B106" t="s">
        <v>386</v>
      </c>
      <c r="D106" s="18">
        <v>2050</v>
      </c>
      <c r="E106" t="s">
        <v>37</v>
      </c>
      <c r="F106" t="s">
        <v>141</v>
      </c>
      <c r="G106" t="s">
        <v>39</v>
      </c>
      <c r="H106" t="s">
        <v>35</v>
      </c>
      <c r="I106" t="s">
        <v>138</v>
      </c>
      <c r="J106" t="s">
        <v>138</v>
      </c>
      <c r="L106" s="24">
        <v>0.1084483742525917</v>
      </c>
      <c r="M106" s="24">
        <v>0</v>
      </c>
      <c r="N106" s="24">
        <v>1.819384771821974E-2</v>
      </c>
      <c r="O106" s="24">
        <v>9.5118975182542226E-3</v>
      </c>
      <c r="P106" s="24">
        <v>4.4252385760335921E-3</v>
      </c>
      <c r="Q106" s="24">
        <v>2.1741278732531299E-2</v>
      </c>
      <c r="R106" s="24">
        <v>0.16232063679763051</v>
      </c>
      <c r="S106" s="26">
        <v>0</v>
      </c>
      <c r="T106" s="26">
        <v>0</v>
      </c>
      <c r="U106" s="26">
        <v>4.1747861622291399E-4</v>
      </c>
      <c r="V106" s="26">
        <v>5.4149643498382851E-4</v>
      </c>
      <c r="W106" s="26">
        <v>3.0656603942820319E-4</v>
      </c>
      <c r="X106" s="26">
        <v>4.7764946514093302E-3</v>
      </c>
      <c r="Y106" s="26">
        <v>6.0420357420442761E-3</v>
      </c>
      <c r="Z106" s="28">
        <v>1.8938254671898979E-2</v>
      </c>
      <c r="AA106" s="28">
        <v>4.6261147379200417E-3</v>
      </c>
      <c r="AB106" s="28">
        <v>9.3257908247209209E-4</v>
      </c>
      <c r="AC106" s="28">
        <v>1.891362620619139E-4</v>
      </c>
      <c r="AD106" s="28">
        <v>1.366747041442171E-4</v>
      </c>
      <c r="AE106" s="28">
        <v>1.0990227598976379E-3</v>
      </c>
      <c r="AF106" s="28">
        <v>2.5921782218394883E-2</v>
      </c>
      <c r="AG106" s="30">
        <v>1.861579489617988E-6</v>
      </c>
      <c r="AH106" s="30">
        <v>2.4017681479425239E-5</v>
      </c>
      <c r="AI106" s="30">
        <v>1.626640589452314E-4</v>
      </c>
      <c r="AJ106" s="30">
        <v>3.7496238084001741E-4</v>
      </c>
      <c r="AK106" s="30">
        <v>1.8609090044128409E-4</v>
      </c>
      <c r="AL106" s="30">
        <v>2.7378412903129681E-3</v>
      </c>
      <c r="AM106" s="30">
        <v>3.4874378915085444E-3</v>
      </c>
      <c r="AN106" s="32">
        <v>4.3536675454350546E-6</v>
      </c>
      <c r="AO106" s="32">
        <v>1.7366458046533871E-5</v>
      </c>
      <c r="AP106" s="32">
        <v>3.5783945633404761E-6</v>
      </c>
      <c r="AQ106" s="32">
        <v>5.7073161734124143E-7</v>
      </c>
      <c r="AR106" s="32">
        <v>7.5645422503771335E-7</v>
      </c>
      <c r="AS106" s="32">
        <v>3.7053971164142811E-6</v>
      </c>
      <c r="AT106" s="32">
        <v>3.0331103114102639E-5</v>
      </c>
      <c r="AU106" s="34">
        <v>0</v>
      </c>
      <c r="AV106" s="34">
        <v>0</v>
      </c>
      <c r="AW106" s="34">
        <v>1.5942439584134194</v>
      </c>
      <c r="AX106" s="34">
        <v>0.17743074935185008</v>
      </c>
      <c r="AY106" s="34">
        <v>0.15543654904649395</v>
      </c>
      <c r="AZ106" s="34">
        <v>0.30159860218350926</v>
      </c>
      <c r="BA106" s="34">
        <v>2.2287098589952725</v>
      </c>
      <c r="BB106" s="6"/>
      <c r="BC106" s="6"/>
      <c r="BD106" t="s">
        <v>651</v>
      </c>
      <c r="BF106" s="5">
        <v>0.15485291000000001</v>
      </c>
      <c r="BG106" s="5">
        <f t="shared" si="5"/>
        <v>-7.4677267976304973E-3</v>
      </c>
      <c r="BH106" s="2">
        <v>239.7551</v>
      </c>
    </row>
    <row r="107" spans="1:60" x14ac:dyDescent="0.2">
      <c r="A107" t="str">
        <f t="shared" si="0"/>
        <v>Scooter, gasoline, 4-11kW, EURO-3 - 2006 - None - CH</v>
      </c>
      <c r="B107" t="s">
        <v>345</v>
      </c>
      <c r="D107" s="18">
        <v>2006</v>
      </c>
      <c r="E107" t="s">
        <v>37</v>
      </c>
      <c r="F107" t="s">
        <v>141</v>
      </c>
      <c r="G107" t="s">
        <v>39</v>
      </c>
      <c r="H107" t="s">
        <v>35</v>
      </c>
      <c r="I107" t="s">
        <v>138</v>
      </c>
      <c r="J107" t="s">
        <v>138</v>
      </c>
      <c r="L107" s="24">
        <v>0</v>
      </c>
      <c r="M107" s="24">
        <v>0</v>
      </c>
      <c r="N107" s="24">
        <v>0</v>
      </c>
      <c r="O107" s="24">
        <v>0</v>
      </c>
      <c r="P107" s="24">
        <v>0</v>
      </c>
      <c r="Q107" s="24">
        <v>0</v>
      </c>
      <c r="R107" s="24">
        <v>0</v>
      </c>
      <c r="S107" s="26">
        <v>0</v>
      </c>
      <c r="T107" s="26">
        <v>0</v>
      </c>
      <c r="U107" s="26">
        <v>0</v>
      </c>
      <c r="V107" s="26">
        <v>0</v>
      </c>
      <c r="W107" s="26">
        <v>0</v>
      </c>
      <c r="X107" s="26">
        <v>0</v>
      </c>
      <c r="Y107" s="26">
        <v>0</v>
      </c>
      <c r="Z107" s="28">
        <v>0</v>
      </c>
      <c r="AA107" s="28">
        <v>0</v>
      </c>
      <c r="AB107" s="28">
        <v>0</v>
      </c>
      <c r="AC107" s="28">
        <v>0</v>
      </c>
      <c r="AD107" s="28">
        <v>0</v>
      </c>
      <c r="AE107" s="28">
        <v>0</v>
      </c>
      <c r="AF107" s="28">
        <v>0</v>
      </c>
      <c r="AG107" s="30">
        <v>0</v>
      </c>
      <c r="AH107" s="30">
        <v>0</v>
      </c>
      <c r="AI107" s="30">
        <v>0</v>
      </c>
      <c r="AJ107" s="30">
        <v>0</v>
      </c>
      <c r="AK107" s="30">
        <v>0</v>
      </c>
      <c r="AL107" s="30">
        <v>0</v>
      </c>
      <c r="AM107" s="30">
        <v>0</v>
      </c>
      <c r="AN107" s="32">
        <v>0</v>
      </c>
      <c r="AO107" s="32">
        <v>0</v>
      </c>
      <c r="AP107" s="32">
        <v>0</v>
      </c>
      <c r="AQ107" s="32">
        <v>0</v>
      </c>
      <c r="AR107" s="32">
        <v>0</v>
      </c>
      <c r="AS107" s="32">
        <v>0</v>
      </c>
      <c r="AT107" s="32">
        <v>0</v>
      </c>
      <c r="AU107" s="34">
        <v>0</v>
      </c>
      <c r="AV107" s="34">
        <v>0</v>
      </c>
      <c r="AW107" s="34">
        <v>0</v>
      </c>
      <c r="AX107" s="34">
        <v>0</v>
      </c>
      <c r="AY107" s="34">
        <v>0</v>
      </c>
      <c r="AZ107" s="34">
        <v>0</v>
      </c>
      <c r="BA107" s="34">
        <v>0</v>
      </c>
      <c r="BB107" s="6"/>
      <c r="BC107" s="6"/>
      <c r="BD107" t="s">
        <v>974</v>
      </c>
      <c r="BF107" s="5">
        <v>0.13600822999999998</v>
      </c>
      <c r="BG107" s="5">
        <f t="shared" si="5"/>
        <v>0.13600822999999998</v>
      </c>
      <c r="BH107" s="2">
        <v>182.66535000000002</v>
      </c>
    </row>
    <row r="108" spans="1:60" x14ac:dyDescent="0.2">
      <c r="A108" t="str">
        <f t="shared" si="0"/>
        <v>Scooter, gasoline, 4-11kW, EURO-4 - 2016 - None - CH</v>
      </c>
      <c r="B108" t="s">
        <v>346</v>
      </c>
      <c r="D108" s="18">
        <v>2016</v>
      </c>
      <c r="E108" t="s">
        <v>37</v>
      </c>
      <c r="F108" t="s">
        <v>140</v>
      </c>
      <c r="G108" t="s">
        <v>39</v>
      </c>
      <c r="H108" t="s">
        <v>35</v>
      </c>
      <c r="I108" t="s">
        <v>138</v>
      </c>
      <c r="J108" t="s">
        <v>138</v>
      </c>
      <c r="L108" s="24">
        <v>9.1289729407885031E-2</v>
      </c>
      <c r="M108" s="24">
        <v>0</v>
      </c>
      <c r="N108" s="24">
        <v>1.3398735786767939E-2</v>
      </c>
      <c r="O108" s="24">
        <v>9.5118975182542226E-3</v>
      </c>
      <c r="P108" s="24">
        <v>4.6375267985755298E-3</v>
      </c>
      <c r="Q108" s="24">
        <v>2.0728610533968551E-2</v>
      </c>
      <c r="R108" s="24">
        <v>0.13956650004545126</v>
      </c>
      <c r="S108" s="26">
        <v>0</v>
      </c>
      <c r="T108" s="26">
        <v>0</v>
      </c>
      <c r="U108" s="26">
        <v>3.2817316404929299E-4</v>
      </c>
      <c r="V108" s="26">
        <v>5.4149643498382851E-4</v>
      </c>
      <c r="W108" s="26">
        <v>3.1998003132437618E-4</v>
      </c>
      <c r="X108" s="26">
        <v>4.8018395538686424E-3</v>
      </c>
      <c r="Y108" s="26">
        <v>5.9914891842261404E-3</v>
      </c>
      <c r="Z108" s="28">
        <v>9.4628386436903938E-3</v>
      </c>
      <c r="AA108" s="28">
        <v>4.6261147379200417E-3</v>
      </c>
      <c r="AB108" s="28">
        <v>6.546510138441485E-4</v>
      </c>
      <c r="AC108" s="28">
        <v>1.891362620619139E-4</v>
      </c>
      <c r="AD108" s="28">
        <v>1.4277224661996891E-4</v>
      </c>
      <c r="AE108" s="28">
        <v>1.00908735912245E-3</v>
      </c>
      <c r="AF108" s="28">
        <v>1.6084600263258916E-2</v>
      </c>
      <c r="AG108" s="30">
        <v>1.0029684801160509E-6</v>
      </c>
      <c r="AH108" s="30">
        <v>2.4017681479425239E-5</v>
      </c>
      <c r="AI108" s="30">
        <v>1.2452579100865631E-4</v>
      </c>
      <c r="AJ108" s="30">
        <v>3.7496238084001741E-4</v>
      </c>
      <c r="AK108" s="30">
        <v>1.9178158109886949E-4</v>
      </c>
      <c r="AL108" s="30">
        <v>2.2155921833290938E-3</v>
      </c>
      <c r="AM108" s="30">
        <v>2.9318825862361783E-3</v>
      </c>
      <c r="AN108" s="32">
        <v>2.2667338822781958E-6</v>
      </c>
      <c r="AO108" s="32">
        <v>1.7366458046533871E-5</v>
      </c>
      <c r="AP108" s="32">
        <v>2.5769398410396732E-6</v>
      </c>
      <c r="AQ108" s="32">
        <v>5.7073161734124143E-7</v>
      </c>
      <c r="AR108" s="32">
        <v>7.7892395526192232E-7</v>
      </c>
      <c r="AS108" s="32">
        <v>4.3071110530897736E-6</v>
      </c>
      <c r="AT108" s="32">
        <v>2.7866898395544675E-5</v>
      </c>
      <c r="AU108" s="34">
        <v>0</v>
      </c>
      <c r="AV108" s="34">
        <v>0</v>
      </c>
      <c r="AW108" s="34">
        <v>1.3326262349978304</v>
      </c>
      <c r="AX108" s="34">
        <v>0.17743074935185008</v>
      </c>
      <c r="AY108" s="34">
        <v>0.16239097286901172</v>
      </c>
      <c r="AZ108" s="34">
        <v>0.30703921259762229</v>
      </c>
      <c r="BA108" s="34">
        <v>1.9794871698163146</v>
      </c>
      <c r="BB108" s="6"/>
      <c r="BC108" s="6"/>
      <c r="BD108" t="s">
        <v>980</v>
      </c>
      <c r="BF108" s="5">
        <v>0.13499356000000001</v>
      </c>
      <c r="BG108" s="5">
        <f t="shared" si="5"/>
        <v>-4.5729400454512514E-3</v>
      </c>
      <c r="BH108" s="2">
        <v>181.43334999999999</v>
      </c>
    </row>
    <row r="109" spans="1:60" x14ac:dyDescent="0.2">
      <c r="A109" t="str">
        <f t="shared" si="0"/>
        <v>Scooter, gasoline, 4-11kW, EURO-5 - 2020 - None - CH</v>
      </c>
      <c r="B109" t="s">
        <v>347</v>
      </c>
      <c r="D109" s="18">
        <v>2020</v>
      </c>
      <c r="E109" t="s">
        <v>37</v>
      </c>
      <c r="F109" t="s">
        <v>141</v>
      </c>
      <c r="G109" t="s">
        <v>39</v>
      </c>
      <c r="H109" t="s">
        <v>35</v>
      </c>
      <c r="I109" t="s">
        <v>138</v>
      </c>
      <c r="J109" t="s">
        <v>138</v>
      </c>
      <c r="L109" s="24">
        <v>9.0376832113806177E-2</v>
      </c>
      <c r="M109" s="24">
        <v>0</v>
      </c>
      <c r="N109" s="24">
        <v>1.3264748428900261E-2</v>
      </c>
      <c r="O109" s="24">
        <v>9.5118975182542226E-3</v>
      </c>
      <c r="P109" s="24">
        <v>4.6311538273831046E-3</v>
      </c>
      <c r="Q109" s="24">
        <v>2.071555397749358E-2</v>
      </c>
      <c r="R109" s="24">
        <v>0.13850018586583734</v>
      </c>
      <c r="S109" s="26">
        <v>0</v>
      </c>
      <c r="T109" s="26">
        <v>0</v>
      </c>
      <c r="U109" s="26">
        <v>3.2489143240880012E-4</v>
      </c>
      <c r="V109" s="26">
        <v>5.4149643498382851E-4</v>
      </c>
      <c r="W109" s="26">
        <v>3.1957733831151799E-4</v>
      </c>
      <c r="X109" s="26">
        <v>4.8015744055521659E-3</v>
      </c>
      <c r="Y109" s="26">
        <v>5.987539611256313E-3</v>
      </c>
      <c r="Z109" s="28">
        <v>9.3682102572534894E-3</v>
      </c>
      <c r="AA109" s="28">
        <v>4.6261147379200417E-3</v>
      </c>
      <c r="AB109" s="28">
        <v>6.4810450370570707E-4</v>
      </c>
      <c r="AC109" s="28">
        <v>1.891362620619139E-4</v>
      </c>
      <c r="AD109" s="28">
        <v>1.4258919613286579E-4</v>
      </c>
      <c r="AE109" s="28">
        <v>1.0081748558839079E-3</v>
      </c>
      <c r="AF109" s="28">
        <v>1.5982329812957927E-2</v>
      </c>
      <c r="AG109" s="30">
        <v>9.9293879531489029E-7</v>
      </c>
      <c r="AH109" s="30">
        <v>2.4017681479425239E-5</v>
      </c>
      <c r="AI109" s="30">
        <v>1.2328053309856971E-4</v>
      </c>
      <c r="AJ109" s="30">
        <v>3.7496238084001741E-4</v>
      </c>
      <c r="AK109" s="30">
        <v>1.9161074475447959E-4</v>
      </c>
      <c r="AL109" s="30">
        <v>2.215509466165385E-3</v>
      </c>
      <c r="AM109" s="30">
        <v>2.9303737451331917E-3</v>
      </c>
      <c r="AN109" s="32">
        <v>2.2440665434554142E-6</v>
      </c>
      <c r="AO109" s="32">
        <v>1.7366458046533871E-5</v>
      </c>
      <c r="AP109" s="32">
        <v>2.551170442629276E-6</v>
      </c>
      <c r="AQ109" s="32">
        <v>5.7073161734124143E-7</v>
      </c>
      <c r="AR109" s="32">
        <v>7.7824940562508531E-7</v>
      </c>
      <c r="AS109" s="32">
        <v>4.3037325307784716E-6</v>
      </c>
      <c r="AT109" s="32">
        <v>2.781440858636336E-5</v>
      </c>
      <c r="AU109" s="34">
        <v>0</v>
      </c>
      <c r="AV109" s="34">
        <v>0</v>
      </c>
      <c r="AW109" s="34">
        <v>1.3192999726478523</v>
      </c>
      <c r="AX109" s="34">
        <v>0.17743074935185008</v>
      </c>
      <c r="AY109" s="34">
        <v>0.16218219848600485</v>
      </c>
      <c r="AZ109" s="34">
        <v>0.306844691170641</v>
      </c>
      <c r="BA109" s="34">
        <v>1.9657576116563482</v>
      </c>
      <c r="BB109" s="6"/>
      <c r="BC109" s="6"/>
      <c r="BD109" t="s">
        <v>911</v>
      </c>
      <c r="BF109" s="5">
        <v>0.13399080999999999</v>
      </c>
      <c r="BG109" s="5">
        <f t="shared" si="5"/>
        <v>-4.5093758658373562E-3</v>
      </c>
      <c r="BH109" s="2">
        <v>180.24235999999999</v>
      </c>
    </row>
    <row r="110" spans="1:60" x14ac:dyDescent="0.2">
      <c r="A110" t="str">
        <f t="shared" si="0"/>
        <v>Scooter, gasoline, 4-11kW, EURO-5 - 2030 - None - CH</v>
      </c>
      <c r="B110" t="s">
        <v>347</v>
      </c>
      <c r="D110" s="18">
        <v>2030</v>
      </c>
      <c r="E110" t="s">
        <v>37</v>
      </c>
      <c r="F110" t="s">
        <v>141</v>
      </c>
      <c r="G110" t="s">
        <v>39</v>
      </c>
      <c r="H110" t="s">
        <v>35</v>
      </c>
      <c r="I110" t="s">
        <v>138</v>
      </c>
      <c r="J110" t="s">
        <v>138</v>
      </c>
      <c r="L110" s="24">
        <v>8.9473063792668117E-2</v>
      </c>
      <c r="M110" s="24">
        <v>0</v>
      </c>
      <c r="N110" s="24">
        <v>1.313210094461126E-2</v>
      </c>
      <c r="O110" s="24">
        <v>9.5118975182542226E-3</v>
      </c>
      <c r="P110" s="24">
        <v>4.6170422483141661E-3</v>
      </c>
      <c r="Q110" s="24">
        <v>2.2891989216780619E-2</v>
      </c>
      <c r="R110" s="24">
        <v>0.13962609372062837</v>
      </c>
      <c r="S110" s="26">
        <v>0</v>
      </c>
      <c r="T110" s="26">
        <v>0</v>
      </c>
      <c r="U110" s="26">
        <v>3.2164251808471198E-4</v>
      </c>
      <c r="V110" s="26">
        <v>5.4149643498382851E-4</v>
      </c>
      <c r="W110" s="26">
        <v>3.1868566092590339E-4</v>
      </c>
      <c r="X110" s="26">
        <v>5.1838802884036266E-3</v>
      </c>
      <c r="Y110" s="26">
        <v>6.365704902398071E-3</v>
      </c>
      <c r="Z110" s="28">
        <v>9.2745281546809544E-3</v>
      </c>
      <c r="AA110" s="28">
        <v>4.6261147379200417E-3</v>
      </c>
      <c r="AB110" s="28">
        <v>6.4162345866864996E-4</v>
      </c>
      <c r="AC110" s="28">
        <v>1.891362620619139E-4</v>
      </c>
      <c r="AD110" s="28">
        <v>1.421838700542804E-4</v>
      </c>
      <c r="AE110" s="28">
        <v>1.133516360923425E-3</v>
      </c>
      <c r="AF110" s="28">
        <v>1.6007102844309267E-2</v>
      </c>
      <c r="AG110" s="30">
        <v>9.8300940736174139E-7</v>
      </c>
      <c r="AH110" s="30">
        <v>2.4017681479425239E-5</v>
      </c>
      <c r="AI110" s="30">
        <v>1.22047727767584E-4</v>
      </c>
      <c r="AJ110" s="30">
        <v>3.7496238084001741E-4</v>
      </c>
      <c r="AK110" s="30">
        <v>1.9123246427761641E-4</v>
      </c>
      <c r="AL110" s="30">
        <v>2.6437289070455972E-3</v>
      </c>
      <c r="AM110" s="30">
        <v>3.356972170817602E-3</v>
      </c>
      <c r="AN110" s="32">
        <v>2.22162587802086E-6</v>
      </c>
      <c r="AO110" s="32">
        <v>1.7366458046533871E-5</v>
      </c>
      <c r="AP110" s="32">
        <v>2.5256587382029841E-6</v>
      </c>
      <c r="AQ110" s="32">
        <v>5.7073161734124143E-7</v>
      </c>
      <c r="AR110" s="32">
        <v>7.7675576000066063E-7</v>
      </c>
      <c r="AS110" s="32">
        <v>4.373882722849643E-6</v>
      </c>
      <c r="AT110" s="32">
        <v>2.7835112762949257E-5</v>
      </c>
      <c r="AU110" s="34">
        <v>0</v>
      </c>
      <c r="AV110" s="34">
        <v>0</v>
      </c>
      <c r="AW110" s="34">
        <v>1.3061069729213743</v>
      </c>
      <c r="AX110" s="34">
        <v>0.17743074935185008</v>
      </c>
      <c r="AY110" s="34">
        <v>0.16171991235220393</v>
      </c>
      <c r="AZ110" s="34">
        <v>0.32934690758470997</v>
      </c>
      <c r="BA110" s="34">
        <v>1.9746045422101384</v>
      </c>
      <c r="BB110" s="6"/>
      <c r="BC110" s="6"/>
      <c r="BD110" t="s">
        <v>652</v>
      </c>
      <c r="BF110" s="5">
        <v>0.13387144000000001</v>
      </c>
      <c r="BG110" s="5">
        <f t="shared" si="5"/>
        <v>-5.754653720628361E-3</v>
      </c>
      <c r="BH110" s="2">
        <v>179.38314</v>
      </c>
    </row>
    <row r="111" spans="1:60" x14ac:dyDescent="0.2">
      <c r="A111" t="str">
        <f t="shared" si="0"/>
        <v>Scooter, gasoline, 4-11kW, EURO-5 - 2040 - None - CH</v>
      </c>
      <c r="B111" t="s">
        <v>347</v>
      </c>
      <c r="D111" s="18">
        <v>2040</v>
      </c>
      <c r="E111" t="s">
        <v>37</v>
      </c>
      <c r="F111" t="s">
        <v>141</v>
      </c>
      <c r="G111" t="s">
        <v>39</v>
      </c>
      <c r="H111" t="s">
        <v>35</v>
      </c>
      <c r="I111" t="s">
        <v>138</v>
      </c>
      <c r="J111" t="s">
        <v>138</v>
      </c>
      <c r="L111" s="24">
        <v>8.8578333154741465E-2</v>
      </c>
      <c r="M111" s="24">
        <v>0</v>
      </c>
      <c r="N111" s="24">
        <v>1.3000779935165151E-2</v>
      </c>
      <c r="O111" s="24">
        <v>9.5118975182542226E-3</v>
      </c>
      <c r="P111" s="24">
        <v>4.6061171548414381E-3</v>
      </c>
      <c r="Q111" s="24">
        <v>2.428681057895387E-2</v>
      </c>
      <c r="R111" s="24">
        <v>0.13998393834195613</v>
      </c>
      <c r="S111" s="26">
        <v>0</v>
      </c>
      <c r="T111" s="26">
        <v>0</v>
      </c>
      <c r="U111" s="26">
        <v>3.1842609290386501E-4</v>
      </c>
      <c r="V111" s="26">
        <v>5.4149643498382851E-4</v>
      </c>
      <c r="W111" s="26">
        <v>3.1799533004671788E-4</v>
      </c>
      <c r="X111" s="26">
        <v>5.425641639661226E-3</v>
      </c>
      <c r="Y111" s="26">
        <v>6.6035594975956376E-3</v>
      </c>
      <c r="Z111" s="28">
        <v>9.181782873134146E-3</v>
      </c>
      <c r="AA111" s="28">
        <v>4.6261147379200417E-3</v>
      </c>
      <c r="AB111" s="28">
        <v>6.3520722408196353E-4</v>
      </c>
      <c r="AC111" s="28">
        <v>1.891362620619139E-4</v>
      </c>
      <c r="AD111" s="28">
        <v>1.4187006921924649E-4</v>
      </c>
      <c r="AE111" s="28">
        <v>1.2143392468894659E-3</v>
      </c>
      <c r="AF111" s="28">
        <v>1.5988450413306779E-2</v>
      </c>
      <c r="AG111" s="30">
        <v>9.7317931328812406E-7</v>
      </c>
      <c r="AH111" s="30">
        <v>2.4017681479425239E-5</v>
      </c>
      <c r="AI111" s="30">
        <v>1.2082725048990819E-4</v>
      </c>
      <c r="AJ111" s="30">
        <v>3.7496238084001741E-4</v>
      </c>
      <c r="AK111" s="30">
        <v>1.9093960197294821E-4</v>
      </c>
      <c r="AL111" s="30">
        <v>2.9231610185102229E-3</v>
      </c>
      <c r="AM111" s="30">
        <v>3.6348811126058101E-3</v>
      </c>
      <c r="AN111" s="32">
        <v>2.1994096192406521E-6</v>
      </c>
      <c r="AO111" s="32">
        <v>1.7366458046533871E-5</v>
      </c>
      <c r="AP111" s="32">
        <v>2.5004021508209538E-6</v>
      </c>
      <c r="AQ111" s="32">
        <v>5.7073161734124143E-7</v>
      </c>
      <c r="AR111" s="32">
        <v>7.7559938919465436E-7</v>
      </c>
      <c r="AS111" s="32">
        <v>4.4089472675315029E-6</v>
      </c>
      <c r="AT111" s="32">
        <v>2.7821548090662875E-5</v>
      </c>
      <c r="AU111" s="34">
        <v>0</v>
      </c>
      <c r="AV111" s="34">
        <v>0</v>
      </c>
      <c r="AW111" s="34">
        <v>1.2930459031921604</v>
      </c>
      <c r="AX111" s="34">
        <v>0.17743074935185008</v>
      </c>
      <c r="AY111" s="34">
        <v>0.16136201340990644</v>
      </c>
      <c r="AZ111" s="34">
        <v>0.34352198655054084</v>
      </c>
      <c r="BA111" s="34">
        <v>1.9753606525044578</v>
      </c>
      <c r="BB111" s="6"/>
      <c r="BC111" s="6"/>
      <c r="BD111" t="s">
        <v>653</v>
      </c>
      <c r="BF111" s="5">
        <v>0.13343828999999999</v>
      </c>
      <c r="BG111" s="5">
        <f t="shared" si="5"/>
        <v>-6.5456483419561451E-3</v>
      </c>
      <c r="BH111" s="2">
        <v>178.37691999999998</v>
      </c>
    </row>
    <row r="112" spans="1:60" x14ac:dyDescent="0.2">
      <c r="A112" t="str">
        <f t="shared" si="0"/>
        <v>Scooter, gasoline, 4-11kW, EURO-5 - 2050 - None - CH</v>
      </c>
      <c r="B112" t="s">
        <v>347</v>
      </c>
      <c r="D112" s="18">
        <v>2050</v>
      </c>
      <c r="E112" t="s">
        <v>37</v>
      </c>
      <c r="F112" t="s">
        <v>141</v>
      </c>
      <c r="G112" t="s">
        <v>39</v>
      </c>
      <c r="H112" t="s">
        <v>35</v>
      </c>
      <c r="I112" t="s">
        <v>138</v>
      </c>
      <c r="J112" t="s">
        <v>138</v>
      </c>
      <c r="L112" s="24">
        <v>8.7692549823194021E-2</v>
      </c>
      <c r="M112" s="24">
        <v>0</v>
      </c>
      <c r="N112" s="24">
        <v>1.287077213581349E-2</v>
      </c>
      <c r="O112" s="24">
        <v>9.5118975182542226E-3</v>
      </c>
      <c r="P112" s="24">
        <v>4.5997441836490138E-3</v>
      </c>
      <c r="Q112" s="24">
        <v>2.585004057683683E-2</v>
      </c>
      <c r="R112" s="24">
        <v>0.14052500423774758</v>
      </c>
      <c r="S112" s="26">
        <v>0</v>
      </c>
      <c r="T112" s="26">
        <v>0</v>
      </c>
      <c r="U112" s="26">
        <v>3.1524183197482628E-4</v>
      </c>
      <c r="V112" s="26">
        <v>5.4149643498382851E-4</v>
      </c>
      <c r="W112" s="26">
        <v>3.175926370338597E-4</v>
      </c>
      <c r="X112" s="26">
        <v>5.7067312185931206E-3</v>
      </c>
      <c r="Y112" s="26">
        <v>6.8810621225856346E-3</v>
      </c>
      <c r="Z112" s="28">
        <v>9.0899650444028045E-3</v>
      </c>
      <c r="AA112" s="28">
        <v>4.6261147379200417E-3</v>
      </c>
      <c r="AB112" s="28">
        <v>6.2885515184114382E-4</v>
      </c>
      <c r="AC112" s="28">
        <v>1.891362620619139E-4</v>
      </c>
      <c r="AD112" s="28">
        <v>1.4168701873214351E-4</v>
      </c>
      <c r="AE112" s="28">
        <v>1.30337659681208E-3</v>
      </c>
      <c r="AF112" s="28">
        <v>1.5979134811770126E-2</v>
      </c>
      <c r="AG112" s="30">
        <v>9.6344752015524289E-7</v>
      </c>
      <c r="AH112" s="30">
        <v>2.4017681479425239E-5</v>
      </c>
      <c r="AI112" s="30">
        <v>1.196189779850091E-4</v>
      </c>
      <c r="AJ112" s="30">
        <v>3.7496238084001741E-4</v>
      </c>
      <c r="AK112" s="30">
        <v>1.9076876562855829E-4</v>
      </c>
      <c r="AL112" s="30">
        <v>3.2207359727412059E-3</v>
      </c>
      <c r="AM112" s="30">
        <v>3.9310672261943713E-3</v>
      </c>
      <c r="AN112" s="32">
        <v>2.1774155230482451E-6</v>
      </c>
      <c r="AO112" s="32">
        <v>1.7366458046533871E-5</v>
      </c>
      <c r="AP112" s="32">
        <v>2.475398129312744E-6</v>
      </c>
      <c r="AQ112" s="32">
        <v>5.7073161734124143E-7</v>
      </c>
      <c r="AR112" s="32">
        <v>7.7492483955781734E-7</v>
      </c>
      <c r="AS112" s="32">
        <v>4.4791189381302719E-6</v>
      </c>
      <c r="AT112" s="32">
        <v>2.7844047093924189E-5</v>
      </c>
      <c r="AU112" s="34">
        <v>0</v>
      </c>
      <c r="AV112" s="34">
        <v>0</v>
      </c>
      <c r="AW112" s="34">
        <v>1.2801154441602385</v>
      </c>
      <c r="AX112" s="34">
        <v>0.17743074935185008</v>
      </c>
      <c r="AY112" s="34">
        <v>0.1611532390268996</v>
      </c>
      <c r="AZ112" s="34">
        <v>0.3601762922942775</v>
      </c>
      <c r="BA112" s="34">
        <v>1.9788757248332656</v>
      </c>
      <c r="BB112" s="6"/>
      <c r="BC112" s="6"/>
      <c r="BD112" t="s">
        <v>654</v>
      </c>
      <c r="BF112" s="5">
        <v>0.13314013000000002</v>
      </c>
      <c r="BG112" s="5">
        <f t="shared" si="5"/>
        <v>-7.3848742377475574E-3</v>
      </c>
      <c r="BH112" s="2">
        <v>177.60272999999998</v>
      </c>
    </row>
    <row r="113" spans="1:60" x14ac:dyDescent="0.2">
      <c r="A113" t="str">
        <f t="shared" si="0"/>
        <v>Scooter, electric, &lt;4kW - 2020 - NMC - CH</v>
      </c>
      <c r="B113" t="s">
        <v>383</v>
      </c>
      <c r="D113" s="18">
        <v>2020</v>
      </c>
      <c r="E113" t="s">
        <v>37</v>
      </c>
      <c r="F113" t="s">
        <v>138</v>
      </c>
      <c r="G113" t="s">
        <v>39</v>
      </c>
      <c r="H113" t="s">
        <v>32</v>
      </c>
      <c r="I113" t="s">
        <v>43</v>
      </c>
      <c r="J113" t="s">
        <v>138</v>
      </c>
      <c r="L113" s="24">
        <v>0</v>
      </c>
      <c r="M113" s="24">
        <v>0</v>
      </c>
      <c r="N113" s="24">
        <v>4.230531998315014E-3</v>
      </c>
      <c r="O113" s="24">
        <v>1.2306591692257861E-2</v>
      </c>
      <c r="P113" s="24">
        <v>4.499995804181871E-3</v>
      </c>
      <c r="Q113" s="24">
        <v>4.6960667705063748E-2</v>
      </c>
      <c r="R113" s="24">
        <v>6.7997787199818499E-2</v>
      </c>
      <c r="S113" s="26">
        <v>0</v>
      </c>
      <c r="T113" s="26">
        <v>0</v>
      </c>
      <c r="U113" s="26">
        <v>4.4777402985367499E-4</v>
      </c>
      <c r="V113" s="26">
        <v>4.722191823356421E-4</v>
      </c>
      <c r="W113" s="26">
        <v>3.1128977228796298E-4</v>
      </c>
      <c r="X113" s="26">
        <v>5.2328807599304139E-2</v>
      </c>
      <c r="Y113" s="26">
        <v>5.3560090583781417E-2</v>
      </c>
      <c r="Z113" s="28">
        <v>0</v>
      </c>
      <c r="AA113" s="28">
        <v>2.3145477658575108E-3</v>
      </c>
      <c r="AB113" s="28">
        <v>1.3122483756222481E-4</v>
      </c>
      <c r="AC113" s="28">
        <v>1.5438989133449149E-4</v>
      </c>
      <c r="AD113" s="28">
        <v>1.3882195173311031E-4</v>
      </c>
      <c r="AE113" s="28">
        <v>4.4017669608086814E-3</v>
      </c>
      <c r="AF113" s="28">
        <v>7.1407514072960188E-3</v>
      </c>
      <c r="AG113" s="30">
        <v>0</v>
      </c>
      <c r="AH113" s="30">
        <v>1.228469691721989E-5</v>
      </c>
      <c r="AI113" s="30">
        <v>2.9983503156352759E-4</v>
      </c>
      <c r="AJ113" s="30">
        <v>3.7507357872791961E-4</v>
      </c>
      <c r="AK113" s="30">
        <v>1.880948717739569E-4</v>
      </c>
      <c r="AL113" s="30">
        <v>1.316560346465253E-2</v>
      </c>
      <c r="AM113" s="30">
        <v>1.4040891643635154E-2</v>
      </c>
      <c r="AN113" s="32">
        <v>0</v>
      </c>
      <c r="AO113" s="32">
        <v>8.7500264113198857E-6</v>
      </c>
      <c r="AP113" s="32">
        <v>3.7806259526635928E-7</v>
      </c>
      <c r="AQ113" s="32">
        <v>7.4641524221169363E-7</v>
      </c>
      <c r="AR113" s="32">
        <v>7.6436693318839574E-7</v>
      </c>
      <c r="AS113" s="32">
        <v>1.2613452133301209E-5</v>
      </c>
      <c r="AT113" s="32">
        <v>2.3252323315287544E-5</v>
      </c>
      <c r="AU113" s="34">
        <v>0</v>
      </c>
      <c r="AV113" s="34">
        <v>0</v>
      </c>
      <c r="AW113" s="34">
        <v>0.19783790250872499</v>
      </c>
      <c r="AX113" s="34">
        <v>0.17647448414364728</v>
      </c>
      <c r="AY113" s="34">
        <v>0.15788554712144401</v>
      </c>
      <c r="AZ113" s="34">
        <v>0.67740696189012273</v>
      </c>
      <c r="BA113" s="34">
        <v>1.2096048956639391</v>
      </c>
      <c r="BB113" s="6"/>
      <c r="BC113" s="6"/>
      <c r="BD113" t="s">
        <v>912</v>
      </c>
      <c r="BF113" s="5">
        <v>6.2149102999999997E-2</v>
      </c>
      <c r="BG113" s="5">
        <f t="shared" si="5"/>
        <v>-5.8486841998185018E-3</v>
      </c>
      <c r="BH113" s="2">
        <v>152.50899000000001</v>
      </c>
    </row>
    <row r="114" spans="1:60" x14ac:dyDescent="0.2">
      <c r="A114" t="str">
        <f t="shared" si="0"/>
        <v>Scooter, electric, &lt;4kW - 2030 - NMC - CH</v>
      </c>
      <c r="B114" t="s">
        <v>383</v>
      </c>
      <c r="D114" s="18">
        <v>2030</v>
      </c>
      <c r="E114" t="s">
        <v>37</v>
      </c>
      <c r="F114" t="s">
        <v>138</v>
      </c>
      <c r="G114" t="s">
        <v>39</v>
      </c>
      <c r="H114" t="s">
        <v>32</v>
      </c>
      <c r="I114" t="s">
        <v>43</v>
      </c>
      <c r="J114" t="s">
        <v>138</v>
      </c>
      <c r="L114" s="24">
        <v>0</v>
      </c>
      <c r="M114" s="24">
        <v>0</v>
      </c>
      <c r="N114" s="24">
        <v>4.230531998315014E-3</v>
      </c>
      <c r="O114" s="24">
        <v>1.2306591692257861E-2</v>
      </c>
      <c r="P114" s="24">
        <v>4.5008758811560627E-3</v>
      </c>
      <c r="Q114" s="24">
        <v>4.7520048473623171E-2</v>
      </c>
      <c r="R114" s="24">
        <v>6.8558048045352107E-2</v>
      </c>
      <c r="S114" s="26">
        <v>0</v>
      </c>
      <c r="T114" s="26">
        <v>0</v>
      </c>
      <c r="U114" s="26">
        <v>4.4777402985367499E-4</v>
      </c>
      <c r="V114" s="26">
        <v>4.722191823356421E-4</v>
      </c>
      <c r="W114" s="26">
        <v>3.1134538227545303E-4</v>
      </c>
      <c r="X114" s="26">
        <v>4.8128281001920403E-2</v>
      </c>
      <c r="Y114" s="26">
        <v>4.9359619596385171E-2</v>
      </c>
      <c r="Z114" s="28">
        <v>0</v>
      </c>
      <c r="AA114" s="28">
        <v>2.3145477658575108E-3</v>
      </c>
      <c r="AB114" s="28">
        <v>1.3122483756222481E-4</v>
      </c>
      <c r="AC114" s="28">
        <v>1.5438989133449149E-4</v>
      </c>
      <c r="AD114" s="28">
        <v>1.3884723013371031E-4</v>
      </c>
      <c r="AE114" s="28">
        <v>4.1911350985987536E-3</v>
      </c>
      <c r="AF114" s="28">
        <v>6.9301448234866912E-3</v>
      </c>
      <c r="AG114" s="30">
        <v>0</v>
      </c>
      <c r="AH114" s="30">
        <v>1.228469691721989E-5</v>
      </c>
      <c r="AI114" s="30">
        <v>2.9983503156352759E-4</v>
      </c>
      <c r="AJ114" s="30">
        <v>3.7507357872791961E-4</v>
      </c>
      <c r="AK114" s="30">
        <v>1.881184634596107E-4</v>
      </c>
      <c r="AL114" s="30">
        <v>1.27596213245302E-2</v>
      </c>
      <c r="AM114" s="30">
        <v>1.3634933095198478E-2</v>
      </c>
      <c r="AN114" s="32">
        <v>0</v>
      </c>
      <c r="AO114" s="32">
        <v>8.7500264113198857E-6</v>
      </c>
      <c r="AP114" s="32">
        <v>3.7806259526635928E-7</v>
      </c>
      <c r="AQ114" s="32">
        <v>7.4641524221169363E-7</v>
      </c>
      <c r="AR114" s="32">
        <v>7.6446008528110175E-7</v>
      </c>
      <c r="AS114" s="32">
        <v>1.189596265994029E-5</v>
      </c>
      <c r="AT114" s="32">
        <v>2.2534926994019331E-5</v>
      </c>
      <c r="AU114" s="34">
        <v>0</v>
      </c>
      <c r="AV114" s="34">
        <v>0</v>
      </c>
      <c r="AW114" s="34">
        <v>0.19783790250872499</v>
      </c>
      <c r="AX114" s="34">
        <v>0.17647448414364728</v>
      </c>
      <c r="AY114" s="34">
        <v>0.15791437786957357</v>
      </c>
      <c r="AZ114" s="34">
        <v>0.67170674510399264</v>
      </c>
      <c r="BA114" s="34">
        <v>1.2039335096259385</v>
      </c>
      <c r="BB114" s="6"/>
      <c r="BC114" s="6"/>
      <c r="BD114" t="s">
        <v>655</v>
      </c>
      <c r="BF114" s="5">
        <v>6.1961607999999994E-2</v>
      </c>
      <c r="BG114" s="5">
        <f t="shared" si="5"/>
        <v>-6.596440045352113E-3</v>
      </c>
      <c r="BH114" s="2">
        <v>144.58496000000002</v>
      </c>
    </row>
    <row r="115" spans="1:60" x14ac:dyDescent="0.2">
      <c r="A115" t="str">
        <f t="shared" si="0"/>
        <v>Scooter, electric, &lt;4kW - 2040 - NMC - CH</v>
      </c>
      <c r="B115" t="s">
        <v>383</v>
      </c>
      <c r="D115" s="18">
        <v>2040</v>
      </c>
      <c r="E115" t="s">
        <v>37</v>
      </c>
      <c r="F115" t="s">
        <v>138</v>
      </c>
      <c r="G115" t="s">
        <v>39</v>
      </c>
      <c r="H115" t="s">
        <v>32</v>
      </c>
      <c r="I115" t="s">
        <v>43</v>
      </c>
      <c r="J115" t="s">
        <v>138</v>
      </c>
      <c r="L115" s="24">
        <v>0</v>
      </c>
      <c r="M115" s="24">
        <v>0</v>
      </c>
      <c r="N115" s="24">
        <v>4.230531998315014E-3</v>
      </c>
      <c r="O115" s="24">
        <v>1.2306591692257861E-2</v>
      </c>
      <c r="P115" s="24">
        <v>4.5011338347519464E-3</v>
      </c>
      <c r="Q115" s="24">
        <v>4.7992199093471993E-2</v>
      </c>
      <c r="R115" s="24">
        <v>6.9030456618796809E-2</v>
      </c>
      <c r="S115" s="26">
        <v>0</v>
      </c>
      <c r="T115" s="26">
        <v>0</v>
      </c>
      <c r="U115" s="26">
        <v>4.4777402985367499E-4</v>
      </c>
      <c r="V115" s="26">
        <v>4.722191823356421E-4</v>
      </c>
      <c r="W115" s="26">
        <v>3.1136168175454492E-4</v>
      </c>
      <c r="X115" s="26">
        <v>4.5524939581790262E-2</v>
      </c>
      <c r="Y115" s="26">
        <v>4.6756294475734123E-2</v>
      </c>
      <c r="Z115" s="28">
        <v>0</v>
      </c>
      <c r="AA115" s="28">
        <v>2.3145477658575108E-3</v>
      </c>
      <c r="AB115" s="28">
        <v>1.3122483756222481E-4</v>
      </c>
      <c r="AC115" s="28">
        <v>1.5438989133449149E-4</v>
      </c>
      <c r="AD115" s="28">
        <v>1.3885463932009301E-4</v>
      </c>
      <c r="AE115" s="28">
        <v>4.0664740355196034E-3</v>
      </c>
      <c r="AF115" s="28">
        <v>6.8054911695939234E-3</v>
      </c>
      <c r="AG115" s="30">
        <v>0</v>
      </c>
      <c r="AH115" s="30">
        <v>1.228469691721989E-5</v>
      </c>
      <c r="AI115" s="30">
        <v>2.9983503156352759E-4</v>
      </c>
      <c r="AJ115" s="30">
        <v>3.7507357872791961E-4</v>
      </c>
      <c r="AK115" s="30">
        <v>1.881253782640265E-4</v>
      </c>
      <c r="AL115" s="30">
        <v>1.252915806510028E-2</v>
      </c>
      <c r="AM115" s="30">
        <v>1.3404476750572974E-2</v>
      </c>
      <c r="AN115" s="32">
        <v>0</v>
      </c>
      <c r="AO115" s="32">
        <v>8.7500264113198857E-6</v>
      </c>
      <c r="AP115" s="32">
        <v>3.7806259526635928E-7</v>
      </c>
      <c r="AQ115" s="32">
        <v>7.4641524221169363E-7</v>
      </c>
      <c r="AR115" s="32">
        <v>7.6448738848068806E-7</v>
      </c>
      <c r="AS115" s="32">
        <v>1.145309309929765E-5</v>
      </c>
      <c r="AT115" s="32">
        <v>2.2092084736576274E-5</v>
      </c>
      <c r="AU115" s="34">
        <v>0</v>
      </c>
      <c r="AV115" s="34">
        <v>0</v>
      </c>
      <c r="AW115" s="34">
        <v>0.19783790250872499</v>
      </c>
      <c r="AX115" s="34">
        <v>0.17647448414364728</v>
      </c>
      <c r="AY115" s="34">
        <v>0.15792282826126669</v>
      </c>
      <c r="AZ115" s="34">
        <v>0.66945087186209751</v>
      </c>
      <c r="BA115" s="34">
        <v>1.2016860867757364</v>
      </c>
      <c r="BB115" s="6"/>
      <c r="BC115" s="6"/>
      <c r="BD115" t="s">
        <v>656</v>
      </c>
      <c r="BF115" s="5">
        <v>6.1894770000000002E-2</v>
      </c>
      <c r="BG115" s="5">
        <f t="shared" si="5"/>
        <v>-7.1356866187968077E-3</v>
      </c>
      <c r="BH115" s="2">
        <v>139.64867999999998</v>
      </c>
    </row>
    <row r="116" spans="1:60" x14ac:dyDescent="0.2">
      <c r="A116" t="str">
        <f t="shared" si="0"/>
        <v>Scooter, electric, &lt;4kW - 2050 - NMC - CH</v>
      </c>
      <c r="B116" t="s">
        <v>383</v>
      </c>
      <c r="D116" s="18">
        <v>2050</v>
      </c>
      <c r="E116" t="s">
        <v>37</v>
      </c>
      <c r="F116" t="s">
        <v>138</v>
      </c>
      <c r="G116" t="s">
        <v>39</v>
      </c>
      <c r="H116" t="s">
        <v>32</v>
      </c>
      <c r="I116" t="s">
        <v>43</v>
      </c>
      <c r="J116" t="s">
        <v>138</v>
      </c>
      <c r="L116" s="24">
        <v>0</v>
      </c>
      <c r="M116" s="24">
        <v>0</v>
      </c>
      <c r="N116" s="24">
        <v>4.230531998315014E-3</v>
      </c>
      <c r="O116" s="24">
        <v>1.2306591692257861E-2</v>
      </c>
      <c r="P116" s="24">
        <v>4.5033643746692949E-3</v>
      </c>
      <c r="Q116" s="24">
        <v>4.8269122650915271E-2</v>
      </c>
      <c r="R116" s="24">
        <v>6.9309610716157433E-2</v>
      </c>
      <c r="S116" s="26">
        <v>0</v>
      </c>
      <c r="T116" s="26">
        <v>0</v>
      </c>
      <c r="U116" s="26">
        <v>4.4777402985367499E-4</v>
      </c>
      <c r="V116" s="26">
        <v>4.722191823356421E-4</v>
      </c>
      <c r="W116" s="26">
        <v>3.1150262430904518E-4</v>
      </c>
      <c r="X116" s="26">
        <v>4.2527644610276888E-2</v>
      </c>
      <c r="Y116" s="26">
        <v>4.3759140446775251E-2</v>
      </c>
      <c r="Z116" s="28">
        <v>0</v>
      </c>
      <c r="AA116" s="28">
        <v>2.3145477658575108E-3</v>
      </c>
      <c r="AB116" s="28">
        <v>1.3122483756222481E-4</v>
      </c>
      <c r="AC116" s="28">
        <v>1.5438989133449149E-4</v>
      </c>
      <c r="AD116" s="28">
        <v>1.3891870699057909E-4</v>
      </c>
      <c r="AE116" s="28">
        <v>3.9105185703264813E-3</v>
      </c>
      <c r="AF116" s="28">
        <v>6.6495997720712879E-3</v>
      </c>
      <c r="AG116" s="30">
        <v>0</v>
      </c>
      <c r="AH116" s="30">
        <v>1.228469691721989E-5</v>
      </c>
      <c r="AI116" s="30">
        <v>2.9983503156352759E-4</v>
      </c>
      <c r="AJ116" s="30">
        <v>3.7507357872791961E-4</v>
      </c>
      <c r="AK116" s="30">
        <v>1.8818517098456291E-4</v>
      </c>
      <c r="AL116" s="30">
        <v>1.221833230624189E-2</v>
      </c>
      <c r="AM116" s="30">
        <v>1.3093710784435119E-2</v>
      </c>
      <c r="AN116" s="32">
        <v>0</v>
      </c>
      <c r="AO116" s="32">
        <v>8.7500264113198857E-6</v>
      </c>
      <c r="AP116" s="32">
        <v>3.7806259526635928E-7</v>
      </c>
      <c r="AQ116" s="32">
        <v>7.4641524221169363E-7</v>
      </c>
      <c r="AR116" s="32">
        <v>7.6472348085358094E-7</v>
      </c>
      <c r="AS116" s="32">
        <v>1.094014660301449E-5</v>
      </c>
      <c r="AT116" s="32">
        <v>2.1579374332666011E-5</v>
      </c>
      <c r="AU116" s="34">
        <v>0</v>
      </c>
      <c r="AV116" s="34">
        <v>0</v>
      </c>
      <c r="AW116" s="34">
        <v>0.19783790250872499</v>
      </c>
      <c r="AX116" s="34">
        <v>0.17647448414364728</v>
      </c>
      <c r="AY116" s="34">
        <v>0.1579958992953191</v>
      </c>
      <c r="AZ116" s="34">
        <v>0.66415462442150097</v>
      </c>
      <c r="BA116" s="34">
        <v>1.1964629103691924</v>
      </c>
      <c r="BB116" s="6"/>
      <c r="BC116" s="6"/>
      <c r="BD116" t="s">
        <v>657</v>
      </c>
      <c r="BF116" s="5">
        <v>6.1719412000000001E-2</v>
      </c>
      <c r="BG116" s="5">
        <f t="shared" si="5"/>
        <v>-7.5901987161574314E-3</v>
      </c>
      <c r="BH116" s="2">
        <v>134.03406000000001</v>
      </c>
    </row>
    <row r="117" spans="1:60" x14ac:dyDescent="0.2">
      <c r="A117" t="str">
        <f t="shared" si="0"/>
        <v>Scooter, electric, 4-11kW - 2020 - NMC - CH</v>
      </c>
      <c r="B117" t="s">
        <v>344</v>
      </c>
      <c r="D117" s="18">
        <v>2020</v>
      </c>
      <c r="E117" t="s">
        <v>37</v>
      </c>
      <c r="F117" t="s">
        <v>138</v>
      </c>
      <c r="G117" t="s">
        <v>39</v>
      </c>
      <c r="H117" t="s">
        <v>32</v>
      </c>
      <c r="I117" t="s">
        <v>43</v>
      </c>
      <c r="J117" t="s">
        <v>138</v>
      </c>
      <c r="L117" s="24">
        <v>0</v>
      </c>
      <c r="M117" s="24">
        <v>0</v>
      </c>
      <c r="N117" s="24">
        <v>6.0053165008481374E-3</v>
      </c>
      <c r="O117" s="24">
        <v>1.2306591692257861E-2</v>
      </c>
      <c r="P117" s="24">
        <v>4.6388355337311166E-3</v>
      </c>
      <c r="Q117" s="24">
        <v>6.5220914497343074E-2</v>
      </c>
      <c r="R117" s="24">
        <v>8.8171658224180188E-2</v>
      </c>
      <c r="S117" s="26">
        <v>0</v>
      </c>
      <c r="T117" s="26">
        <v>0</v>
      </c>
      <c r="U117" s="26">
        <v>6.3562331432608424E-4</v>
      </c>
      <c r="V117" s="26">
        <v>4.722191823356421E-4</v>
      </c>
      <c r="W117" s="26">
        <v>3.200627272109453E-4</v>
      </c>
      <c r="X117" s="26">
        <v>7.5855735783844858E-2</v>
      </c>
      <c r="Y117" s="26">
        <v>7.7283641007717535E-2</v>
      </c>
      <c r="Z117" s="28">
        <v>0</v>
      </c>
      <c r="AA117" s="28">
        <v>2.3145477658575108E-3</v>
      </c>
      <c r="AB117" s="28">
        <v>1.8627602453956559E-4</v>
      </c>
      <c r="AC117" s="28">
        <v>1.5438989133449149E-4</v>
      </c>
      <c r="AD117" s="28">
        <v>1.4280983734499901E-4</v>
      </c>
      <c r="AE117" s="28">
        <v>6.2599544064963521E-3</v>
      </c>
      <c r="AF117" s="28">
        <v>9.0579779255729187E-3</v>
      </c>
      <c r="AG117" s="30">
        <v>0</v>
      </c>
      <c r="AH117" s="30">
        <v>1.228469691721989E-5</v>
      </c>
      <c r="AI117" s="30">
        <v>4.2562123706851542E-4</v>
      </c>
      <c r="AJ117" s="30">
        <v>3.7507357872791961E-4</v>
      </c>
      <c r="AK117" s="30">
        <v>1.9181666356244949E-4</v>
      </c>
      <c r="AL117" s="30">
        <v>1.8896849337480471E-2</v>
      </c>
      <c r="AM117" s="30">
        <v>1.9901645513756575E-2</v>
      </c>
      <c r="AN117" s="32">
        <v>0</v>
      </c>
      <c r="AO117" s="32">
        <v>8.7500264113198857E-6</v>
      </c>
      <c r="AP117" s="32">
        <v>5.3666667516303246E-7</v>
      </c>
      <c r="AQ117" s="32">
        <v>7.4641524221169363E-7</v>
      </c>
      <c r="AR117" s="32">
        <v>7.7906247884805842E-7</v>
      </c>
      <c r="AS117" s="32">
        <v>1.7332071878643611E-5</v>
      </c>
      <c r="AT117" s="32">
        <v>2.8144242686186282E-5</v>
      </c>
      <c r="AU117" s="34">
        <v>0</v>
      </c>
      <c r="AV117" s="34">
        <v>0</v>
      </c>
      <c r="AW117" s="34">
        <v>0.2808344720952432</v>
      </c>
      <c r="AX117" s="34">
        <v>0.17647448414364728</v>
      </c>
      <c r="AY117" s="34">
        <v>0.16243384617980774</v>
      </c>
      <c r="AZ117" s="34">
        <v>0.94145771503012154</v>
      </c>
      <c r="BA117" s="34">
        <v>1.5612005174488197</v>
      </c>
      <c r="BB117" s="6"/>
      <c r="BC117" s="6"/>
      <c r="BD117" t="s">
        <v>913</v>
      </c>
      <c r="BF117" s="5">
        <v>7.7684466000000008E-2</v>
      </c>
      <c r="BG117" s="5">
        <f t="shared" si="5"/>
        <v>-1.0487192224180181E-2</v>
      </c>
      <c r="BH117" s="2">
        <v>200.99196000000001</v>
      </c>
    </row>
    <row r="118" spans="1:60" x14ac:dyDescent="0.2">
      <c r="A118" t="str">
        <f t="shared" si="0"/>
        <v>Scooter, electric, 4-11kW - 2030 - NMC - CH</v>
      </c>
      <c r="B118" t="s">
        <v>344</v>
      </c>
      <c r="D118" s="18">
        <v>2030</v>
      </c>
      <c r="E118" t="s">
        <v>37</v>
      </c>
      <c r="F118" t="s">
        <v>138</v>
      </c>
      <c r="G118" t="s">
        <v>39</v>
      </c>
      <c r="H118" t="s">
        <v>32</v>
      </c>
      <c r="I118" t="s">
        <v>43</v>
      </c>
      <c r="J118" t="s">
        <v>138</v>
      </c>
      <c r="L118" s="24">
        <v>0</v>
      </c>
      <c r="M118" s="24">
        <v>0</v>
      </c>
      <c r="N118" s="24">
        <v>6.0053165008481374E-3</v>
      </c>
      <c r="O118" s="24">
        <v>1.2306591692257861E-2</v>
      </c>
      <c r="P118" s="24">
        <v>4.642158582995738E-3</v>
      </c>
      <c r="Q118" s="24">
        <v>6.503158780121078E-2</v>
      </c>
      <c r="R118" s="24">
        <v>8.7985654577312514E-2</v>
      </c>
      <c r="S118" s="26">
        <v>0</v>
      </c>
      <c r="T118" s="26">
        <v>0</v>
      </c>
      <c r="U118" s="26">
        <v>6.3562331432608424E-4</v>
      </c>
      <c r="V118" s="26">
        <v>4.722191823356421E-4</v>
      </c>
      <c r="W118" s="26">
        <v>3.2027270285336419E-4</v>
      </c>
      <c r="X118" s="26">
        <v>6.9370588654902351E-2</v>
      </c>
      <c r="Y118" s="26">
        <v>7.0798703854417444E-2</v>
      </c>
      <c r="Z118" s="28">
        <v>0</v>
      </c>
      <c r="AA118" s="28">
        <v>2.3145477658575108E-3</v>
      </c>
      <c r="AB118" s="28">
        <v>1.8627602453956559E-4</v>
      </c>
      <c r="AC118" s="28">
        <v>1.5438989133449149E-4</v>
      </c>
      <c r="AD118" s="28">
        <v>1.429052850989885E-4</v>
      </c>
      <c r="AE118" s="28">
        <v>5.8853804346952407E-3</v>
      </c>
      <c r="AF118" s="28">
        <v>8.683499401525796E-3</v>
      </c>
      <c r="AG118" s="30">
        <v>0</v>
      </c>
      <c r="AH118" s="30">
        <v>1.228469691721989E-5</v>
      </c>
      <c r="AI118" s="30">
        <v>4.2562123706851542E-4</v>
      </c>
      <c r="AJ118" s="30">
        <v>3.7507357872791961E-4</v>
      </c>
      <c r="AK118" s="30">
        <v>1.919057425134528E-4</v>
      </c>
      <c r="AL118" s="30">
        <v>1.80927369906165E-2</v>
      </c>
      <c r="AM118" s="30">
        <v>1.9097622245843607E-2</v>
      </c>
      <c r="AN118" s="32">
        <v>0</v>
      </c>
      <c r="AO118" s="32">
        <v>8.7500264113198857E-6</v>
      </c>
      <c r="AP118" s="32">
        <v>5.3666667516303246E-7</v>
      </c>
      <c r="AQ118" s="32">
        <v>7.4641524221169363E-7</v>
      </c>
      <c r="AR118" s="32">
        <v>7.7941420830155207E-7</v>
      </c>
      <c r="AS118" s="32">
        <v>1.6208929880458181E-5</v>
      </c>
      <c r="AT118" s="32">
        <v>2.7021452417454348E-5</v>
      </c>
      <c r="AU118" s="34">
        <v>0</v>
      </c>
      <c r="AV118" s="34">
        <v>0</v>
      </c>
      <c r="AW118" s="34">
        <v>0.2808344720952432</v>
      </c>
      <c r="AX118" s="34">
        <v>0.17647448414364728</v>
      </c>
      <c r="AY118" s="34">
        <v>0.16254270710808991</v>
      </c>
      <c r="AZ118" s="34">
        <v>0.92193573824767916</v>
      </c>
      <c r="BA118" s="34">
        <v>1.5417874015946595</v>
      </c>
      <c r="BB118" s="6"/>
      <c r="BC118" s="6"/>
      <c r="BD118" t="s">
        <v>658</v>
      </c>
      <c r="BF118" s="5">
        <v>7.6972405000000008E-2</v>
      </c>
      <c r="BG118" s="5">
        <f t="shared" si="5"/>
        <v>-1.1013249577312506E-2</v>
      </c>
      <c r="BH118" s="2">
        <v>188.86969999999999</v>
      </c>
    </row>
    <row r="119" spans="1:60" x14ac:dyDescent="0.2">
      <c r="A119" t="str">
        <f t="shared" si="0"/>
        <v>Scooter, electric, 4-11kW - 2040 - NMC - CH</v>
      </c>
      <c r="B119" t="s">
        <v>344</v>
      </c>
      <c r="D119" s="18">
        <v>2040</v>
      </c>
      <c r="E119" t="s">
        <v>37</v>
      </c>
      <c r="F119" t="s">
        <v>138</v>
      </c>
      <c r="G119" t="s">
        <v>39</v>
      </c>
      <c r="H119" t="s">
        <v>32</v>
      </c>
      <c r="I119" t="s">
        <v>43</v>
      </c>
      <c r="J119" t="s">
        <v>138</v>
      </c>
      <c r="L119" s="24">
        <v>0</v>
      </c>
      <c r="M119" s="24">
        <v>0</v>
      </c>
      <c r="N119" s="24">
        <v>6.0053165008481374E-3</v>
      </c>
      <c r="O119" s="24">
        <v>1.2306591692257861E-2</v>
      </c>
      <c r="P119" s="24">
        <v>4.6433876560114202E-3</v>
      </c>
      <c r="Q119" s="24">
        <v>6.5002983175688159E-2</v>
      </c>
      <c r="R119" s="24">
        <v>8.7958279024805575E-2</v>
      </c>
      <c r="S119" s="26">
        <v>0</v>
      </c>
      <c r="T119" s="26">
        <v>0</v>
      </c>
      <c r="U119" s="26">
        <v>6.3562331432608424E-4</v>
      </c>
      <c r="V119" s="26">
        <v>4.722191823356421E-4</v>
      </c>
      <c r="W119" s="26">
        <v>3.2035036507727262E-4</v>
      </c>
      <c r="X119" s="26">
        <v>6.5244133849543445E-2</v>
      </c>
      <c r="Y119" s="26">
        <v>6.667232671128244E-2</v>
      </c>
      <c r="Z119" s="28">
        <v>0</v>
      </c>
      <c r="AA119" s="28">
        <v>2.3145477658575108E-3</v>
      </c>
      <c r="AB119" s="28">
        <v>1.8627602453956559E-4</v>
      </c>
      <c r="AC119" s="28">
        <v>1.5438989133449149E-4</v>
      </c>
      <c r="AD119" s="28">
        <v>1.4294058769292981E-4</v>
      </c>
      <c r="AE119" s="28">
        <v>5.6513116441916653E-3</v>
      </c>
      <c r="AF119" s="28">
        <v>8.4494659136161634E-3</v>
      </c>
      <c r="AG119" s="30">
        <v>0</v>
      </c>
      <c r="AH119" s="30">
        <v>1.228469691721989E-5</v>
      </c>
      <c r="AI119" s="30">
        <v>4.2562123706851542E-4</v>
      </c>
      <c r="AJ119" s="30">
        <v>3.7507357872791961E-4</v>
      </c>
      <c r="AK119" s="30">
        <v>1.9193868952272801E-4</v>
      </c>
      <c r="AL119" s="30">
        <v>1.7596843272735939E-2</v>
      </c>
      <c r="AM119" s="30">
        <v>1.8601761474972323E-2</v>
      </c>
      <c r="AN119" s="32">
        <v>0</v>
      </c>
      <c r="AO119" s="32">
        <v>8.7500264113198857E-6</v>
      </c>
      <c r="AP119" s="32">
        <v>5.3666667516303246E-7</v>
      </c>
      <c r="AQ119" s="32">
        <v>7.4641524221169363E-7</v>
      </c>
      <c r="AR119" s="32">
        <v>7.7954430001722768E-7</v>
      </c>
      <c r="AS119" s="32">
        <v>1.5495207038674772E-5</v>
      </c>
      <c r="AT119" s="32">
        <v>2.6307859667386611E-5</v>
      </c>
      <c r="AU119" s="34">
        <v>0</v>
      </c>
      <c r="AV119" s="34">
        <v>0</v>
      </c>
      <c r="AW119" s="34">
        <v>0.2808344720952432</v>
      </c>
      <c r="AX119" s="34">
        <v>0.17647448414364728</v>
      </c>
      <c r="AY119" s="34">
        <v>0.16258297073909836</v>
      </c>
      <c r="AZ119" s="34">
        <v>0.91044127029277888</v>
      </c>
      <c r="BA119" s="34">
        <v>1.5303331972707677</v>
      </c>
      <c r="BB119" s="6"/>
      <c r="BC119" s="6"/>
      <c r="BD119" t="s">
        <v>659</v>
      </c>
      <c r="BF119" s="5">
        <v>7.6549911999999998E-2</v>
      </c>
      <c r="BG119" s="5">
        <f t="shared" si="5"/>
        <v>-1.1408367024805577E-2</v>
      </c>
      <c r="BH119" s="2">
        <v>181.12362000000002</v>
      </c>
    </row>
    <row r="120" spans="1:60" x14ac:dyDescent="0.2">
      <c r="A120" t="str">
        <f t="shared" si="0"/>
        <v>Scooter, electric, 4-11kW - 2050 - NMC - CH</v>
      </c>
      <c r="B120" t="s">
        <v>344</v>
      </c>
      <c r="D120" s="18">
        <v>2050</v>
      </c>
      <c r="E120" t="s">
        <v>37</v>
      </c>
      <c r="F120" t="s">
        <v>138</v>
      </c>
      <c r="G120" t="s">
        <v>39</v>
      </c>
      <c r="H120" t="s">
        <v>32</v>
      </c>
      <c r="I120" t="s">
        <v>43</v>
      </c>
      <c r="J120" t="s">
        <v>138</v>
      </c>
      <c r="L120" s="24">
        <v>0</v>
      </c>
      <c r="M120" s="24">
        <v>0</v>
      </c>
      <c r="N120" s="24">
        <v>6.0053165008481374E-3</v>
      </c>
      <c r="O120" s="24">
        <v>1.2306591692257861E-2</v>
      </c>
      <c r="P120" s="24">
        <v>4.6422496254413448E-3</v>
      </c>
      <c r="Q120" s="24">
        <v>6.4048206979410882E-2</v>
      </c>
      <c r="R120" s="24">
        <v>8.7002364797958226E-2</v>
      </c>
      <c r="S120" s="26">
        <v>0</v>
      </c>
      <c r="T120" s="26">
        <v>0</v>
      </c>
      <c r="U120" s="26">
        <v>6.3562331432608424E-4</v>
      </c>
      <c r="V120" s="26">
        <v>4.722191823356421E-4</v>
      </c>
      <c r="W120" s="26">
        <v>3.2027845561069079E-4</v>
      </c>
      <c r="X120" s="26">
        <v>5.9304922010804277E-2</v>
      </c>
      <c r="Y120" s="26">
        <v>6.0733042963076696E-2</v>
      </c>
      <c r="Z120" s="28">
        <v>0</v>
      </c>
      <c r="AA120" s="28">
        <v>2.3145477658575108E-3</v>
      </c>
      <c r="AB120" s="28">
        <v>1.8627602453956559E-4</v>
      </c>
      <c r="AC120" s="28">
        <v>1.5438989133449149E-4</v>
      </c>
      <c r="AD120" s="28">
        <v>1.4290790010594711E-4</v>
      </c>
      <c r="AE120" s="28">
        <v>5.2713228626062826E-3</v>
      </c>
      <c r="AF120" s="28">
        <v>8.069444444443798E-3</v>
      </c>
      <c r="AG120" s="30">
        <v>0</v>
      </c>
      <c r="AH120" s="30">
        <v>1.228469691721989E-5</v>
      </c>
      <c r="AI120" s="30">
        <v>4.2562123706851542E-4</v>
      </c>
      <c r="AJ120" s="30">
        <v>3.7507357872791961E-4</v>
      </c>
      <c r="AK120" s="30">
        <v>1.919081830326583E-4</v>
      </c>
      <c r="AL120" s="30">
        <v>1.6731104054267951E-2</v>
      </c>
      <c r="AM120" s="30">
        <v>1.7735991750014266E-2</v>
      </c>
      <c r="AN120" s="32">
        <v>0</v>
      </c>
      <c r="AO120" s="32">
        <v>8.7500264113198857E-6</v>
      </c>
      <c r="AP120" s="32">
        <v>5.3666667516303246E-7</v>
      </c>
      <c r="AQ120" s="32">
        <v>7.4641524221169363E-7</v>
      </c>
      <c r="AR120" s="32">
        <v>7.7942384472493537E-7</v>
      </c>
      <c r="AS120" s="32">
        <v>1.445185205113875E-5</v>
      </c>
      <c r="AT120" s="32">
        <v>2.5264384224558298E-5</v>
      </c>
      <c r="AU120" s="34">
        <v>0</v>
      </c>
      <c r="AV120" s="34">
        <v>0</v>
      </c>
      <c r="AW120" s="34">
        <v>0.2808344720952432</v>
      </c>
      <c r="AX120" s="34">
        <v>0.17647448414364728</v>
      </c>
      <c r="AY120" s="34">
        <v>0.16254568959927568</v>
      </c>
      <c r="AZ120" s="34">
        <v>0.88454203144414301</v>
      </c>
      <c r="BA120" s="34">
        <v>1.5043966772823092</v>
      </c>
      <c r="BB120" s="6"/>
      <c r="BC120" s="6"/>
      <c r="BD120" t="s">
        <v>660</v>
      </c>
      <c r="BF120" s="5">
        <v>7.5562900000000002E-2</v>
      </c>
      <c r="BG120" s="5">
        <f t="shared" si="5"/>
        <v>-1.1439464797958224E-2</v>
      </c>
      <c r="BH120" s="2">
        <v>170.06222</v>
      </c>
    </row>
    <row r="121" spans="1:60" x14ac:dyDescent="0.2">
      <c r="A121" t="str">
        <f t="shared" si="0"/>
        <v>Scooter, electric, &lt;4kW - 2020 - LFP - CH</v>
      </c>
      <c r="B121" t="s">
        <v>383</v>
      </c>
      <c r="D121" s="18">
        <v>2020</v>
      </c>
      <c r="E121" t="s">
        <v>37</v>
      </c>
      <c r="F121" t="s">
        <v>138</v>
      </c>
      <c r="G121" t="s">
        <v>39</v>
      </c>
      <c r="H121" t="s">
        <v>32</v>
      </c>
      <c r="I121" t="s">
        <v>44</v>
      </c>
      <c r="J121" t="s">
        <v>138</v>
      </c>
      <c r="L121" s="24">
        <v>0</v>
      </c>
      <c r="M121" s="24">
        <v>0</v>
      </c>
      <c r="N121" s="24">
        <v>4.230531998315014E-3</v>
      </c>
      <c r="O121" s="24">
        <v>1.2306591692257861E-2</v>
      </c>
      <c r="P121" s="24">
        <v>4.5680500322724032E-3</v>
      </c>
      <c r="Q121" s="24">
        <v>5.8797909621316473E-2</v>
      </c>
      <c r="R121" s="24">
        <v>7.9903083344161754E-2</v>
      </c>
      <c r="S121" s="26">
        <v>0</v>
      </c>
      <c r="T121" s="26">
        <v>0</v>
      </c>
      <c r="U121" s="26">
        <v>4.4777402985367499E-4</v>
      </c>
      <c r="V121" s="26">
        <v>4.722191823356421E-4</v>
      </c>
      <c r="W121" s="26">
        <v>3.1558995838955599E-4</v>
      </c>
      <c r="X121" s="26">
        <v>3.6415235241779427E-2</v>
      </c>
      <c r="Y121" s="26">
        <v>3.7650818412358303E-2</v>
      </c>
      <c r="Z121" s="28">
        <v>0</v>
      </c>
      <c r="AA121" s="28">
        <v>2.3145477658575108E-3</v>
      </c>
      <c r="AB121" s="28">
        <v>1.3122483756222481E-4</v>
      </c>
      <c r="AC121" s="28">
        <v>1.5438989133449149E-4</v>
      </c>
      <c r="AD121" s="28">
        <v>1.407766694346754E-4</v>
      </c>
      <c r="AE121" s="28">
        <v>4.4453693114975641E-3</v>
      </c>
      <c r="AF121" s="28">
        <v>7.1863084756864665E-3</v>
      </c>
      <c r="AG121" s="30">
        <v>0</v>
      </c>
      <c r="AH121" s="30">
        <v>1.228469691721989E-5</v>
      </c>
      <c r="AI121" s="30">
        <v>2.9983503156352759E-4</v>
      </c>
      <c r="AJ121" s="30">
        <v>3.7507357872791961E-4</v>
      </c>
      <c r="AK121" s="30">
        <v>1.899191598801197E-4</v>
      </c>
      <c r="AL121" s="30">
        <v>1.5198204312620671E-2</v>
      </c>
      <c r="AM121" s="30">
        <v>1.6075316779709456E-2</v>
      </c>
      <c r="AN121" s="32">
        <v>0</v>
      </c>
      <c r="AO121" s="32">
        <v>8.7500264113198857E-6</v>
      </c>
      <c r="AP121" s="32">
        <v>3.7806259526635928E-7</v>
      </c>
      <c r="AQ121" s="32">
        <v>7.4641524221169363E-7</v>
      </c>
      <c r="AR121" s="32">
        <v>7.7157015966747627E-7</v>
      </c>
      <c r="AS121" s="32">
        <v>1.095171499273861E-5</v>
      </c>
      <c r="AT121" s="32">
        <v>2.1597789401204025E-5</v>
      </c>
      <c r="AU121" s="34">
        <v>0</v>
      </c>
      <c r="AV121" s="34">
        <v>0</v>
      </c>
      <c r="AW121" s="34">
        <v>0.19783790250872499</v>
      </c>
      <c r="AX121" s="34">
        <v>0.17647448414364728</v>
      </c>
      <c r="AY121" s="34">
        <v>0.1601149592828387</v>
      </c>
      <c r="AZ121" s="34">
        <v>0.79945311067587588</v>
      </c>
      <c r="BA121" s="34">
        <v>1.3338804566110869</v>
      </c>
      <c r="BB121" s="6"/>
      <c r="BC121" s="6"/>
      <c r="BD121" t="s">
        <v>914</v>
      </c>
      <c r="BF121" s="5">
        <v>7.3349193000000007E-2</v>
      </c>
      <c r="BG121" s="5">
        <f t="shared" si="5"/>
        <v>-6.5538903441617474E-3</v>
      </c>
      <c r="BH121" s="2">
        <v>184.71236999999999</v>
      </c>
    </row>
    <row r="122" spans="1:60" x14ac:dyDescent="0.2">
      <c r="A122" t="str">
        <f t="shared" si="0"/>
        <v>Scooter, electric, &lt;4kW - 2030 - LFP - CH</v>
      </c>
      <c r="B122" t="s">
        <v>383</v>
      </c>
      <c r="D122" s="18">
        <v>2030</v>
      </c>
      <c r="E122" t="s">
        <v>37</v>
      </c>
      <c r="F122" t="s">
        <v>138</v>
      </c>
      <c r="G122" t="s">
        <v>39</v>
      </c>
      <c r="H122" t="s">
        <v>32</v>
      </c>
      <c r="I122" t="s">
        <v>44</v>
      </c>
      <c r="J122" t="s">
        <v>138</v>
      </c>
      <c r="L122" s="24">
        <v>0</v>
      </c>
      <c r="M122" s="24">
        <v>0</v>
      </c>
      <c r="N122" s="24">
        <v>4.230531998315014E-3</v>
      </c>
      <c r="O122" s="24">
        <v>1.2306591692257861E-2</v>
      </c>
      <c r="P122" s="24">
        <v>4.6192310604439447E-3</v>
      </c>
      <c r="Q122" s="24">
        <v>6.4497265549715438E-2</v>
      </c>
      <c r="R122" s="24">
        <v>8.5653620300732258E-2</v>
      </c>
      <c r="S122" s="26">
        <v>0</v>
      </c>
      <c r="T122" s="26">
        <v>0</v>
      </c>
      <c r="U122" s="26">
        <v>4.4777402985367499E-4</v>
      </c>
      <c r="V122" s="26">
        <v>4.722191823356421E-4</v>
      </c>
      <c r="W122" s="26">
        <v>3.1882396679996239E-4</v>
      </c>
      <c r="X122" s="26">
        <v>3.871417729214565E-2</v>
      </c>
      <c r="Y122" s="26">
        <v>3.9952994471134928E-2</v>
      </c>
      <c r="Z122" s="28">
        <v>0</v>
      </c>
      <c r="AA122" s="28">
        <v>2.3145477658575108E-3</v>
      </c>
      <c r="AB122" s="28">
        <v>1.3122483756222481E-4</v>
      </c>
      <c r="AC122" s="28">
        <v>1.5438989133449149E-4</v>
      </c>
      <c r="AD122" s="28">
        <v>1.4224673917991051E-4</v>
      </c>
      <c r="AE122" s="28">
        <v>4.8788215979681049E-3</v>
      </c>
      <c r="AF122" s="28">
        <v>7.6212308319022429E-3</v>
      </c>
      <c r="AG122" s="30">
        <v>0</v>
      </c>
      <c r="AH122" s="30">
        <v>1.228469691721989E-5</v>
      </c>
      <c r="AI122" s="30">
        <v>2.9983503156352759E-4</v>
      </c>
      <c r="AJ122" s="30">
        <v>3.7507357872791961E-4</v>
      </c>
      <c r="AK122" s="30">
        <v>1.9129113842685031E-4</v>
      </c>
      <c r="AL122" s="30">
        <v>1.657752604065503E-2</v>
      </c>
      <c r="AM122" s="30">
        <v>1.7456010486290547E-2</v>
      </c>
      <c r="AN122" s="32">
        <v>0</v>
      </c>
      <c r="AO122" s="32">
        <v>8.7500264113198857E-6</v>
      </c>
      <c r="AP122" s="32">
        <v>3.7806259526635928E-7</v>
      </c>
      <c r="AQ122" s="32">
        <v>7.4641524221169363E-7</v>
      </c>
      <c r="AR122" s="32">
        <v>7.7698743567950284E-7</v>
      </c>
      <c r="AS122" s="32">
        <v>1.154459782110781E-5</v>
      </c>
      <c r="AT122" s="32">
        <v>2.2196089505585251E-5</v>
      </c>
      <c r="AU122" s="34">
        <v>0</v>
      </c>
      <c r="AV122" s="34">
        <v>0</v>
      </c>
      <c r="AW122" s="34">
        <v>0.19783790250872499</v>
      </c>
      <c r="AX122" s="34">
        <v>0.17647448414364728</v>
      </c>
      <c r="AY122" s="34">
        <v>0.16179161641112952</v>
      </c>
      <c r="AZ122" s="34">
        <v>0.86824376484824595</v>
      </c>
      <c r="BA122" s="34">
        <v>1.4043477679117478</v>
      </c>
      <c r="BB122" s="6"/>
      <c r="BC122" s="6"/>
      <c r="BD122" t="s">
        <v>661</v>
      </c>
      <c r="BF122" s="5">
        <v>7.6782684000000004E-2</v>
      </c>
      <c r="BG122" s="5">
        <f t="shared" si="5"/>
        <v>-8.8709363007322545E-3</v>
      </c>
      <c r="BH122" s="2">
        <v>194.45586</v>
      </c>
    </row>
    <row r="123" spans="1:60" x14ac:dyDescent="0.2">
      <c r="A123" t="str">
        <f t="shared" si="0"/>
        <v>Scooter, electric, &lt;4kW - 2040 - LFP - CH</v>
      </c>
      <c r="B123" t="s">
        <v>383</v>
      </c>
      <c r="D123" s="18">
        <v>2040</v>
      </c>
      <c r="E123" t="s">
        <v>37</v>
      </c>
      <c r="F123" t="s">
        <v>138</v>
      </c>
      <c r="G123" t="s">
        <v>39</v>
      </c>
      <c r="H123" t="s">
        <v>32</v>
      </c>
      <c r="I123" t="s">
        <v>44</v>
      </c>
      <c r="J123" t="s">
        <v>138</v>
      </c>
      <c r="L123" s="24">
        <v>0</v>
      </c>
      <c r="M123" s="24">
        <v>0</v>
      </c>
      <c r="N123" s="24">
        <v>4.230531998315014E-3</v>
      </c>
      <c r="O123" s="24">
        <v>1.2306591692257861E-2</v>
      </c>
      <c r="P123" s="24">
        <v>4.6441463430581366E-3</v>
      </c>
      <c r="Q123" s="24">
        <v>6.5440864546142355E-2</v>
      </c>
      <c r="R123" s="24">
        <v>8.6622134579773358E-2</v>
      </c>
      <c r="S123" s="26">
        <v>0</v>
      </c>
      <c r="T123" s="26">
        <v>0</v>
      </c>
      <c r="U123" s="26">
        <v>4.4777402985367499E-4</v>
      </c>
      <c r="V123" s="26">
        <v>4.722191823356421E-4</v>
      </c>
      <c r="W123" s="26">
        <v>3.2039830472166051E-4</v>
      </c>
      <c r="X123" s="26">
        <v>3.8330651956681491E-2</v>
      </c>
      <c r="Y123" s="26">
        <v>3.9571043473592471E-2</v>
      </c>
      <c r="Z123" s="28">
        <v>0</v>
      </c>
      <c r="AA123" s="28">
        <v>2.3145477658575108E-3</v>
      </c>
      <c r="AB123" s="28">
        <v>1.3122483756222481E-4</v>
      </c>
      <c r="AC123" s="28">
        <v>1.5438989133449149E-4</v>
      </c>
      <c r="AD123" s="28">
        <v>1.4296237941758489E-4</v>
      </c>
      <c r="AE123" s="28">
        <v>4.8890465065137504E-3</v>
      </c>
      <c r="AF123" s="28">
        <v>7.632171380685563E-3</v>
      </c>
      <c r="AG123" s="30">
        <v>0</v>
      </c>
      <c r="AH123" s="30">
        <v>1.228469691721989E-5</v>
      </c>
      <c r="AI123" s="30">
        <v>2.9983503156352759E-4</v>
      </c>
      <c r="AJ123" s="30">
        <v>3.7507357872791961E-4</v>
      </c>
      <c r="AK123" s="30">
        <v>1.9195902718277441E-4</v>
      </c>
      <c r="AL123" s="30">
        <v>1.660881184858444E-2</v>
      </c>
      <c r="AM123" s="30">
        <v>1.7487964182975883E-2</v>
      </c>
      <c r="AN123" s="32">
        <v>0</v>
      </c>
      <c r="AO123" s="32">
        <v>8.7500264113198857E-6</v>
      </c>
      <c r="AP123" s="32">
        <v>3.7806259526635928E-7</v>
      </c>
      <c r="AQ123" s="32">
        <v>7.4641524221169363E-7</v>
      </c>
      <c r="AR123" s="32">
        <v>7.7962460354542263E-7</v>
      </c>
      <c r="AS123" s="32">
        <v>1.147640647557148E-5</v>
      </c>
      <c r="AT123" s="32">
        <v>2.2130535327914843E-5</v>
      </c>
      <c r="AU123" s="34">
        <v>0</v>
      </c>
      <c r="AV123" s="34">
        <v>0</v>
      </c>
      <c r="AW123" s="34">
        <v>0.19783790250872499</v>
      </c>
      <c r="AX123" s="34">
        <v>0.17647448414364728</v>
      </c>
      <c r="AY123" s="34">
        <v>0.16260782483231345</v>
      </c>
      <c r="AZ123" s="34">
        <v>0.87552864290887888</v>
      </c>
      <c r="BA123" s="34">
        <v>1.4124488543935647</v>
      </c>
      <c r="BB123" s="6"/>
      <c r="BC123" s="6"/>
      <c r="BD123" t="s">
        <v>662</v>
      </c>
      <c r="BF123" s="5">
        <v>7.6949035999999998E-2</v>
      </c>
      <c r="BG123" s="5">
        <f t="shared" si="5"/>
        <v>-9.6730985797733593E-3</v>
      </c>
      <c r="BH123" s="2">
        <v>191.62394</v>
      </c>
    </row>
    <row r="124" spans="1:60" x14ac:dyDescent="0.2">
      <c r="A124" t="str">
        <f t="shared" si="0"/>
        <v>Scooter, electric, &lt;4kW - 2050 - LFP - CH</v>
      </c>
      <c r="B124" t="s">
        <v>383</v>
      </c>
      <c r="D124" s="18">
        <v>2050</v>
      </c>
      <c r="E124" t="s">
        <v>37</v>
      </c>
      <c r="F124" t="s">
        <v>138</v>
      </c>
      <c r="G124" t="s">
        <v>39</v>
      </c>
      <c r="H124" t="s">
        <v>32</v>
      </c>
      <c r="I124" t="s">
        <v>44</v>
      </c>
      <c r="J124" t="s">
        <v>138</v>
      </c>
      <c r="L124" s="24">
        <v>0</v>
      </c>
      <c r="M124" s="24">
        <v>0</v>
      </c>
      <c r="N124" s="24">
        <v>4.230531998315014E-3</v>
      </c>
      <c r="O124" s="24">
        <v>1.2306591692257861E-2</v>
      </c>
      <c r="P124" s="24">
        <v>4.6453905898147536E-3</v>
      </c>
      <c r="Q124" s="24">
        <v>6.1967285703291297E-2</v>
      </c>
      <c r="R124" s="24">
        <v>8.3149799983678926E-2</v>
      </c>
      <c r="S124" s="26">
        <v>0</v>
      </c>
      <c r="T124" s="26">
        <v>0</v>
      </c>
      <c r="U124" s="26">
        <v>4.4777402985367499E-4</v>
      </c>
      <c r="V124" s="26">
        <v>4.722191823356421E-4</v>
      </c>
      <c r="W124" s="26">
        <v>3.2047692573845658E-4</v>
      </c>
      <c r="X124" s="26">
        <v>3.4998725192855157E-2</v>
      </c>
      <c r="Y124" s="26">
        <v>3.6239195330782931E-2</v>
      </c>
      <c r="Z124" s="28">
        <v>0</v>
      </c>
      <c r="AA124" s="28">
        <v>2.3145477658575108E-3</v>
      </c>
      <c r="AB124" s="28">
        <v>1.3122483756222481E-4</v>
      </c>
      <c r="AC124" s="28">
        <v>1.5438989133449149E-4</v>
      </c>
      <c r="AD124" s="28">
        <v>1.4299811784601929E-4</v>
      </c>
      <c r="AE124" s="28">
        <v>4.4688020293989616E-3</v>
      </c>
      <c r="AF124" s="28">
        <v>7.2119626419992078E-3</v>
      </c>
      <c r="AG124" s="30">
        <v>0</v>
      </c>
      <c r="AH124" s="30">
        <v>1.228469691721989E-5</v>
      </c>
      <c r="AI124" s="30">
        <v>2.9983503156352759E-4</v>
      </c>
      <c r="AJ124" s="30">
        <v>3.7507357872791961E-4</v>
      </c>
      <c r="AK124" s="30">
        <v>1.9199238094525051E-4</v>
      </c>
      <c r="AL124" s="30">
        <v>1.5273393428673751E-2</v>
      </c>
      <c r="AM124" s="30">
        <v>1.6152579116827669E-2</v>
      </c>
      <c r="AN124" s="32">
        <v>0</v>
      </c>
      <c r="AO124" s="32">
        <v>8.7500264113198857E-6</v>
      </c>
      <c r="AP124" s="32">
        <v>3.7806259526635928E-7</v>
      </c>
      <c r="AQ124" s="32">
        <v>7.4641524221169363E-7</v>
      </c>
      <c r="AR124" s="32">
        <v>7.7975630133166223E-7</v>
      </c>
      <c r="AS124" s="32">
        <v>1.068917165979742E-5</v>
      </c>
      <c r="AT124" s="32">
        <v>2.1343432209927023E-5</v>
      </c>
      <c r="AU124" s="34">
        <v>0</v>
      </c>
      <c r="AV124" s="34">
        <v>0</v>
      </c>
      <c r="AW124" s="34">
        <v>0.19783790250872499</v>
      </c>
      <c r="AX124" s="34">
        <v>0.17647448414364728</v>
      </c>
      <c r="AY124" s="34">
        <v>0.16264858554518624</v>
      </c>
      <c r="AZ124" s="34">
        <v>0.82311825228728053</v>
      </c>
      <c r="BA124" s="34">
        <v>1.360079224484839</v>
      </c>
      <c r="BB124" s="6"/>
      <c r="BC124" s="6"/>
      <c r="BD124" t="s">
        <v>663</v>
      </c>
      <c r="BF124" s="5">
        <v>7.3808280000000004E-2</v>
      </c>
      <c r="BG124" s="5">
        <f t="shared" si="5"/>
        <v>-9.3415199836789226E-3</v>
      </c>
      <c r="BH124" s="2">
        <v>174.37620000000001</v>
      </c>
    </row>
    <row r="125" spans="1:60" x14ac:dyDescent="0.2">
      <c r="A125" t="str">
        <f t="shared" si="0"/>
        <v>Scooter, electric, 4-11kW - 2020 - LFP - CH</v>
      </c>
      <c r="B125" t="s">
        <v>344</v>
      </c>
      <c r="D125" s="18">
        <v>2020</v>
      </c>
      <c r="E125" t="s">
        <v>37</v>
      </c>
      <c r="F125" t="s">
        <v>138</v>
      </c>
      <c r="G125" t="s">
        <v>39</v>
      </c>
      <c r="H125" t="s">
        <v>32</v>
      </c>
      <c r="I125" t="s">
        <v>44</v>
      </c>
      <c r="J125" t="s">
        <v>138</v>
      </c>
      <c r="L125" s="24">
        <v>0</v>
      </c>
      <c r="M125" s="24">
        <v>0</v>
      </c>
      <c r="N125" s="24">
        <v>6.0053165008481374E-3</v>
      </c>
      <c r="O125" s="24">
        <v>1.476791003070943E-2</v>
      </c>
      <c r="P125" s="24">
        <v>4.7364785566436198E-3</v>
      </c>
      <c r="Q125" s="24">
        <v>6.8503985953146843E-2</v>
      </c>
      <c r="R125" s="24">
        <v>9.4013691041348033E-2</v>
      </c>
      <c r="S125" s="26">
        <v>0</v>
      </c>
      <c r="T125" s="26">
        <v>0</v>
      </c>
      <c r="U125" s="26">
        <v>6.3562331432608424E-4</v>
      </c>
      <c r="V125" s="26">
        <v>5.6666301880277056E-4</v>
      </c>
      <c r="W125" s="26">
        <v>3.2623255944366558E-4</v>
      </c>
      <c r="X125" s="26">
        <v>4.4186015657153251E-2</v>
      </c>
      <c r="Y125" s="26">
        <v>4.5714534549725773E-2</v>
      </c>
      <c r="Z125" s="28">
        <v>0</v>
      </c>
      <c r="AA125" s="28">
        <v>2.3145477658575108E-3</v>
      </c>
      <c r="AB125" s="28">
        <v>1.8627602453956559E-4</v>
      </c>
      <c r="AC125" s="28">
        <v>1.8526786960138981E-4</v>
      </c>
      <c r="AD125" s="28">
        <v>1.4561443230811421E-4</v>
      </c>
      <c r="AE125" s="28">
        <v>5.2687619062689673E-3</v>
      </c>
      <c r="AF125" s="28">
        <v>8.1004679985755487E-3</v>
      </c>
      <c r="AG125" s="30">
        <v>0</v>
      </c>
      <c r="AH125" s="30">
        <v>1.228469691721989E-5</v>
      </c>
      <c r="AI125" s="30">
        <v>4.2562123706851542E-4</v>
      </c>
      <c r="AJ125" s="30">
        <v>4.5008829447350349E-4</v>
      </c>
      <c r="AK125" s="30">
        <v>1.944341204104222E-4</v>
      </c>
      <c r="AL125" s="30">
        <v>1.8177658043692691E-2</v>
      </c>
      <c r="AM125" s="30">
        <v>1.9260086392562353E-2</v>
      </c>
      <c r="AN125" s="32">
        <v>0</v>
      </c>
      <c r="AO125" s="32">
        <v>8.7500264113198857E-6</v>
      </c>
      <c r="AP125" s="32">
        <v>5.3666667516303246E-7</v>
      </c>
      <c r="AQ125" s="32">
        <v>8.9569829065403236E-7</v>
      </c>
      <c r="AR125" s="32">
        <v>7.8939754292673927E-7</v>
      </c>
      <c r="AS125" s="32">
        <v>1.245653359270986E-5</v>
      </c>
      <c r="AT125" s="32">
        <v>2.3428322512773554E-5</v>
      </c>
      <c r="AU125" s="34">
        <v>0</v>
      </c>
      <c r="AV125" s="34">
        <v>0</v>
      </c>
      <c r="AW125" s="34">
        <v>0.2808344720952432</v>
      </c>
      <c r="AX125" s="34">
        <v>0.21176938097237663</v>
      </c>
      <c r="AY125" s="34">
        <v>0.1656325679765914</v>
      </c>
      <c r="AZ125" s="34">
        <v>0.93047283691177507</v>
      </c>
      <c r="BA125" s="34">
        <v>1.5887092579559863</v>
      </c>
      <c r="BB125" s="6"/>
      <c r="BC125" s="6"/>
      <c r="BD125" t="s">
        <v>915</v>
      </c>
      <c r="BF125" s="5">
        <v>8.5098207000000009E-2</v>
      </c>
      <c r="BG125" s="5">
        <f t="shared" si="5"/>
        <v>-8.9154840413480235E-3</v>
      </c>
      <c r="BH125" s="2">
        <v>216.7672</v>
      </c>
    </row>
    <row r="126" spans="1:60" x14ac:dyDescent="0.2">
      <c r="A126" t="str">
        <f t="shared" si="0"/>
        <v>Scooter, electric, 4-11kW - 2030 - LFP - CH</v>
      </c>
      <c r="B126" t="s">
        <v>344</v>
      </c>
      <c r="D126" s="18">
        <v>2030</v>
      </c>
      <c r="E126" t="s">
        <v>37</v>
      </c>
      <c r="F126" t="s">
        <v>138</v>
      </c>
      <c r="G126" t="s">
        <v>39</v>
      </c>
      <c r="H126" t="s">
        <v>32</v>
      </c>
      <c r="I126" t="s">
        <v>44</v>
      </c>
      <c r="J126" t="s">
        <v>138</v>
      </c>
      <c r="L126" s="24">
        <v>0</v>
      </c>
      <c r="M126" s="24">
        <v>0</v>
      </c>
      <c r="N126" s="24">
        <v>6.0053165008481374E-3</v>
      </c>
      <c r="O126" s="24">
        <v>1.476791003070943E-2</v>
      </c>
      <c r="P126" s="24">
        <v>4.8108147134809714E-3</v>
      </c>
      <c r="Q126" s="24">
        <v>7.3981881923108436E-2</v>
      </c>
      <c r="R126" s="24">
        <v>9.9565923168146969E-2</v>
      </c>
      <c r="S126" s="26">
        <v>0</v>
      </c>
      <c r="T126" s="26">
        <v>0</v>
      </c>
      <c r="U126" s="26">
        <v>6.3562331432608424E-4</v>
      </c>
      <c r="V126" s="26">
        <v>5.6666301880277056E-4</v>
      </c>
      <c r="W126" s="26">
        <v>3.3092968580079022E-4</v>
      </c>
      <c r="X126" s="26">
        <v>4.6563256374028167E-2</v>
      </c>
      <c r="Y126" s="26">
        <v>4.8096472392957813E-2</v>
      </c>
      <c r="Z126" s="28">
        <v>0</v>
      </c>
      <c r="AA126" s="28">
        <v>2.3145477658575108E-3</v>
      </c>
      <c r="AB126" s="28">
        <v>1.8627602453956559E-4</v>
      </c>
      <c r="AC126" s="28">
        <v>1.8526786960138981E-4</v>
      </c>
      <c r="AD126" s="28">
        <v>1.4774958548982369E-4</v>
      </c>
      <c r="AE126" s="28">
        <v>5.6999089564318582E-3</v>
      </c>
      <c r="AF126" s="28">
        <v>8.5337502019201487E-3</v>
      </c>
      <c r="AG126" s="30">
        <v>0</v>
      </c>
      <c r="AH126" s="30">
        <v>1.228469691721989E-5</v>
      </c>
      <c r="AI126" s="30">
        <v>4.2562123706851542E-4</v>
      </c>
      <c r="AJ126" s="30">
        <v>4.5008829447350349E-4</v>
      </c>
      <c r="AK126" s="30">
        <v>1.9642680434176919E-4</v>
      </c>
      <c r="AL126" s="30">
        <v>1.9540880521870019E-2</v>
      </c>
      <c r="AM126" s="30">
        <v>2.0625301554671027E-2</v>
      </c>
      <c r="AN126" s="32">
        <v>0</v>
      </c>
      <c r="AO126" s="32">
        <v>8.7500264113198857E-6</v>
      </c>
      <c r="AP126" s="32">
        <v>5.3666667516303246E-7</v>
      </c>
      <c r="AQ126" s="32">
        <v>8.9569829065403236E-7</v>
      </c>
      <c r="AR126" s="32">
        <v>7.9726568261927352E-7</v>
      </c>
      <c r="AS126" s="32">
        <v>1.307285901022128E-5</v>
      </c>
      <c r="AT126" s="32">
        <v>2.4052516069977506E-5</v>
      </c>
      <c r="AU126" s="34">
        <v>0</v>
      </c>
      <c r="AV126" s="34">
        <v>0</v>
      </c>
      <c r="AW126" s="34">
        <v>0.2808344720952432</v>
      </c>
      <c r="AX126" s="34">
        <v>0.21176938097237663</v>
      </c>
      <c r="AY126" s="34">
        <v>0.16806777202980711</v>
      </c>
      <c r="AZ126" s="34">
        <v>0.99769598434383955</v>
      </c>
      <c r="BA126" s="34">
        <v>1.6583676094412665</v>
      </c>
      <c r="BB126" s="6"/>
      <c r="BC126" s="6"/>
      <c r="BD126" t="s">
        <v>664</v>
      </c>
      <c r="BF126" s="5">
        <v>8.8570040000000003E-2</v>
      </c>
      <c r="BG126" s="5">
        <f t="shared" si="5"/>
        <v>-1.0995883168146967E-2</v>
      </c>
      <c r="BH126" s="2">
        <v>227.32026999999999</v>
      </c>
    </row>
    <row r="127" spans="1:60" x14ac:dyDescent="0.2">
      <c r="A127" t="str">
        <f t="shared" si="0"/>
        <v>Scooter, electric, 4-11kW - 2040 - LFP - CH</v>
      </c>
      <c r="B127" t="s">
        <v>344</v>
      </c>
      <c r="D127" s="18">
        <v>2040</v>
      </c>
      <c r="E127" t="s">
        <v>37</v>
      </c>
      <c r="F127" t="s">
        <v>138</v>
      </c>
      <c r="G127" t="s">
        <v>39</v>
      </c>
      <c r="H127" t="s">
        <v>32</v>
      </c>
      <c r="I127" t="s">
        <v>44</v>
      </c>
      <c r="J127" t="s">
        <v>138</v>
      </c>
      <c r="L127" s="24">
        <v>0</v>
      </c>
      <c r="M127" s="24">
        <v>0</v>
      </c>
      <c r="N127" s="24">
        <v>6.0053165008481374E-3</v>
      </c>
      <c r="O127" s="24">
        <v>1.476791003070943E-2</v>
      </c>
      <c r="P127" s="24">
        <v>4.8455777539615523E-3</v>
      </c>
      <c r="Q127" s="24">
        <v>7.4107235038086375E-2</v>
      </c>
      <c r="R127" s="24">
        <v>9.9726039323605492E-2</v>
      </c>
      <c r="S127" s="26">
        <v>0</v>
      </c>
      <c r="T127" s="26">
        <v>0</v>
      </c>
      <c r="U127" s="26">
        <v>6.3562331432608424E-4</v>
      </c>
      <c r="V127" s="26">
        <v>5.6666301880277056E-4</v>
      </c>
      <c r="W127" s="26">
        <v>3.3312628030664302E-4</v>
      </c>
      <c r="X127" s="26">
        <v>4.5783552173533693E-2</v>
      </c>
      <c r="Y127" s="26">
        <v>4.7318964786969189E-2</v>
      </c>
      <c r="Z127" s="28">
        <v>0</v>
      </c>
      <c r="AA127" s="28">
        <v>2.3145477658575108E-3</v>
      </c>
      <c r="AB127" s="28">
        <v>1.8627602453956559E-4</v>
      </c>
      <c r="AC127" s="28">
        <v>1.8526786960138981E-4</v>
      </c>
      <c r="AD127" s="28">
        <v>1.4874808231352181E-4</v>
      </c>
      <c r="AE127" s="28">
        <v>5.6432118889882411E-3</v>
      </c>
      <c r="AF127" s="28">
        <v>8.4780516313002294E-3</v>
      </c>
      <c r="AG127" s="30">
        <v>0</v>
      </c>
      <c r="AH127" s="30">
        <v>1.228469691721989E-5</v>
      </c>
      <c r="AI127" s="30">
        <v>4.2562123706851542E-4</v>
      </c>
      <c r="AJ127" s="30">
        <v>4.5008829447350349E-4</v>
      </c>
      <c r="AK127" s="30">
        <v>1.9735867592509559E-4</v>
      </c>
      <c r="AL127" s="30">
        <v>1.9353588504770501E-2</v>
      </c>
      <c r="AM127" s="30">
        <v>2.0438941409154837E-2</v>
      </c>
      <c r="AN127" s="32">
        <v>0</v>
      </c>
      <c r="AO127" s="32">
        <v>8.7500264113198857E-6</v>
      </c>
      <c r="AP127" s="32">
        <v>5.3666667516303246E-7</v>
      </c>
      <c r="AQ127" s="32">
        <v>8.9569829065403236E-7</v>
      </c>
      <c r="AR127" s="32">
        <v>8.009451902811628E-7</v>
      </c>
      <c r="AS127" s="32">
        <v>1.2911245063590589E-5</v>
      </c>
      <c r="AT127" s="32">
        <v>2.3894581631008705E-5</v>
      </c>
      <c r="AU127" s="34">
        <v>0</v>
      </c>
      <c r="AV127" s="34">
        <v>0</v>
      </c>
      <c r="AW127" s="34">
        <v>0.2808344720952432</v>
      </c>
      <c r="AX127" s="34">
        <v>0.21176938097237663</v>
      </c>
      <c r="AY127" s="34">
        <v>0.16920658658092311</v>
      </c>
      <c r="AZ127" s="34">
        <v>0.99487468077250452</v>
      </c>
      <c r="BA127" s="34">
        <v>1.6566851204210473</v>
      </c>
      <c r="BB127" s="6"/>
      <c r="BC127" s="6"/>
      <c r="BD127" t="s">
        <v>665</v>
      </c>
      <c r="BF127" s="5">
        <v>8.8256354999999995E-2</v>
      </c>
      <c r="BG127" s="5">
        <f t="shared" si="5"/>
        <v>-1.1469684323605497E-2</v>
      </c>
      <c r="BH127" s="2">
        <v>222.82937000000001</v>
      </c>
    </row>
    <row r="128" spans="1:60" x14ac:dyDescent="0.2">
      <c r="A128" t="str">
        <f t="shared" si="0"/>
        <v>Scooter, electric, 4-11kW - 2050 - LFP - CH</v>
      </c>
      <c r="B128" t="s">
        <v>344</v>
      </c>
      <c r="D128" s="18">
        <v>2050</v>
      </c>
      <c r="E128" t="s">
        <v>37</v>
      </c>
      <c r="F128" t="s">
        <v>138</v>
      </c>
      <c r="G128" t="s">
        <v>39</v>
      </c>
      <c r="H128" t="s">
        <v>32</v>
      </c>
      <c r="I128" t="s">
        <v>44</v>
      </c>
      <c r="J128" t="s">
        <v>138</v>
      </c>
      <c r="L128" s="24">
        <v>0</v>
      </c>
      <c r="M128" s="24">
        <v>0</v>
      </c>
      <c r="N128" s="24">
        <v>6.0053165008481374E-3</v>
      </c>
      <c r="O128" s="24">
        <v>1.476791003070943E-2</v>
      </c>
      <c r="P128" s="24">
        <v>4.8339850158877129E-3</v>
      </c>
      <c r="Q128" s="24">
        <v>6.7916981923175565E-2</v>
      </c>
      <c r="R128" s="24">
        <v>9.3524193470620853E-2</v>
      </c>
      <c r="S128" s="26">
        <v>0</v>
      </c>
      <c r="T128" s="26">
        <v>0</v>
      </c>
      <c r="U128" s="26">
        <v>6.3562331432608424E-4</v>
      </c>
      <c r="V128" s="26">
        <v>5.6666301880277056E-4</v>
      </c>
      <c r="W128" s="26">
        <v>3.3239376254039612E-4</v>
      </c>
      <c r="X128" s="26">
        <v>4.079598865565106E-2</v>
      </c>
      <c r="Y128" s="26">
        <v>4.2330668751320313E-2</v>
      </c>
      <c r="Z128" s="28">
        <v>0</v>
      </c>
      <c r="AA128" s="28">
        <v>2.3145477658575108E-3</v>
      </c>
      <c r="AB128" s="28">
        <v>1.8627602453956559E-4</v>
      </c>
      <c r="AC128" s="28">
        <v>1.8526786960138981E-4</v>
      </c>
      <c r="AD128" s="28">
        <v>1.484151047607914E-4</v>
      </c>
      <c r="AE128" s="28">
        <v>4.9713655173559456E-3</v>
      </c>
      <c r="AF128" s="28">
        <v>7.8058722821152029E-3</v>
      </c>
      <c r="AG128" s="30">
        <v>0</v>
      </c>
      <c r="AH128" s="30">
        <v>1.228469691721989E-5</v>
      </c>
      <c r="AI128" s="30">
        <v>4.2562123706851542E-4</v>
      </c>
      <c r="AJ128" s="30">
        <v>4.5008829447350349E-4</v>
      </c>
      <c r="AK128" s="30">
        <v>1.970479164795865E-4</v>
      </c>
      <c r="AL128" s="30">
        <v>1.7215818727816589E-2</v>
      </c>
      <c r="AM128" s="30">
        <v>1.8300860872755415E-2</v>
      </c>
      <c r="AN128" s="32">
        <v>0</v>
      </c>
      <c r="AO128" s="32">
        <v>8.7500264113198857E-6</v>
      </c>
      <c r="AP128" s="32">
        <v>5.3666667516303246E-7</v>
      </c>
      <c r="AQ128" s="32">
        <v>8.9569829065403236E-7</v>
      </c>
      <c r="AR128" s="32">
        <v>7.9971815237034508E-7</v>
      </c>
      <c r="AS128" s="32">
        <v>1.1720410589530591E-5</v>
      </c>
      <c r="AT128" s="32">
        <v>2.2702520119037887E-5</v>
      </c>
      <c r="AU128" s="34">
        <v>0</v>
      </c>
      <c r="AV128" s="34">
        <v>0</v>
      </c>
      <c r="AW128" s="34">
        <v>0.2808344720952432</v>
      </c>
      <c r="AX128" s="34">
        <v>0.21176938097237663</v>
      </c>
      <c r="AY128" s="34">
        <v>0.16882681603659636</v>
      </c>
      <c r="AZ128" s="34">
        <v>0.9066855887612052</v>
      </c>
      <c r="BA128" s="34">
        <v>1.5681162578654213</v>
      </c>
      <c r="BB128" s="6"/>
      <c r="BC128" s="6"/>
      <c r="BD128" t="s">
        <v>666</v>
      </c>
      <c r="BF128" s="5">
        <v>8.3188095000000004E-2</v>
      </c>
      <c r="BG128" s="5">
        <f t="shared" si="5"/>
        <v>-1.033609847062085E-2</v>
      </c>
      <c r="BH128" s="2">
        <v>197.69712999999999</v>
      </c>
    </row>
    <row r="129" spans="1:60" x14ac:dyDescent="0.2">
      <c r="A129" t="str">
        <f t="shared" si="0"/>
        <v>Scooter, electric, &lt;4kW - 2020 - NCA - CH</v>
      </c>
      <c r="B129" t="s">
        <v>383</v>
      </c>
      <c r="D129" s="18">
        <v>2020</v>
      </c>
      <c r="E129" t="s">
        <v>37</v>
      </c>
      <c r="F129" t="s">
        <v>138</v>
      </c>
      <c r="G129" t="s">
        <v>39</v>
      </c>
      <c r="H129" t="s">
        <v>32</v>
      </c>
      <c r="I129" t="s">
        <v>45</v>
      </c>
      <c r="J129" t="s">
        <v>138</v>
      </c>
      <c r="L129" s="24">
        <v>0</v>
      </c>
      <c r="M129" s="24">
        <v>0</v>
      </c>
      <c r="N129" s="24">
        <v>4.230531998315014E-3</v>
      </c>
      <c r="O129" s="24">
        <v>1.2306591692257861E-2</v>
      </c>
      <c r="P129" s="24">
        <v>4.4911191657352797E-3</v>
      </c>
      <c r="Q129" s="24">
        <v>4.2067832680995308E-2</v>
      </c>
      <c r="R129" s="24">
        <v>6.3096075537303453E-2</v>
      </c>
      <c r="S129" s="26">
        <v>0</v>
      </c>
      <c r="T129" s="26">
        <v>0</v>
      </c>
      <c r="U129" s="26">
        <v>4.4777402985367499E-4</v>
      </c>
      <c r="V129" s="26">
        <v>4.722191823356421E-4</v>
      </c>
      <c r="W129" s="26">
        <v>3.1072887844862479E-4</v>
      </c>
      <c r="X129" s="26">
        <v>2.890499184582182E-2</v>
      </c>
      <c r="Y129" s="26">
        <v>3.0135713936459762E-2</v>
      </c>
      <c r="Z129" s="28">
        <v>0</v>
      </c>
      <c r="AA129" s="28">
        <v>2.3145477658575108E-3</v>
      </c>
      <c r="AB129" s="28">
        <v>1.3122483756222481E-4</v>
      </c>
      <c r="AC129" s="28">
        <v>1.5438989133449149E-4</v>
      </c>
      <c r="AD129" s="28">
        <v>1.385669885546453E-4</v>
      </c>
      <c r="AE129" s="28">
        <v>3.0756748545306672E-3</v>
      </c>
      <c r="AF129" s="28">
        <v>5.8144043378395398E-3</v>
      </c>
      <c r="AG129" s="30">
        <v>0</v>
      </c>
      <c r="AH129" s="30">
        <v>1.228469691721989E-5</v>
      </c>
      <c r="AI129" s="30">
        <v>2.9983503156352759E-4</v>
      </c>
      <c r="AJ129" s="30">
        <v>3.7507357872791961E-4</v>
      </c>
      <c r="AK129" s="30">
        <v>1.8785692115141391E-4</v>
      </c>
      <c r="AL129" s="30">
        <v>1.057436942931865E-2</v>
      </c>
      <c r="AM129" s="30">
        <v>1.1449419657678732E-2</v>
      </c>
      <c r="AN129" s="32">
        <v>0</v>
      </c>
      <c r="AO129" s="32">
        <v>8.7500264113198857E-6</v>
      </c>
      <c r="AP129" s="32">
        <v>3.7806259526635928E-7</v>
      </c>
      <c r="AQ129" s="32">
        <v>7.4641524221169363E-7</v>
      </c>
      <c r="AR129" s="32">
        <v>7.6342738190851566E-7</v>
      </c>
      <c r="AS129" s="32">
        <v>9.2605720671351224E-6</v>
      </c>
      <c r="AT129" s="32">
        <v>1.9898503697841576E-5</v>
      </c>
      <c r="AU129" s="34">
        <v>0</v>
      </c>
      <c r="AV129" s="34">
        <v>0</v>
      </c>
      <c r="AW129" s="34">
        <v>0.19783790250872499</v>
      </c>
      <c r="AX129" s="34">
        <v>0.17647448414364728</v>
      </c>
      <c r="AY129" s="34">
        <v>0.15759475423082736</v>
      </c>
      <c r="AZ129" s="34">
        <v>0.58399158915226546</v>
      </c>
      <c r="BA129" s="34">
        <v>1.115898730035465</v>
      </c>
      <c r="BB129" s="6"/>
      <c r="BC129" s="6"/>
      <c r="BD129" t="s">
        <v>916</v>
      </c>
      <c r="BF129" s="5">
        <v>6.1868040999999999E-2</v>
      </c>
      <c r="BG129" s="5">
        <f t="shared" si="5"/>
        <v>-1.2280345373034546E-3</v>
      </c>
      <c r="BH129" s="2">
        <v>143.05759</v>
      </c>
    </row>
    <row r="130" spans="1:60" x14ac:dyDescent="0.2">
      <c r="A130" t="str">
        <f t="shared" si="0"/>
        <v>Scooter, electric, &lt;4kW - 2030 - NCA - CH</v>
      </c>
      <c r="B130" t="s">
        <v>383</v>
      </c>
      <c r="D130" s="18">
        <v>2030</v>
      </c>
      <c r="E130" t="s">
        <v>37</v>
      </c>
      <c r="F130" t="s">
        <v>138</v>
      </c>
      <c r="G130" t="s">
        <v>39</v>
      </c>
      <c r="H130" t="s">
        <v>32</v>
      </c>
      <c r="I130" t="s">
        <v>45</v>
      </c>
      <c r="J130" t="s">
        <v>138</v>
      </c>
      <c r="L130" s="24">
        <v>0</v>
      </c>
      <c r="M130" s="24">
        <v>0</v>
      </c>
      <c r="N130" s="24">
        <v>4.230531998315014E-3</v>
      </c>
      <c r="O130" s="24">
        <v>1.2306591692257861E-2</v>
      </c>
      <c r="P130" s="24">
        <v>4.5008758811560627E-3</v>
      </c>
      <c r="Q130" s="24">
        <v>4.5495821079306192E-2</v>
      </c>
      <c r="R130" s="24">
        <v>6.6533820651035136E-2</v>
      </c>
      <c r="S130" s="26">
        <v>0</v>
      </c>
      <c r="T130" s="26">
        <v>0</v>
      </c>
      <c r="U130" s="26">
        <v>4.4777402985367499E-4</v>
      </c>
      <c r="V130" s="26">
        <v>4.722191823356421E-4</v>
      </c>
      <c r="W130" s="26">
        <v>3.1134538227545303E-4</v>
      </c>
      <c r="X130" s="26">
        <v>2.9513116638452842E-2</v>
      </c>
      <c r="Y130" s="26">
        <v>3.0744455232917613E-2</v>
      </c>
      <c r="Z130" s="28">
        <v>0</v>
      </c>
      <c r="AA130" s="28">
        <v>2.3145477658575108E-3</v>
      </c>
      <c r="AB130" s="28">
        <v>1.3122483756222481E-4</v>
      </c>
      <c r="AC130" s="28">
        <v>1.5438989133449149E-4</v>
      </c>
      <c r="AD130" s="28">
        <v>1.3884723013371031E-4</v>
      </c>
      <c r="AE130" s="28">
        <v>3.2716111773970899E-3</v>
      </c>
      <c r="AF130" s="28">
        <v>6.0106209022850274E-3</v>
      </c>
      <c r="AG130" s="30">
        <v>0</v>
      </c>
      <c r="AH130" s="30">
        <v>1.228469691721989E-5</v>
      </c>
      <c r="AI130" s="30">
        <v>2.9983503156352759E-4</v>
      </c>
      <c r="AJ130" s="30">
        <v>3.7507357872791961E-4</v>
      </c>
      <c r="AK130" s="30">
        <v>1.881184634596107E-4</v>
      </c>
      <c r="AL130" s="30">
        <v>1.1217438942524969E-2</v>
      </c>
      <c r="AM130" s="30">
        <v>1.2092750713193247E-2</v>
      </c>
      <c r="AN130" s="32">
        <v>0</v>
      </c>
      <c r="AO130" s="32">
        <v>8.7500264113198857E-6</v>
      </c>
      <c r="AP130" s="32">
        <v>3.7806259526635928E-7</v>
      </c>
      <c r="AQ130" s="32">
        <v>7.4641524221169363E-7</v>
      </c>
      <c r="AR130" s="32">
        <v>7.6446008528110175E-7</v>
      </c>
      <c r="AS130" s="32">
        <v>9.4255156339449068E-6</v>
      </c>
      <c r="AT130" s="32">
        <v>2.0064479968023947E-5</v>
      </c>
      <c r="AU130" s="34">
        <v>0</v>
      </c>
      <c r="AV130" s="34">
        <v>0</v>
      </c>
      <c r="AW130" s="34">
        <v>0.19783790250872499</v>
      </c>
      <c r="AX130" s="34">
        <v>0.17647448414364728</v>
      </c>
      <c r="AY130" s="34">
        <v>0.15791437786957357</v>
      </c>
      <c r="AZ130" s="34">
        <v>0.62073382495256313</v>
      </c>
      <c r="BA130" s="34">
        <v>1.152960589474509</v>
      </c>
      <c r="BB130" s="6"/>
      <c r="BC130" s="6"/>
      <c r="BD130" t="s">
        <v>667</v>
      </c>
      <c r="BF130" s="5">
        <v>6.3372790999999998E-2</v>
      </c>
      <c r="BG130" s="5">
        <f t="shared" si="5"/>
        <v>-3.1610296510351382E-3</v>
      </c>
      <c r="BH130" s="2">
        <v>143.99825999999999</v>
      </c>
    </row>
    <row r="131" spans="1:60" x14ac:dyDescent="0.2">
      <c r="A131" t="str">
        <f t="shared" si="0"/>
        <v>Scooter, electric, &lt;4kW - 2040 - NCA - CH</v>
      </c>
      <c r="B131" t="s">
        <v>383</v>
      </c>
      <c r="D131" s="18">
        <v>2040</v>
      </c>
      <c r="E131" t="s">
        <v>37</v>
      </c>
      <c r="F131" t="s">
        <v>138</v>
      </c>
      <c r="G131" t="s">
        <v>39</v>
      </c>
      <c r="H131" t="s">
        <v>32</v>
      </c>
      <c r="I131" t="s">
        <v>45</v>
      </c>
      <c r="J131" t="s">
        <v>138</v>
      </c>
      <c r="L131" s="24">
        <v>0</v>
      </c>
      <c r="M131" s="24">
        <v>0</v>
      </c>
      <c r="N131" s="24">
        <v>4.230531998315014E-3</v>
      </c>
      <c r="O131" s="24">
        <v>1.2306591692257861E-2</v>
      </c>
      <c r="P131" s="24">
        <v>4.5011338347519464E-3</v>
      </c>
      <c r="Q131" s="24">
        <v>4.6496785035868689E-2</v>
      </c>
      <c r="R131" s="24">
        <v>6.7535042561193512E-2</v>
      </c>
      <c r="S131" s="26">
        <v>0</v>
      </c>
      <c r="T131" s="26">
        <v>0</v>
      </c>
      <c r="U131" s="26">
        <v>4.4777402985367499E-4</v>
      </c>
      <c r="V131" s="26">
        <v>4.722191823356421E-4</v>
      </c>
      <c r="W131" s="26">
        <v>3.1136168175454492E-4</v>
      </c>
      <c r="X131" s="26">
        <v>2.87154632079984E-2</v>
      </c>
      <c r="Y131" s="26">
        <v>2.994681810194226E-2</v>
      </c>
      <c r="Z131" s="28">
        <v>0</v>
      </c>
      <c r="AA131" s="28">
        <v>2.3145477658575108E-3</v>
      </c>
      <c r="AB131" s="28">
        <v>1.3122483756222481E-4</v>
      </c>
      <c r="AC131" s="28">
        <v>1.5438989133449149E-4</v>
      </c>
      <c r="AD131" s="28">
        <v>1.3885463932009301E-4</v>
      </c>
      <c r="AE131" s="28">
        <v>3.2525027115432822E-3</v>
      </c>
      <c r="AF131" s="28">
        <v>5.9915198456176027E-3</v>
      </c>
      <c r="AG131" s="30">
        <v>0</v>
      </c>
      <c r="AH131" s="30">
        <v>1.228469691721989E-5</v>
      </c>
      <c r="AI131" s="30">
        <v>2.9983503156352759E-4</v>
      </c>
      <c r="AJ131" s="30">
        <v>3.7507357872791961E-4</v>
      </c>
      <c r="AK131" s="30">
        <v>1.881253782640265E-4</v>
      </c>
      <c r="AL131" s="30">
        <v>1.1195578197507749E-2</v>
      </c>
      <c r="AM131" s="30">
        <v>1.2070896882980443E-2</v>
      </c>
      <c r="AN131" s="32">
        <v>0</v>
      </c>
      <c r="AO131" s="32">
        <v>8.7500264113198857E-6</v>
      </c>
      <c r="AP131" s="32">
        <v>3.7806259526635928E-7</v>
      </c>
      <c r="AQ131" s="32">
        <v>7.4641524221169363E-7</v>
      </c>
      <c r="AR131" s="32">
        <v>7.6448738848068806E-7</v>
      </c>
      <c r="AS131" s="32">
        <v>9.23007031857047E-6</v>
      </c>
      <c r="AT131" s="32">
        <v>1.9869061955849097E-5</v>
      </c>
      <c r="AU131" s="34">
        <v>0</v>
      </c>
      <c r="AV131" s="34">
        <v>0</v>
      </c>
      <c r="AW131" s="34">
        <v>0.19783790250872499</v>
      </c>
      <c r="AX131" s="34">
        <v>0.17647448414364728</v>
      </c>
      <c r="AY131" s="34">
        <v>0.15792282826126669</v>
      </c>
      <c r="AZ131" s="34">
        <v>0.62688066156164945</v>
      </c>
      <c r="BA131" s="34">
        <v>1.1591158764752882</v>
      </c>
      <c r="BB131" s="6"/>
      <c r="BC131" s="6"/>
      <c r="BD131" t="s">
        <v>668</v>
      </c>
      <c r="BF131" s="5">
        <v>6.3318459999999993E-2</v>
      </c>
      <c r="BG131" s="5">
        <f t="shared" si="5"/>
        <v>-4.2165825611935187E-3</v>
      </c>
      <c r="BH131" s="2">
        <v>139.20174</v>
      </c>
    </row>
    <row r="132" spans="1:60" x14ac:dyDescent="0.2">
      <c r="A132" t="str">
        <f t="shared" si="0"/>
        <v>Scooter, electric, &lt;4kW - 2050 - NCA - CH</v>
      </c>
      <c r="B132" t="s">
        <v>383</v>
      </c>
      <c r="D132" s="18">
        <v>2050</v>
      </c>
      <c r="E132" t="s">
        <v>37</v>
      </c>
      <c r="F132" t="s">
        <v>138</v>
      </c>
      <c r="G132" t="s">
        <v>39</v>
      </c>
      <c r="H132" t="s">
        <v>32</v>
      </c>
      <c r="I132" t="s">
        <v>45</v>
      </c>
      <c r="J132" t="s">
        <v>138</v>
      </c>
      <c r="L132" s="24">
        <v>0</v>
      </c>
      <c r="M132" s="24">
        <v>0</v>
      </c>
      <c r="N132" s="24">
        <v>4.230531998315014E-3</v>
      </c>
      <c r="O132" s="24">
        <v>1.2306591692257861E-2</v>
      </c>
      <c r="P132" s="24">
        <v>4.5033643746692949E-3</v>
      </c>
      <c r="Q132" s="24">
        <v>4.7333398713695199E-2</v>
      </c>
      <c r="R132" s="24">
        <v>6.8373886778937368E-2</v>
      </c>
      <c r="S132" s="26">
        <v>0</v>
      </c>
      <c r="T132" s="26">
        <v>0</v>
      </c>
      <c r="U132" s="26">
        <v>4.4777402985367499E-4</v>
      </c>
      <c r="V132" s="26">
        <v>4.722191823356421E-4</v>
      </c>
      <c r="W132" s="26">
        <v>3.1150262430904518E-4</v>
      </c>
      <c r="X132" s="26">
        <v>2.775754068532503E-2</v>
      </c>
      <c r="Y132" s="26">
        <v>2.8989036521823393E-2</v>
      </c>
      <c r="Z132" s="28">
        <v>0</v>
      </c>
      <c r="AA132" s="28">
        <v>2.3145477658575108E-3</v>
      </c>
      <c r="AB132" s="28">
        <v>1.3122483756222481E-4</v>
      </c>
      <c r="AC132" s="28">
        <v>1.5438989133449149E-4</v>
      </c>
      <c r="AD132" s="28">
        <v>1.3891870699057909E-4</v>
      </c>
      <c r="AE132" s="28">
        <v>3.213911966207217E-3</v>
      </c>
      <c r="AF132" s="28">
        <v>5.9529931679520231E-3</v>
      </c>
      <c r="AG132" s="30">
        <v>0</v>
      </c>
      <c r="AH132" s="30">
        <v>1.228469691721989E-5</v>
      </c>
      <c r="AI132" s="30">
        <v>2.9983503156352759E-4</v>
      </c>
      <c r="AJ132" s="30">
        <v>3.7507357872791961E-4</v>
      </c>
      <c r="AK132" s="30">
        <v>1.8818517098456291E-4</v>
      </c>
      <c r="AL132" s="30">
        <v>1.11136847866592E-2</v>
      </c>
      <c r="AM132" s="30">
        <v>1.1989063264852429E-2</v>
      </c>
      <c r="AN132" s="32">
        <v>0</v>
      </c>
      <c r="AO132" s="32">
        <v>8.7500264113198857E-6</v>
      </c>
      <c r="AP132" s="32">
        <v>3.7806259526635928E-7</v>
      </c>
      <c r="AQ132" s="32">
        <v>7.4641524221169363E-7</v>
      </c>
      <c r="AR132" s="32">
        <v>7.6472348085358094E-7</v>
      </c>
      <c r="AS132" s="32">
        <v>8.9956887377129758E-6</v>
      </c>
      <c r="AT132" s="32">
        <v>1.9634916467364497E-5</v>
      </c>
      <c r="AU132" s="34">
        <v>0</v>
      </c>
      <c r="AV132" s="34">
        <v>0</v>
      </c>
      <c r="AW132" s="34">
        <v>0.19783790250872499</v>
      </c>
      <c r="AX132" s="34">
        <v>0.17647448414364728</v>
      </c>
      <c r="AY132" s="34">
        <v>0.1579958992953191</v>
      </c>
      <c r="AZ132" s="34">
        <v>0.63068386497758033</v>
      </c>
      <c r="BA132" s="34">
        <v>1.1629921509252716</v>
      </c>
      <c r="BB132" s="6"/>
      <c r="BC132" s="6"/>
      <c r="BD132" t="s">
        <v>669</v>
      </c>
      <c r="BF132" s="5">
        <v>6.3140966999999992E-2</v>
      </c>
      <c r="BG132" s="5">
        <f t="shared" ref="BG132:BG195" si="6">BF132-R132</f>
        <v>-5.2329197789373755E-3</v>
      </c>
      <c r="BH132" s="2">
        <v>133.73525000000001</v>
      </c>
    </row>
    <row r="133" spans="1:60" x14ac:dyDescent="0.2">
      <c r="A133" t="str">
        <f t="shared" si="0"/>
        <v>Scooter, electric, 4-11kW - 2020 - NCA - CH</v>
      </c>
      <c r="B133" t="s">
        <v>344</v>
      </c>
      <c r="D133" s="18">
        <v>2020</v>
      </c>
      <c r="E133" t="s">
        <v>37</v>
      </c>
      <c r="F133" t="s">
        <v>138</v>
      </c>
      <c r="G133" t="s">
        <v>39</v>
      </c>
      <c r="H133" t="s">
        <v>32</v>
      </c>
      <c r="I133" t="s">
        <v>45</v>
      </c>
      <c r="J133" t="s">
        <v>138</v>
      </c>
      <c r="L133" s="24">
        <v>0</v>
      </c>
      <c r="M133" s="24">
        <v>0</v>
      </c>
      <c r="N133" s="24">
        <v>6.0053165008481374E-3</v>
      </c>
      <c r="O133" s="24">
        <v>1.2306591692257861E-2</v>
      </c>
      <c r="P133" s="24">
        <v>4.6260994872642687E-3</v>
      </c>
      <c r="Q133" s="24">
        <v>4.8500633497616373E-2</v>
      </c>
      <c r="R133" s="24">
        <v>7.1438641177986636E-2</v>
      </c>
      <c r="S133" s="26">
        <v>0</v>
      </c>
      <c r="T133" s="26">
        <v>0</v>
      </c>
      <c r="U133" s="26">
        <v>6.3562331432608424E-4</v>
      </c>
      <c r="V133" s="26">
        <v>4.722191823356421E-4</v>
      </c>
      <c r="W133" s="26">
        <v>3.1925796648493829E-4</v>
      </c>
      <c r="X133" s="26">
        <v>3.5206377035720091E-2</v>
      </c>
      <c r="Y133" s="26">
        <v>3.6633477498866758E-2</v>
      </c>
      <c r="Z133" s="28">
        <v>0</v>
      </c>
      <c r="AA133" s="28">
        <v>2.3145477658575108E-3</v>
      </c>
      <c r="AB133" s="28">
        <v>1.8627602453956559E-4</v>
      </c>
      <c r="AC133" s="28">
        <v>1.5438989133449149E-4</v>
      </c>
      <c r="AD133" s="28">
        <v>1.4244402061067959E-4</v>
      </c>
      <c r="AE133" s="28">
        <v>3.631083766850464E-3</v>
      </c>
      <c r="AF133" s="28">
        <v>6.4287414691927116E-3</v>
      </c>
      <c r="AG133" s="30">
        <v>0</v>
      </c>
      <c r="AH133" s="30">
        <v>1.228469691721989E-5</v>
      </c>
      <c r="AI133" s="30">
        <v>4.2562123706851542E-4</v>
      </c>
      <c r="AJ133" s="30">
        <v>3.7507357872791961E-4</v>
      </c>
      <c r="AK133" s="30">
        <v>1.9147525614749661E-4</v>
      </c>
      <c r="AL133" s="30">
        <v>1.264915985634904E-2</v>
      </c>
      <c r="AM133" s="30">
        <v>1.3653614625210192E-2</v>
      </c>
      <c r="AN133" s="32">
        <v>0</v>
      </c>
      <c r="AO133" s="32">
        <v>8.7500264113198857E-6</v>
      </c>
      <c r="AP133" s="32">
        <v>5.3666667516303246E-7</v>
      </c>
      <c r="AQ133" s="32">
        <v>7.4641524221169363E-7</v>
      </c>
      <c r="AR133" s="32">
        <v>7.7771442701170876E-7</v>
      </c>
      <c r="AS133" s="32">
        <v>1.043451488642511E-5</v>
      </c>
      <c r="AT133" s="32">
        <v>2.1245337642131431E-5</v>
      </c>
      <c r="AU133" s="34">
        <v>0</v>
      </c>
      <c r="AV133" s="34">
        <v>0</v>
      </c>
      <c r="AW133" s="34">
        <v>0.2808344720952432</v>
      </c>
      <c r="AX133" s="34">
        <v>0.17647448414364728</v>
      </c>
      <c r="AY133" s="34">
        <v>0.16201662159761857</v>
      </c>
      <c r="AZ133" s="34">
        <v>0.67285580523277222</v>
      </c>
      <c r="BA133" s="34">
        <v>1.2921813830692812</v>
      </c>
      <c r="BB133" s="6"/>
      <c r="BC133" s="6"/>
      <c r="BD133" t="s">
        <v>917</v>
      </c>
      <c r="BF133" s="5">
        <v>6.9419079000000009E-2</v>
      </c>
      <c r="BG133" s="5">
        <f t="shared" si="6"/>
        <v>-2.019562177986628E-3</v>
      </c>
      <c r="BH133" s="2">
        <v>164.95419000000001</v>
      </c>
    </row>
    <row r="134" spans="1:60" x14ac:dyDescent="0.2">
      <c r="A134" t="str">
        <f t="shared" si="0"/>
        <v>Scooter, electric, 4-11kW - 2030 - NCA - CH</v>
      </c>
      <c r="B134" t="s">
        <v>344</v>
      </c>
      <c r="D134" s="18">
        <v>2030</v>
      </c>
      <c r="E134" t="s">
        <v>37</v>
      </c>
      <c r="F134" t="s">
        <v>138</v>
      </c>
      <c r="G134" t="s">
        <v>39</v>
      </c>
      <c r="H134" t="s">
        <v>32</v>
      </c>
      <c r="I134" t="s">
        <v>45</v>
      </c>
      <c r="J134" t="s">
        <v>138</v>
      </c>
      <c r="L134" s="24">
        <v>0</v>
      </c>
      <c r="M134" s="24">
        <v>0</v>
      </c>
      <c r="N134" s="24">
        <v>6.0053165008481374E-3</v>
      </c>
      <c r="O134" s="24">
        <v>1.2306591692257861E-2</v>
      </c>
      <c r="P134" s="24">
        <v>4.642158582995738E-3</v>
      </c>
      <c r="Q134" s="24">
        <v>5.1259756590025407E-2</v>
      </c>
      <c r="R134" s="24">
        <v>7.4213823366127141E-2</v>
      </c>
      <c r="S134" s="26">
        <v>0</v>
      </c>
      <c r="T134" s="26">
        <v>0</v>
      </c>
      <c r="U134" s="26">
        <v>6.3562331432608424E-4</v>
      </c>
      <c r="V134" s="26">
        <v>4.722191823356421E-4</v>
      </c>
      <c r="W134" s="26">
        <v>3.2027270285336419E-4</v>
      </c>
      <c r="X134" s="26">
        <v>3.5608811182970761E-2</v>
      </c>
      <c r="Y134" s="26">
        <v>3.7036926382485853E-2</v>
      </c>
      <c r="Z134" s="28">
        <v>0</v>
      </c>
      <c r="AA134" s="28">
        <v>2.3145477658575108E-3</v>
      </c>
      <c r="AB134" s="28">
        <v>1.8627602453956559E-4</v>
      </c>
      <c r="AC134" s="28">
        <v>1.5438989133449149E-4</v>
      </c>
      <c r="AD134" s="28">
        <v>1.429052850989885E-4</v>
      </c>
      <c r="AE134" s="28">
        <v>3.782335538154023E-3</v>
      </c>
      <c r="AF134" s="28">
        <v>6.5804545049845797E-3</v>
      </c>
      <c r="AG134" s="30">
        <v>0</v>
      </c>
      <c r="AH134" s="30">
        <v>1.228469691721989E-5</v>
      </c>
      <c r="AI134" s="30">
        <v>4.2562123706851542E-4</v>
      </c>
      <c r="AJ134" s="30">
        <v>3.7507357872791961E-4</v>
      </c>
      <c r="AK134" s="30">
        <v>1.919057425134528E-4</v>
      </c>
      <c r="AL134" s="30">
        <v>1.314595819128847E-2</v>
      </c>
      <c r="AM134" s="30">
        <v>1.4150843446515578E-2</v>
      </c>
      <c r="AN134" s="32">
        <v>0</v>
      </c>
      <c r="AO134" s="32">
        <v>8.7500264113198857E-6</v>
      </c>
      <c r="AP134" s="32">
        <v>5.3666667516303246E-7</v>
      </c>
      <c r="AQ134" s="32">
        <v>7.4641524221169363E-7</v>
      </c>
      <c r="AR134" s="32">
        <v>7.7941420830155207E-7</v>
      </c>
      <c r="AS134" s="32">
        <v>1.0549080757754361E-5</v>
      </c>
      <c r="AT134" s="32">
        <v>2.1361603294750525E-5</v>
      </c>
      <c r="AU134" s="34">
        <v>0</v>
      </c>
      <c r="AV134" s="34">
        <v>0</v>
      </c>
      <c r="AW134" s="34">
        <v>0.2808344720952432</v>
      </c>
      <c r="AX134" s="34">
        <v>0.17647448414364728</v>
      </c>
      <c r="AY134" s="34">
        <v>0.16254270710808991</v>
      </c>
      <c r="AZ134" s="34">
        <v>0.70209004055520208</v>
      </c>
      <c r="BA134" s="34">
        <v>1.3219417039021826</v>
      </c>
      <c r="BB134" s="6"/>
      <c r="BC134" s="6"/>
      <c r="BD134" t="s">
        <v>670</v>
      </c>
      <c r="BF134" s="5">
        <v>7.0611529000000006E-2</v>
      </c>
      <c r="BG134" s="5">
        <f t="shared" si="6"/>
        <v>-3.6022943661271345E-3</v>
      </c>
      <c r="BH134" s="2">
        <v>165.31905</v>
      </c>
    </row>
    <row r="135" spans="1:60" x14ac:dyDescent="0.2">
      <c r="A135" t="str">
        <f t="shared" si="0"/>
        <v>Scooter, electric, 4-11kW - 2040 - NCA - CH</v>
      </c>
      <c r="B135" t="s">
        <v>344</v>
      </c>
      <c r="D135" s="18">
        <v>2040</v>
      </c>
      <c r="E135" t="s">
        <v>37</v>
      </c>
      <c r="F135" t="s">
        <v>138</v>
      </c>
      <c r="G135" t="s">
        <v>39</v>
      </c>
      <c r="H135" t="s">
        <v>32</v>
      </c>
      <c r="I135" t="s">
        <v>45</v>
      </c>
      <c r="J135" t="s">
        <v>138</v>
      </c>
      <c r="L135" s="24">
        <v>0</v>
      </c>
      <c r="M135" s="24">
        <v>0</v>
      </c>
      <c r="N135" s="24">
        <v>6.0053165008481374E-3</v>
      </c>
      <c r="O135" s="24">
        <v>1.2306591692257861E-2</v>
      </c>
      <c r="P135" s="24">
        <v>4.6433876560114202E-3</v>
      </c>
      <c r="Q135" s="24">
        <v>5.153181573813944E-2</v>
      </c>
      <c r="R135" s="24">
        <v>7.4487111587256863E-2</v>
      </c>
      <c r="S135" s="26">
        <v>0</v>
      </c>
      <c r="T135" s="26">
        <v>0</v>
      </c>
      <c r="U135" s="26">
        <v>6.3562331432608424E-4</v>
      </c>
      <c r="V135" s="26">
        <v>4.722191823356421E-4</v>
      </c>
      <c r="W135" s="26">
        <v>3.2035036507727262E-4</v>
      </c>
      <c r="X135" s="26">
        <v>3.4409573810130593E-2</v>
      </c>
      <c r="Y135" s="26">
        <v>3.5837766671869595E-2</v>
      </c>
      <c r="Z135" s="28">
        <v>0</v>
      </c>
      <c r="AA135" s="28">
        <v>2.3145477658575108E-3</v>
      </c>
      <c r="AB135" s="28">
        <v>1.8627602453956559E-4</v>
      </c>
      <c r="AC135" s="28">
        <v>1.5438989133449149E-4</v>
      </c>
      <c r="AD135" s="28">
        <v>1.4294058769292981E-4</v>
      </c>
      <c r="AE135" s="28">
        <v>3.7004773689658832E-3</v>
      </c>
      <c r="AF135" s="28">
        <v>6.4986316383903809E-3</v>
      </c>
      <c r="AG135" s="30">
        <v>0</v>
      </c>
      <c r="AH135" s="30">
        <v>1.228469691721989E-5</v>
      </c>
      <c r="AI135" s="30">
        <v>4.2562123706851542E-4</v>
      </c>
      <c r="AJ135" s="30">
        <v>3.7507357872791961E-4</v>
      </c>
      <c r="AK135" s="30">
        <v>1.9193868952272801E-4</v>
      </c>
      <c r="AL135" s="30">
        <v>1.2927539832472129E-2</v>
      </c>
      <c r="AM135" s="30">
        <v>1.3932458034708512E-2</v>
      </c>
      <c r="AN135" s="32">
        <v>0</v>
      </c>
      <c r="AO135" s="32">
        <v>8.7500264113198857E-6</v>
      </c>
      <c r="AP135" s="32">
        <v>5.3666667516303246E-7</v>
      </c>
      <c r="AQ135" s="32">
        <v>7.4641524221169363E-7</v>
      </c>
      <c r="AR135" s="32">
        <v>7.7954430001722768E-7</v>
      </c>
      <c r="AS135" s="32">
        <v>1.025274285720682E-5</v>
      </c>
      <c r="AT135" s="32">
        <v>2.1065395485918661E-5</v>
      </c>
      <c r="AU135" s="34">
        <v>0</v>
      </c>
      <c r="AV135" s="34">
        <v>0</v>
      </c>
      <c r="AW135" s="34">
        <v>0.2808344720952432</v>
      </c>
      <c r="AX135" s="34">
        <v>0.17647448414364728</v>
      </c>
      <c r="AY135" s="34">
        <v>0.16258297073909836</v>
      </c>
      <c r="AZ135" s="34">
        <v>0.69918835256783307</v>
      </c>
      <c r="BA135" s="34">
        <v>1.3190802795458219</v>
      </c>
      <c r="BB135" s="6"/>
      <c r="BC135" s="6"/>
      <c r="BD135" t="s">
        <v>671</v>
      </c>
      <c r="BF135" s="5">
        <v>7.0113233999999997E-2</v>
      </c>
      <c r="BG135" s="5">
        <f t="shared" si="6"/>
        <v>-4.3738775872568664E-3</v>
      </c>
      <c r="BH135" s="2">
        <v>158.9487</v>
      </c>
    </row>
    <row r="136" spans="1:60" x14ac:dyDescent="0.2">
      <c r="A136" t="str">
        <f t="shared" si="0"/>
        <v>Scooter, electric, 4-11kW - 2050 - NCA - CH</v>
      </c>
      <c r="B136" t="s">
        <v>344</v>
      </c>
      <c r="D136" s="18">
        <v>2050</v>
      </c>
      <c r="E136" t="s">
        <v>37</v>
      </c>
      <c r="F136" t="s">
        <v>138</v>
      </c>
      <c r="G136" t="s">
        <v>39</v>
      </c>
      <c r="H136" t="s">
        <v>32</v>
      </c>
      <c r="I136" t="s">
        <v>45</v>
      </c>
      <c r="J136" t="s">
        <v>138</v>
      </c>
      <c r="L136" s="24">
        <v>0</v>
      </c>
      <c r="M136" s="24">
        <v>0</v>
      </c>
      <c r="N136" s="24">
        <v>6.0053165008481374E-3</v>
      </c>
      <c r="O136" s="24">
        <v>1.2306591692257861E-2</v>
      </c>
      <c r="P136" s="24">
        <v>4.6422496254413448E-3</v>
      </c>
      <c r="Q136" s="24">
        <v>5.1150423739116629E-2</v>
      </c>
      <c r="R136" s="24">
        <v>7.4104581557663973E-2</v>
      </c>
      <c r="S136" s="26">
        <v>0</v>
      </c>
      <c r="T136" s="26">
        <v>0</v>
      </c>
      <c r="U136" s="26">
        <v>6.3562331432608424E-4</v>
      </c>
      <c r="V136" s="26">
        <v>4.722191823356421E-4</v>
      </c>
      <c r="W136" s="26">
        <v>3.2027845561069079E-4</v>
      </c>
      <c r="X136" s="26">
        <v>3.2595495264978777E-2</v>
      </c>
      <c r="Y136" s="26">
        <v>3.4023616217251196E-2</v>
      </c>
      <c r="Z136" s="28">
        <v>0</v>
      </c>
      <c r="AA136" s="28">
        <v>2.3145477658575108E-3</v>
      </c>
      <c r="AB136" s="28">
        <v>1.8627602453956559E-4</v>
      </c>
      <c r="AC136" s="28">
        <v>1.5438989133449149E-4</v>
      </c>
      <c r="AD136" s="28">
        <v>1.4290790010594711E-4</v>
      </c>
      <c r="AE136" s="28">
        <v>3.542298854682322E-3</v>
      </c>
      <c r="AF136" s="28">
        <v>6.340420436519837E-3</v>
      </c>
      <c r="AG136" s="30">
        <v>0</v>
      </c>
      <c r="AH136" s="30">
        <v>1.228469691721989E-5</v>
      </c>
      <c r="AI136" s="30">
        <v>4.2562123706851542E-4</v>
      </c>
      <c r="AJ136" s="30">
        <v>3.7507357872791961E-4</v>
      </c>
      <c r="AK136" s="30">
        <v>1.919081830326583E-4</v>
      </c>
      <c r="AL136" s="30">
        <v>1.247884742641603E-2</v>
      </c>
      <c r="AM136" s="30">
        <v>1.3483735122162343E-2</v>
      </c>
      <c r="AN136" s="32">
        <v>0</v>
      </c>
      <c r="AO136" s="32">
        <v>8.7500264113198857E-6</v>
      </c>
      <c r="AP136" s="32">
        <v>5.3666667516303246E-7</v>
      </c>
      <c r="AQ136" s="32">
        <v>7.4641524221169363E-7</v>
      </c>
      <c r="AR136" s="32">
        <v>7.7942384472493537E-7</v>
      </c>
      <c r="AS136" s="32">
        <v>9.8010839159747582E-6</v>
      </c>
      <c r="AT136" s="32">
        <v>2.0613616089394305E-5</v>
      </c>
      <c r="AU136" s="34">
        <v>0</v>
      </c>
      <c r="AV136" s="34">
        <v>0</v>
      </c>
      <c r="AW136" s="34">
        <v>0.2808344720952432</v>
      </c>
      <c r="AX136" s="34">
        <v>0.17647448414364728</v>
      </c>
      <c r="AY136" s="34">
        <v>0.16254568959927568</v>
      </c>
      <c r="AZ136" s="34">
        <v>0.68695350207309391</v>
      </c>
      <c r="BA136" s="34">
        <v>1.3068081479112601</v>
      </c>
      <c r="BB136" s="6"/>
      <c r="BC136" s="6"/>
      <c r="BD136" t="s">
        <v>672</v>
      </c>
      <c r="BF136" s="5">
        <v>6.9086243000000006E-2</v>
      </c>
      <c r="BG136" s="5">
        <f t="shared" si="6"/>
        <v>-5.0183385576639677E-3</v>
      </c>
      <c r="BH136" s="2">
        <v>149.84834999999998</v>
      </c>
    </row>
    <row r="137" spans="1:60" x14ac:dyDescent="0.2">
      <c r="A137" t="str">
        <f t="shared" ref="A137:A160" si="7">B137&amp;" - "&amp;D137&amp;" - "&amp;IF(I137&lt;&gt;"",I137&amp;" - "&amp;E137,E137)</f>
        <v>Scooter, electric, &lt;4kW - 2020 - NMC - CH</v>
      </c>
      <c r="B137" t="s">
        <v>383</v>
      </c>
      <c r="D137" s="18">
        <v>2020</v>
      </c>
      <c r="E137" t="s">
        <v>37</v>
      </c>
      <c r="F137" t="s">
        <v>138</v>
      </c>
      <c r="G137" t="s">
        <v>39</v>
      </c>
      <c r="H137" t="s">
        <v>32</v>
      </c>
      <c r="I137" t="s">
        <v>43</v>
      </c>
      <c r="J137" t="s">
        <v>570</v>
      </c>
      <c r="L137" s="24">
        <v>0</v>
      </c>
      <c r="M137" s="24">
        <v>0</v>
      </c>
      <c r="N137" s="24">
        <v>8.2069290027614555E-4</v>
      </c>
      <c r="O137" s="24">
        <v>1.2306591692257861E-2</v>
      </c>
      <c r="P137" s="24">
        <v>4.499995804181871E-3</v>
      </c>
      <c r="Q137" s="24">
        <v>4.6960667705063748E-2</v>
      </c>
      <c r="R137" s="24">
        <v>6.4587948101779619E-2</v>
      </c>
      <c r="S137" s="26">
        <v>0</v>
      </c>
      <c r="T137" s="26">
        <v>0</v>
      </c>
      <c r="U137" s="26">
        <v>4.6780531356812222E-4</v>
      </c>
      <c r="V137" s="26">
        <v>4.722191823356421E-4</v>
      </c>
      <c r="W137" s="26">
        <v>3.1128977228796298E-4</v>
      </c>
      <c r="X137" s="26">
        <v>5.2328807599304139E-2</v>
      </c>
      <c r="Y137" s="26">
        <v>5.3580121867495868E-2</v>
      </c>
      <c r="Z137" s="28">
        <v>0</v>
      </c>
      <c r="AA137" s="28">
        <v>2.3145477658575108E-3</v>
      </c>
      <c r="AB137" s="28">
        <v>8.2547439225250213E-5</v>
      </c>
      <c r="AC137" s="28">
        <v>1.5438989133449149E-4</v>
      </c>
      <c r="AD137" s="28">
        <v>1.3882195173311031E-4</v>
      </c>
      <c r="AE137" s="28">
        <v>4.4017669608086814E-3</v>
      </c>
      <c r="AF137" s="28">
        <v>7.0920740089590439E-3</v>
      </c>
      <c r="AG137" s="30">
        <v>0</v>
      </c>
      <c r="AH137" s="30">
        <v>1.228469691721989E-5</v>
      </c>
      <c r="AI137" s="30">
        <v>3.0935457184536091E-4</v>
      </c>
      <c r="AJ137" s="30">
        <v>3.7507357872791961E-4</v>
      </c>
      <c r="AK137" s="30">
        <v>1.880948717739569E-4</v>
      </c>
      <c r="AL137" s="30">
        <v>1.316560346465253E-2</v>
      </c>
      <c r="AM137" s="30">
        <v>1.4050411183916986E-2</v>
      </c>
      <c r="AN137" s="32">
        <v>0</v>
      </c>
      <c r="AO137" s="32">
        <v>8.7500264113198857E-6</v>
      </c>
      <c r="AP137" s="32">
        <v>7.308690791712847E-7</v>
      </c>
      <c r="AQ137" s="32">
        <v>7.4641524221169363E-7</v>
      </c>
      <c r="AR137" s="32">
        <v>7.6436693318839574E-7</v>
      </c>
      <c r="AS137" s="32">
        <v>1.2613452133301209E-5</v>
      </c>
      <c r="AT137" s="32">
        <v>2.360512979919247E-5</v>
      </c>
      <c r="AU137" s="34">
        <v>0</v>
      </c>
      <c r="AV137" s="34">
        <v>0</v>
      </c>
      <c r="AW137" s="34">
        <v>8.1766643948489922E-3</v>
      </c>
      <c r="AX137" s="34">
        <v>0.17647448414364728</v>
      </c>
      <c r="AY137" s="34">
        <v>0.15788554712144401</v>
      </c>
      <c r="AZ137" s="34">
        <v>0.67740696189012273</v>
      </c>
      <c r="BA137" s="34">
        <v>1.0199436575500629</v>
      </c>
      <c r="BB137" s="6"/>
      <c r="BC137" s="6"/>
      <c r="BD137" t="s">
        <v>918</v>
      </c>
      <c r="BF137" s="5">
        <v>5.7097881000000003E-2</v>
      </c>
      <c r="BG137" s="5">
        <f t="shared" si="6"/>
        <v>-7.4900671017796155E-3</v>
      </c>
      <c r="BH137" s="2">
        <v>143.10150999999999</v>
      </c>
    </row>
    <row r="138" spans="1:60" x14ac:dyDescent="0.2">
      <c r="A138" t="str">
        <f t="shared" si="7"/>
        <v>Scooter, electric, &lt;4kW - 2030 - NMC - CH</v>
      </c>
      <c r="B138" t="s">
        <v>383</v>
      </c>
      <c r="D138" s="18">
        <v>2030</v>
      </c>
      <c r="E138" t="s">
        <v>37</v>
      </c>
      <c r="F138" t="s">
        <v>138</v>
      </c>
      <c r="G138" t="s">
        <v>39</v>
      </c>
      <c r="H138" t="s">
        <v>32</v>
      </c>
      <c r="I138" t="s">
        <v>43</v>
      </c>
      <c r="J138" t="s">
        <v>570</v>
      </c>
      <c r="L138" s="24">
        <v>0</v>
      </c>
      <c r="M138" s="24">
        <v>0</v>
      </c>
      <c r="N138" s="24">
        <v>8.2069290027614555E-4</v>
      </c>
      <c r="O138" s="24">
        <v>1.2306591692257861E-2</v>
      </c>
      <c r="P138" s="24">
        <v>4.5008758811560627E-3</v>
      </c>
      <c r="Q138" s="24">
        <v>4.7520048473623171E-2</v>
      </c>
      <c r="R138" s="24">
        <v>6.5148208947313241E-2</v>
      </c>
      <c r="S138" s="26">
        <v>0</v>
      </c>
      <c r="T138" s="26">
        <v>0</v>
      </c>
      <c r="U138" s="26">
        <v>4.6780531356812222E-4</v>
      </c>
      <c r="V138" s="26">
        <v>4.722191823356421E-4</v>
      </c>
      <c r="W138" s="26">
        <v>3.1134538227545303E-4</v>
      </c>
      <c r="X138" s="26">
        <v>4.8128281001920403E-2</v>
      </c>
      <c r="Y138" s="26">
        <v>4.9379650880099622E-2</v>
      </c>
      <c r="Z138" s="28">
        <v>0</v>
      </c>
      <c r="AA138" s="28">
        <v>2.3145477658575108E-3</v>
      </c>
      <c r="AB138" s="28">
        <v>8.2547439225250213E-5</v>
      </c>
      <c r="AC138" s="28">
        <v>1.5438989133449149E-4</v>
      </c>
      <c r="AD138" s="28">
        <v>1.3884723013371031E-4</v>
      </c>
      <c r="AE138" s="28">
        <v>4.1911350985987536E-3</v>
      </c>
      <c r="AF138" s="28">
        <v>6.8814674251497163E-3</v>
      </c>
      <c r="AG138" s="30">
        <v>0</v>
      </c>
      <c r="AH138" s="30">
        <v>1.228469691721989E-5</v>
      </c>
      <c r="AI138" s="30">
        <v>3.0935457184536091E-4</v>
      </c>
      <c r="AJ138" s="30">
        <v>3.7507357872791961E-4</v>
      </c>
      <c r="AK138" s="30">
        <v>1.881184634596107E-4</v>
      </c>
      <c r="AL138" s="30">
        <v>1.27596213245302E-2</v>
      </c>
      <c r="AM138" s="30">
        <v>1.3644452635480312E-2</v>
      </c>
      <c r="AN138" s="32">
        <v>0</v>
      </c>
      <c r="AO138" s="32">
        <v>8.7500264113198857E-6</v>
      </c>
      <c r="AP138" s="32">
        <v>7.308690791712847E-7</v>
      </c>
      <c r="AQ138" s="32">
        <v>7.4641524221169363E-7</v>
      </c>
      <c r="AR138" s="32">
        <v>7.6446008528110175E-7</v>
      </c>
      <c r="AS138" s="32">
        <v>1.189596265994029E-5</v>
      </c>
      <c r="AT138" s="32">
        <v>2.2887733477924257E-5</v>
      </c>
      <c r="AU138" s="34">
        <v>0</v>
      </c>
      <c r="AV138" s="34">
        <v>0</v>
      </c>
      <c r="AW138" s="34">
        <v>8.1766643948489922E-3</v>
      </c>
      <c r="AX138" s="34">
        <v>0.17647448414364728</v>
      </c>
      <c r="AY138" s="34">
        <v>0.15791437786957357</v>
      </c>
      <c r="AZ138" s="34">
        <v>0.67170674510399264</v>
      </c>
      <c r="BA138" s="34">
        <v>1.0142722715120625</v>
      </c>
      <c r="BB138" s="6"/>
      <c r="BC138" s="6"/>
      <c r="BD138" t="s">
        <v>673</v>
      </c>
      <c r="BF138" s="5">
        <v>5.6910385000000001E-2</v>
      </c>
      <c r="BG138" s="5">
        <f t="shared" si="6"/>
        <v>-8.23782394731324E-3</v>
      </c>
      <c r="BH138" s="2">
        <v>135.17749000000001</v>
      </c>
    </row>
    <row r="139" spans="1:60" x14ac:dyDescent="0.2">
      <c r="A139" t="str">
        <f t="shared" si="7"/>
        <v>Scooter, electric, &lt;4kW - 2040 - NMC - CH</v>
      </c>
      <c r="B139" t="s">
        <v>383</v>
      </c>
      <c r="D139" s="18">
        <v>2040</v>
      </c>
      <c r="E139" t="s">
        <v>37</v>
      </c>
      <c r="F139" t="s">
        <v>138</v>
      </c>
      <c r="G139" t="s">
        <v>39</v>
      </c>
      <c r="H139" t="s">
        <v>32</v>
      </c>
      <c r="I139" t="s">
        <v>43</v>
      </c>
      <c r="J139" t="s">
        <v>570</v>
      </c>
      <c r="L139" s="24">
        <v>0</v>
      </c>
      <c r="M139" s="24">
        <v>0</v>
      </c>
      <c r="N139" s="24">
        <v>8.2069290027614555E-4</v>
      </c>
      <c r="O139" s="24">
        <v>1.2306591692257861E-2</v>
      </c>
      <c r="P139" s="24">
        <v>4.5011338347519464E-3</v>
      </c>
      <c r="Q139" s="24">
        <v>4.7992199093471993E-2</v>
      </c>
      <c r="R139" s="24">
        <v>6.5620617520757943E-2</v>
      </c>
      <c r="S139" s="26">
        <v>0</v>
      </c>
      <c r="T139" s="26">
        <v>0</v>
      </c>
      <c r="U139" s="26">
        <v>4.6780531356812222E-4</v>
      </c>
      <c r="V139" s="26">
        <v>4.722191823356421E-4</v>
      </c>
      <c r="W139" s="26">
        <v>3.1136168175454492E-4</v>
      </c>
      <c r="X139" s="26">
        <v>4.5524939581790262E-2</v>
      </c>
      <c r="Y139" s="26">
        <v>4.6776325759448574E-2</v>
      </c>
      <c r="Z139" s="28">
        <v>0</v>
      </c>
      <c r="AA139" s="28">
        <v>2.3145477658575108E-3</v>
      </c>
      <c r="AB139" s="28">
        <v>8.2547439225250213E-5</v>
      </c>
      <c r="AC139" s="28">
        <v>1.5438989133449149E-4</v>
      </c>
      <c r="AD139" s="28">
        <v>1.3885463932009301E-4</v>
      </c>
      <c r="AE139" s="28">
        <v>4.0664740355196034E-3</v>
      </c>
      <c r="AF139" s="28">
        <v>6.7568137712569485E-3</v>
      </c>
      <c r="AG139" s="30">
        <v>0</v>
      </c>
      <c r="AH139" s="30">
        <v>1.228469691721989E-5</v>
      </c>
      <c r="AI139" s="30">
        <v>3.0935457184536091E-4</v>
      </c>
      <c r="AJ139" s="30">
        <v>3.7507357872791961E-4</v>
      </c>
      <c r="AK139" s="30">
        <v>1.881253782640265E-4</v>
      </c>
      <c r="AL139" s="30">
        <v>1.252915806510028E-2</v>
      </c>
      <c r="AM139" s="30">
        <v>1.3413996290854806E-2</v>
      </c>
      <c r="AN139" s="32">
        <v>0</v>
      </c>
      <c r="AO139" s="32">
        <v>8.7500264113198857E-6</v>
      </c>
      <c r="AP139" s="32">
        <v>7.308690791712847E-7</v>
      </c>
      <c r="AQ139" s="32">
        <v>7.4641524221169363E-7</v>
      </c>
      <c r="AR139" s="32">
        <v>7.6448738848068806E-7</v>
      </c>
      <c r="AS139" s="32">
        <v>1.145309309929765E-5</v>
      </c>
      <c r="AT139" s="32">
        <v>2.24448912204812E-5</v>
      </c>
      <c r="AU139" s="34">
        <v>0</v>
      </c>
      <c r="AV139" s="34">
        <v>0</v>
      </c>
      <c r="AW139" s="34">
        <v>8.1766643948489922E-3</v>
      </c>
      <c r="AX139" s="34">
        <v>0.17647448414364728</v>
      </c>
      <c r="AY139" s="34">
        <v>0.15792282826126669</v>
      </c>
      <c r="AZ139" s="34">
        <v>0.66945087186209751</v>
      </c>
      <c r="BA139" s="34">
        <v>1.0120248486618606</v>
      </c>
      <c r="BB139" s="6"/>
      <c r="BC139" s="6"/>
      <c r="BD139" t="s">
        <v>674</v>
      </c>
      <c r="BF139" s="5">
        <v>5.6843547000000001E-2</v>
      </c>
      <c r="BG139" s="5">
        <f t="shared" si="6"/>
        <v>-8.7770705207579416E-3</v>
      </c>
      <c r="BH139" s="2">
        <v>130.24121</v>
      </c>
    </row>
    <row r="140" spans="1:60" x14ac:dyDescent="0.2">
      <c r="A140" t="str">
        <f t="shared" si="7"/>
        <v>Scooter, electric, &lt;4kW - 2050 - NMC - CH</v>
      </c>
      <c r="B140" t="s">
        <v>383</v>
      </c>
      <c r="D140" s="18">
        <v>2050</v>
      </c>
      <c r="E140" t="s">
        <v>37</v>
      </c>
      <c r="F140" t="s">
        <v>138</v>
      </c>
      <c r="G140" t="s">
        <v>39</v>
      </c>
      <c r="H140" t="s">
        <v>32</v>
      </c>
      <c r="I140" t="s">
        <v>43</v>
      </c>
      <c r="J140" t="s">
        <v>570</v>
      </c>
      <c r="L140" s="24">
        <v>0</v>
      </c>
      <c r="M140" s="24">
        <v>0</v>
      </c>
      <c r="N140" s="24">
        <v>8.2069290027614555E-4</v>
      </c>
      <c r="O140" s="24">
        <v>1.2306591692257861E-2</v>
      </c>
      <c r="P140" s="24">
        <v>4.5033643746692949E-3</v>
      </c>
      <c r="Q140" s="24">
        <v>4.8269122650915271E-2</v>
      </c>
      <c r="R140" s="24">
        <v>6.589977161811858E-2</v>
      </c>
      <c r="S140" s="26">
        <v>0</v>
      </c>
      <c r="T140" s="26">
        <v>0</v>
      </c>
      <c r="U140" s="26">
        <v>4.6780531356812222E-4</v>
      </c>
      <c r="V140" s="26">
        <v>4.722191823356421E-4</v>
      </c>
      <c r="W140" s="26">
        <v>3.1150262430904518E-4</v>
      </c>
      <c r="X140" s="26">
        <v>4.2527644610276888E-2</v>
      </c>
      <c r="Y140" s="26">
        <v>4.3779171730489695E-2</v>
      </c>
      <c r="Z140" s="28">
        <v>0</v>
      </c>
      <c r="AA140" s="28">
        <v>2.3145477658575108E-3</v>
      </c>
      <c r="AB140" s="28">
        <v>8.2547439225250213E-5</v>
      </c>
      <c r="AC140" s="28">
        <v>1.5438989133449149E-4</v>
      </c>
      <c r="AD140" s="28">
        <v>1.3891870699057909E-4</v>
      </c>
      <c r="AE140" s="28">
        <v>3.9105185703264813E-3</v>
      </c>
      <c r="AF140" s="28">
        <v>6.600922373734313E-3</v>
      </c>
      <c r="AG140" s="30">
        <v>0</v>
      </c>
      <c r="AH140" s="30">
        <v>1.228469691721989E-5</v>
      </c>
      <c r="AI140" s="30">
        <v>3.0935457184536091E-4</v>
      </c>
      <c r="AJ140" s="30">
        <v>3.7507357872791961E-4</v>
      </c>
      <c r="AK140" s="30">
        <v>1.8818517098456291E-4</v>
      </c>
      <c r="AL140" s="30">
        <v>1.221833230624189E-2</v>
      </c>
      <c r="AM140" s="30">
        <v>1.3103230324716953E-2</v>
      </c>
      <c r="AN140" s="32">
        <v>0</v>
      </c>
      <c r="AO140" s="32">
        <v>8.7500264113198857E-6</v>
      </c>
      <c r="AP140" s="32">
        <v>7.308690791712847E-7</v>
      </c>
      <c r="AQ140" s="32">
        <v>7.4641524221169363E-7</v>
      </c>
      <c r="AR140" s="32">
        <v>7.6472348085358094E-7</v>
      </c>
      <c r="AS140" s="32">
        <v>1.094014660301449E-5</v>
      </c>
      <c r="AT140" s="32">
        <v>2.1932180816570937E-5</v>
      </c>
      <c r="AU140" s="34">
        <v>0</v>
      </c>
      <c r="AV140" s="34">
        <v>0</v>
      </c>
      <c r="AW140" s="34">
        <v>8.1766643948489922E-3</v>
      </c>
      <c r="AX140" s="34">
        <v>0.17647448414364728</v>
      </c>
      <c r="AY140" s="34">
        <v>0.1579958992953191</v>
      </c>
      <c r="AZ140" s="34">
        <v>0.66415462442150097</v>
      </c>
      <c r="BA140" s="34">
        <v>1.0068016722553164</v>
      </c>
      <c r="BB140" s="6"/>
      <c r="BC140" s="6"/>
      <c r="BD140" t="s">
        <v>675</v>
      </c>
      <c r="BF140" s="5">
        <v>5.666819E-2</v>
      </c>
      <c r="BG140" s="5">
        <f t="shared" si="6"/>
        <v>-9.2315816181185797E-3</v>
      </c>
      <c r="BH140" s="2">
        <v>124.62658999999999</v>
      </c>
    </row>
    <row r="141" spans="1:60" x14ac:dyDescent="0.2">
      <c r="A141" t="str">
        <f t="shared" si="7"/>
        <v>Scooter, electric, 4-11kW - 2020 - NMC - CH</v>
      </c>
      <c r="B141" t="s">
        <v>344</v>
      </c>
      <c r="D141" s="18">
        <v>2020</v>
      </c>
      <c r="E141" t="s">
        <v>37</v>
      </c>
      <c r="F141" t="s">
        <v>138</v>
      </c>
      <c r="G141" t="s">
        <v>39</v>
      </c>
      <c r="H141" t="s">
        <v>32</v>
      </c>
      <c r="I141" t="s">
        <v>43</v>
      </c>
      <c r="J141" t="s">
        <v>570</v>
      </c>
      <c r="L141" s="24">
        <v>0</v>
      </c>
      <c r="M141" s="24">
        <v>0</v>
      </c>
      <c r="N141" s="24">
        <v>1.164988379267724E-3</v>
      </c>
      <c r="O141" s="24">
        <v>1.2306591692257861E-2</v>
      </c>
      <c r="P141" s="24">
        <v>4.6388355337311166E-3</v>
      </c>
      <c r="Q141" s="24">
        <v>6.5220914497343074E-2</v>
      </c>
      <c r="R141" s="24">
        <v>8.3331330102599771E-2</v>
      </c>
      <c r="S141" s="26">
        <v>0</v>
      </c>
      <c r="T141" s="26">
        <v>0</v>
      </c>
      <c r="U141" s="26">
        <v>6.6405808297254575E-4</v>
      </c>
      <c r="V141" s="26">
        <v>4.722191823356421E-4</v>
      </c>
      <c r="W141" s="26">
        <v>3.200627272109453E-4</v>
      </c>
      <c r="X141" s="26">
        <v>7.5855735783844858E-2</v>
      </c>
      <c r="Y141" s="26">
        <v>7.7312075776363995E-2</v>
      </c>
      <c r="Z141" s="28">
        <v>0</v>
      </c>
      <c r="AA141" s="28">
        <v>2.3145477658575108E-3</v>
      </c>
      <c r="AB141" s="28">
        <v>1.17177579339808E-4</v>
      </c>
      <c r="AC141" s="28">
        <v>1.5438989133449149E-4</v>
      </c>
      <c r="AD141" s="28">
        <v>1.4280983734499901E-4</v>
      </c>
      <c r="AE141" s="28">
        <v>6.2599544064963521E-3</v>
      </c>
      <c r="AF141" s="28">
        <v>8.9888794803731614E-3</v>
      </c>
      <c r="AG141" s="30">
        <v>0</v>
      </c>
      <c r="AH141" s="30">
        <v>1.228469691721989E-5</v>
      </c>
      <c r="AI141" s="30">
        <v>4.3913439625458252E-4</v>
      </c>
      <c r="AJ141" s="30">
        <v>3.7507357872791961E-4</v>
      </c>
      <c r="AK141" s="30">
        <v>1.9181666356244949E-4</v>
      </c>
      <c r="AL141" s="30">
        <v>1.8896849337480471E-2</v>
      </c>
      <c r="AM141" s="30">
        <v>1.9915158672942641E-2</v>
      </c>
      <c r="AN141" s="32">
        <v>0</v>
      </c>
      <c r="AO141" s="32">
        <v>8.7500264113198857E-6</v>
      </c>
      <c r="AP141" s="32">
        <v>1.037481844565918E-6</v>
      </c>
      <c r="AQ141" s="32">
        <v>7.4641524221169363E-7</v>
      </c>
      <c r="AR141" s="32">
        <v>7.7906247884805842E-7</v>
      </c>
      <c r="AS141" s="32">
        <v>1.7332071878643611E-5</v>
      </c>
      <c r="AT141" s="32">
        <v>2.8645057855589166E-5</v>
      </c>
      <c r="AU141" s="34">
        <v>0</v>
      </c>
      <c r="AV141" s="34">
        <v>0</v>
      </c>
      <c r="AW141" s="34">
        <v>1.1606922635697264E-2</v>
      </c>
      <c r="AX141" s="34">
        <v>0.17647448414364728</v>
      </c>
      <c r="AY141" s="34">
        <v>0.16243384617980774</v>
      </c>
      <c r="AZ141" s="34">
        <v>0.94145771503012154</v>
      </c>
      <c r="BA141" s="34">
        <v>1.291972967989274</v>
      </c>
      <c r="BB141" s="6"/>
      <c r="BC141" s="6"/>
      <c r="BD141" t="s">
        <v>919</v>
      </c>
      <c r="BF141" s="5">
        <v>7.0513389999999995E-2</v>
      </c>
      <c r="BG141" s="5">
        <f t="shared" si="6"/>
        <v>-1.2817940102599776E-2</v>
      </c>
      <c r="BH141" s="2">
        <v>187.63643999999999</v>
      </c>
    </row>
    <row r="142" spans="1:60" x14ac:dyDescent="0.2">
      <c r="A142" t="str">
        <f t="shared" si="7"/>
        <v>Scooter, electric, 4-11kW - 2030 - NMC - CH</v>
      </c>
      <c r="B142" t="s">
        <v>344</v>
      </c>
      <c r="D142" s="18">
        <v>2030</v>
      </c>
      <c r="E142" t="s">
        <v>37</v>
      </c>
      <c r="F142" t="s">
        <v>138</v>
      </c>
      <c r="G142" t="s">
        <v>39</v>
      </c>
      <c r="H142" t="s">
        <v>32</v>
      </c>
      <c r="I142" t="s">
        <v>43</v>
      </c>
      <c r="J142" t="s">
        <v>570</v>
      </c>
      <c r="L142" s="24">
        <v>0</v>
      </c>
      <c r="M142" s="24">
        <v>0</v>
      </c>
      <c r="N142" s="24">
        <v>1.164988379267724E-3</v>
      </c>
      <c r="O142" s="24">
        <v>1.2306591692257861E-2</v>
      </c>
      <c r="P142" s="24">
        <v>4.642158582995738E-3</v>
      </c>
      <c r="Q142" s="24">
        <v>6.503158780121078E-2</v>
      </c>
      <c r="R142" s="24">
        <v>8.314532645573211E-2</v>
      </c>
      <c r="S142" s="26">
        <v>0</v>
      </c>
      <c r="T142" s="26">
        <v>0</v>
      </c>
      <c r="U142" s="26">
        <v>6.6405808297254575E-4</v>
      </c>
      <c r="V142" s="26">
        <v>4.722191823356421E-4</v>
      </c>
      <c r="W142" s="26">
        <v>3.2027270285336419E-4</v>
      </c>
      <c r="X142" s="26">
        <v>6.9370588654902351E-2</v>
      </c>
      <c r="Y142" s="26">
        <v>7.0827138623063904E-2</v>
      </c>
      <c r="Z142" s="28">
        <v>0</v>
      </c>
      <c r="AA142" s="28">
        <v>2.3145477658575108E-3</v>
      </c>
      <c r="AB142" s="28">
        <v>1.17177579339808E-4</v>
      </c>
      <c r="AC142" s="28">
        <v>1.5438989133449149E-4</v>
      </c>
      <c r="AD142" s="28">
        <v>1.429052850989885E-4</v>
      </c>
      <c r="AE142" s="28">
        <v>5.8853804346952407E-3</v>
      </c>
      <c r="AF142" s="28">
        <v>8.6144009563260404E-3</v>
      </c>
      <c r="AG142" s="30">
        <v>0</v>
      </c>
      <c r="AH142" s="30">
        <v>1.228469691721989E-5</v>
      </c>
      <c r="AI142" s="30">
        <v>4.3913439625458252E-4</v>
      </c>
      <c r="AJ142" s="30">
        <v>3.7507357872791961E-4</v>
      </c>
      <c r="AK142" s="30">
        <v>1.919057425134528E-4</v>
      </c>
      <c r="AL142" s="30">
        <v>1.80927369906165E-2</v>
      </c>
      <c r="AM142" s="30">
        <v>1.9111135405029674E-2</v>
      </c>
      <c r="AN142" s="32">
        <v>0</v>
      </c>
      <c r="AO142" s="32">
        <v>8.7500264113198857E-6</v>
      </c>
      <c r="AP142" s="32">
        <v>1.037481844565918E-6</v>
      </c>
      <c r="AQ142" s="32">
        <v>7.4641524221169363E-7</v>
      </c>
      <c r="AR142" s="32">
        <v>7.7941420830155207E-7</v>
      </c>
      <c r="AS142" s="32">
        <v>1.6208929880458181E-5</v>
      </c>
      <c r="AT142" s="32">
        <v>2.7522267586857232E-5</v>
      </c>
      <c r="AU142" s="34">
        <v>0</v>
      </c>
      <c r="AV142" s="34">
        <v>0</v>
      </c>
      <c r="AW142" s="34">
        <v>1.1606922635697264E-2</v>
      </c>
      <c r="AX142" s="34">
        <v>0.17647448414364728</v>
      </c>
      <c r="AY142" s="34">
        <v>0.16254270710808991</v>
      </c>
      <c r="AZ142" s="34">
        <v>0.92193573824767916</v>
      </c>
      <c r="BA142" s="34">
        <v>1.2725598521351136</v>
      </c>
      <c r="BB142" s="6"/>
      <c r="BC142" s="6"/>
      <c r="BD142" t="s">
        <v>676</v>
      </c>
      <c r="BF142" s="5">
        <v>6.9801329000000009E-2</v>
      </c>
      <c r="BG142" s="5">
        <f t="shared" si="6"/>
        <v>-1.3343997455732101E-2</v>
      </c>
      <c r="BH142" s="2">
        <v>175.51417999999998</v>
      </c>
    </row>
    <row r="143" spans="1:60" x14ac:dyDescent="0.2">
      <c r="A143" t="str">
        <f t="shared" si="7"/>
        <v>Scooter, electric, 4-11kW - 2040 - NMC - CH</v>
      </c>
      <c r="B143" t="s">
        <v>344</v>
      </c>
      <c r="D143" s="18">
        <v>2040</v>
      </c>
      <c r="E143" t="s">
        <v>37</v>
      </c>
      <c r="F143" t="s">
        <v>138</v>
      </c>
      <c r="G143" t="s">
        <v>39</v>
      </c>
      <c r="H143" t="s">
        <v>32</v>
      </c>
      <c r="I143" t="s">
        <v>43</v>
      </c>
      <c r="J143" t="s">
        <v>570</v>
      </c>
      <c r="L143" s="24">
        <v>0</v>
      </c>
      <c r="M143" s="24">
        <v>0</v>
      </c>
      <c r="N143" s="24">
        <v>1.164988379267724E-3</v>
      </c>
      <c r="O143" s="24">
        <v>1.2306591692257861E-2</v>
      </c>
      <c r="P143" s="24">
        <v>4.6433876560114202E-3</v>
      </c>
      <c r="Q143" s="24">
        <v>6.5002983175688159E-2</v>
      </c>
      <c r="R143" s="24">
        <v>8.3117950903225157E-2</v>
      </c>
      <c r="S143" s="26">
        <v>0</v>
      </c>
      <c r="T143" s="26">
        <v>0</v>
      </c>
      <c r="U143" s="26">
        <v>6.6405808297254575E-4</v>
      </c>
      <c r="V143" s="26">
        <v>4.722191823356421E-4</v>
      </c>
      <c r="W143" s="26">
        <v>3.2035036507727262E-4</v>
      </c>
      <c r="X143" s="26">
        <v>6.5244133849543445E-2</v>
      </c>
      <c r="Y143" s="26">
        <v>6.6700761479928899E-2</v>
      </c>
      <c r="Z143" s="28">
        <v>0</v>
      </c>
      <c r="AA143" s="28">
        <v>2.3145477658575108E-3</v>
      </c>
      <c r="AB143" s="28">
        <v>1.17177579339808E-4</v>
      </c>
      <c r="AC143" s="28">
        <v>1.5438989133449149E-4</v>
      </c>
      <c r="AD143" s="28">
        <v>1.4294058769292981E-4</v>
      </c>
      <c r="AE143" s="28">
        <v>5.6513116441916653E-3</v>
      </c>
      <c r="AF143" s="28">
        <v>8.380367468416406E-3</v>
      </c>
      <c r="AG143" s="30">
        <v>0</v>
      </c>
      <c r="AH143" s="30">
        <v>1.228469691721989E-5</v>
      </c>
      <c r="AI143" s="30">
        <v>4.3913439625458252E-4</v>
      </c>
      <c r="AJ143" s="30">
        <v>3.7507357872791961E-4</v>
      </c>
      <c r="AK143" s="30">
        <v>1.9193868952272801E-4</v>
      </c>
      <c r="AL143" s="30">
        <v>1.7596843272735939E-2</v>
      </c>
      <c r="AM143" s="30">
        <v>1.861527463415839E-2</v>
      </c>
      <c r="AN143" s="32">
        <v>0</v>
      </c>
      <c r="AO143" s="32">
        <v>8.7500264113198857E-6</v>
      </c>
      <c r="AP143" s="32">
        <v>1.037481844565918E-6</v>
      </c>
      <c r="AQ143" s="32">
        <v>7.4641524221169363E-7</v>
      </c>
      <c r="AR143" s="32">
        <v>7.7954430001722768E-7</v>
      </c>
      <c r="AS143" s="32">
        <v>1.5495207038674772E-5</v>
      </c>
      <c r="AT143" s="32">
        <v>2.6808674836789495E-5</v>
      </c>
      <c r="AU143" s="34">
        <v>0</v>
      </c>
      <c r="AV143" s="34">
        <v>0</v>
      </c>
      <c r="AW143" s="34">
        <v>1.1606922635697264E-2</v>
      </c>
      <c r="AX143" s="34">
        <v>0.17647448414364728</v>
      </c>
      <c r="AY143" s="34">
        <v>0.16258297073909836</v>
      </c>
      <c r="AZ143" s="34">
        <v>0.91044127029277888</v>
      </c>
      <c r="BA143" s="34">
        <v>1.2611056478112217</v>
      </c>
      <c r="BB143" s="6"/>
      <c r="BC143" s="6"/>
      <c r="BD143" t="s">
        <v>677</v>
      </c>
      <c r="BF143" s="5">
        <v>6.9378835999999999E-2</v>
      </c>
      <c r="BG143" s="5">
        <f t="shared" si="6"/>
        <v>-1.3739114903225158E-2</v>
      </c>
      <c r="BH143" s="2">
        <v>167.7681</v>
      </c>
    </row>
    <row r="144" spans="1:60" x14ac:dyDescent="0.2">
      <c r="A144" t="str">
        <f t="shared" si="7"/>
        <v>Scooter, electric, 4-11kW - 2050 - NMC - CH</v>
      </c>
      <c r="B144" t="s">
        <v>344</v>
      </c>
      <c r="D144" s="18">
        <v>2050</v>
      </c>
      <c r="E144" t="s">
        <v>37</v>
      </c>
      <c r="F144" t="s">
        <v>138</v>
      </c>
      <c r="G144" t="s">
        <v>39</v>
      </c>
      <c r="H144" t="s">
        <v>32</v>
      </c>
      <c r="I144" t="s">
        <v>43</v>
      </c>
      <c r="J144" t="s">
        <v>570</v>
      </c>
      <c r="L144" s="24">
        <v>0</v>
      </c>
      <c r="M144" s="24">
        <v>0</v>
      </c>
      <c r="N144" s="24">
        <v>1.164988379267724E-3</v>
      </c>
      <c r="O144" s="24">
        <v>1.2306591692257861E-2</v>
      </c>
      <c r="P144" s="24">
        <v>4.6422496254413448E-3</v>
      </c>
      <c r="Q144" s="24">
        <v>6.4048206979410882E-2</v>
      </c>
      <c r="R144" s="24">
        <v>8.2162036676377809E-2</v>
      </c>
      <c r="S144" s="26">
        <v>0</v>
      </c>
      <c r="T144" s="26">
        <v>0</v>
      </c>
      <c r="U144" s="26">
        <v>6.6405808297254575E-4</v>
      </c>
      <c r="V144" s="26">
        <v>4.722191823356421E-4</v>
      </c>
      <c r="W144" s="26">
        <v>3.2027845561069079E-4</v>
      </c>
      <c r="X144" s="26">
        <v>5.9304922010804277E-2</v>
      </c>
      <c r="Y144" s="26">
        <v>6.0761477731723156E-2</v>
      </c>
      <c r="Z144" s="28">
        <v>0</v>
      </c>
      <c r="AA144" s="28">
        <v>2.3145477658575108E-3</v>
      </c>
      <c r="AB144" s="28">
        <v>1.17177579339808E-4</v>
      </c>
      <c r="AC144" s="28">
        <v>1.5438989133449149E-4</v>
      </c>
      <c r="AD144" s="28">
        <v>1.4290790010594711E-4</v>
      </c>
      <c r="AE144" s="28">
        <v>5.2713228626062826E-3</v>
      </c>
      <c r="AF144" s="28">
        <v>8.0003459992440407E-3</v>
      </c>
      <c r="AG144" s="30">
        <v>0</v>
      </c>
      <c r="AH144" s="30">
        <v>1.228469691721989E-5</v>
      </c>
      <c r="AI144" s="30">
        <v>4.3913439625458252E-4</v>
      </c>
      <c r="AJ144" s="30">
        <v>3.7507357872791961E-4</v>
      </c>
      <c r="AK144" s="30">
        <v>1.919081830326583E-4</v>
      </c>
      <c r="AL144" s="30">
        <v>1.6731104054267951E-2</v>
      </c>
      <c r="AM144" s="30">
        <v>1.7749504909200332E-2</v>
      </c>
      <c r="AN144" s="32">
        <v>0</v>
      </c>
      <c r="AO144" s="32">
        <v>8.7500264113198857E-6</v>
      </c>
      <c r="AP144" s="32">
        <v>1.037481844565918E-6</v>
      </c>
      <c r="AQ144" s="32">
        <v>7.4641524221169363E-7</v>
      </c>
      <c r="AR144" s="32">
        <v>7.7942384472493537E-7</v>
      </c>
      <c r="AS144" s="32">
        <v>1.445185205113875E-5</v>
      </c>
      <c r="AT144" s="32">
        <v>2.5765199393961183E-5</v>
      </c>
      <c r="AU144" s="34">
        <v>0</v>
      </c>
      <c r="AV144" s="34">
        <v>0</v>
      </c>
      <c r="AW144" s="34">
        <v>1.1606922635697264E-2</v>
      </c>
      <c r="AX144" s="34">
        <v>0.17647448414364728</v>
      </c>
      <c r="AY144" s="34">
        <v>0.16254568959927568</v>
      </c>
      <c r="AZ144" s="34">
        <v>0.88454203144414301</v>
      </c>
      <c r="BA144" s="34">
        <v>1.2351691278227632</v>
      </c>
      <c r="BB144" s="6"/>
      <c r="BC144" s="6"/>
      <c r="BD144" t="s">
        <v>678</v>
      </c>
      <c r="BF144" s="5">
        <v>6.8391824000000004E-2</v>
      </c>
      <c r="BG144" s="5">
        <f t="shared" si="6"/>
        <v>-1.3770212676377805E-2</v>
      </c>
      <c r="BH144" s="2">
        <v>156.70670000000001</v>
      </c>
    </row>
    <row r="145" spans="1:60" x14ac:dyDescent="0.2">
      <c r="A145" t="str">
        <f t="shared" si="7"/>
        <v>Scooter, electric, &lt;4kW - 2020 - LFP - CH</v>
      </c>
      <c r="B145" t="s">
        <v>383</v>
      </c>
      <c r="D145" s="18">
        <v>2020</v>
      </c>
      <c r="E145" t="s">
        <v>37</v>
      </c>
      <c r="F145" t="s">
        <v>138</v>
      </c>
      <c r="G145" t="s">
        <v>39</v>
      </c>
      <c r="H145" t="s">
        <v>32</v>
      </c>
      <c r="I145" t="s">
        <v>44</v>
      </c>
      <c r="J145" t="s">
        <v>570</v>
      </c>
      <c r="L145" s="24">
        <v>0</v>
      </c>
      <c r="M145" s="24">
        <v>0</v>
      </c>
      <c r="N145" s="24">
        <v>8.2069290027614555E-4</v>
      </c>
      <c r="O145" s="24">
        <v>1.2306591692257861E-2</v>
      </c>
      <c r="P145" s="24">
        <v>4.5680500322724032E-3</v>
      </c>
      <c r="Q145" s="24">
        <v>5.8797909621316473E-2</v>
      </c>
      <c r="R145" s="24">
        <v>7.6493244246122888E-2</v>
      </c>
      <c r="S145" s="26">
        <v>0</v>
      </c>
      <c r="T145" s="26">
        <v>0</v>
      </c>
      <c r="U145" s="26">
        <v>4.6780531356812222E-4</v>
      </c>
      <c r="V145" s="26">
        <v>4.722191823356421E-4</v>
      </c>
      <c r="W145" s="26">
        <v>3.1558995838955599E-4</v>
      </c>
      <c r="X145" s="26">
        <v>3.6415235241779427E-2</v>
      </c>
      <c r="Y145" s="26">
        <v>3.7670849696072747E-2</v>
      </c>
      <c r="Z145" s="28">
        <v>0</v>
      </c>
      <c r="AA145" s="28">
        <v>2.3145477658575108E-3</v>
      </c>
      <c r="AB145" s="28">
        <v>8.2547439225250213E-5</v>
      </c>
      <c r="AC145" s="28">
        <v>1.5438989133449149E-4</v>
      </c>
      <c r="AD145" s="28">
        <v>1.407766694346754E-4</v>
      </c>
      <c r="AE145" s="28">
        <v>4.4453693114975641E-3</v>
      </c>
      <c r="AF145" s="28">
        <v>7.1376310773494916E-3</v>
      </c>
      <c r="AG145" s="30">
        <v>0</v>
      </c>
      <c r="AH145" s="30">
        <v>1.228469691721989E-5</v>
      </c>
      <c r="AI145" s="30">
        <v>3.0935457184536091E-4</v>
      </c>
      <c r="AJ145" s="30">
        <v>3.7507357872791961E-4</v>
      </c>
      <c r="AK145" s="30">
        <v>1.899191598801197E-4</v>
      </c>
      <c r="AL145" s="30">
        <v>1.5198204312620671E-2</v>
      </c>
      <c r="AM145" s="30">
        <v>1.6084836319991292E-2</v>
      </c>
      <c r="AN145" s="32">
        <v>0</v>
      </c>
      <c r="AO145" s="32">
        <v>8.7500264113198857E-6</v>
      </c>
      <c r="AP145" s="32">
        <v>7.308690791712847E-7</v>
      </c>
      <c r="AQ145" s="32">
        <v>7.4641524221169363E-7</v>
      </c>
      <c r="AR145" s="32">
        <v>7.7157015966747627E-7</v>
      </c>
      <c r="AS145" s="32">
        <v>1.095171499273861E-5</v>
      </c>
      <c r="AT145" s="32">
        <v>2.1950595885108951E-5</v>
      </c>
      <c r="AU145" s="34">
        <v>0</v>
      </c>
      <c r="AV145" s="34">
        <v>0</v>
      </c>
      <c r="AW145" s="34">
        <v>8.1766643948489922E-3</v>
      </c>
      <c r="AX145" s="34">
        <v>0.17647448414364728</v>
      </c>
      <c r="AY145" s="34">
        <v>0.1601149592828387</v>
      </c>
      <c r="AZ145" s="34">
        <v>0.79945311067587588</v>
      </c>
      <c r="BA145" s="34">
        <v>1.1442192184972109</v>
      </c>
      <c r="BB145" s="6"/>
      <c r="BC145" s="6"/>
      <c r="BD145" t="s">
        <v>920</v>
      </c>
      <c r="BF145" s="5">
        <v>6.829797E-2</v>
      </c>
      <c r="BG145" s="5">
        <f t="shared" si="6"/>
        <v>-8.1952742461228884E-3</v>
      </c>
      <c r="BH145" s="2">
        <v>175.3049</v>
      </c>
    </row>
    <row r="146" spans="1:60" x14ac:dyDescent="0.2">
      <c r="A146" t="str">
        <f t="shared" si="7"/>
        <v>Scooter, electric, &lt;4kW - 2030 - LFP - CH</v>
      </c>
      <c r="B146" t="s">
        <v>383</v>
      </c>
      <c r="D146" s="18">
        <v>2030</v>
      </c>
      <c r="E146" t="s">
        <v>37</v>
      </c>
      <c r="F146" t="s">
        <v>138</v>
      </c>
      <c r="G146" t="s">
        <v>39</v>
      </c>
      <c r="H146" t="s">
        <v>32</v>
      </c>
      <c r="I146" t="s">
        <v>44</v>
      </c>
      <c r="J146" t="s">
        <v>570</v>
      </c>
      <c r="L146" s="24">
        <v>0</v>
      </c>
      <c r="M146" s="24">
        <v>0</v>
      </c>
      <c r="N146" s="24">
        <v>8.2069290027614555E-4</v>
      </c>
      <c r="O146" s="24">
        <v>1.2306591692257861E-2</v>
      </c>
      <c r="P146" s="24">
        <v>4.6192310604439447E-3</v>
      </c>
      <c r="Q146" s="24">
        <v>6.4497265549715438E-2</v>
      </c>
      <c r="R146" s="24">
        <v>8.2243781202693392E-2</v>
      </c>
      <c r="S146" s="26">
        <v>0</v>
      </c>
      <c r="T146" s="26">
        <v>0</v>
      </c>
      <c r="U146" s="26">
        <v>4.6780531356812222E-4</v>
      </c>
      <c r="V146" s="26">
        <v>4.722191823356421E-4</v>
      </c>
      <c r="W146" s="26">
        <v>3.1882396679996239E-4</v>
      </c>
      <c r="X146" s="26">
        <v>3.871417729214565E-2</v>
      </c>
      <c r="Y146" s="26">
        <v>3.997302575484938E-2</v>
      </c>
      <c r="Z146" s="28">
        <v>0</v>
      </c>
      <c r="AA146" s="28">
        <v>2.3145477658575108E-3</v>
      </c>
      <c r="AB146" s="28">
        <v>8.2547439225250213E-5</v>
      </c>
      <c r="AC146" s="28">
        <v>1.5438989133449149E-4</v>
      </c>
      <c r="AD146" s="28">
        <v>1.4224673917991051E-4</v>
      </c>
      <c r="AE146" s="28">
        <v>4.8788215979681049E-3</v>
      </c>
      <c r="AF146" s="28">
        <v>7.572553433565268E-3</v>
      </c>
      <c r="AG146" s="30">
        <v>0</v>
      </c>
      <c r="AH146" s="30">
        <v>1.228469691721989E-5</v>
      </c>
      <c r="AI146" s="30">
        <v>3.0935457184536091E-4</v>
      </c>
      <c r="AJ146" s="30">
        <v>3.7507357872791961E-4</v>
      </c>
      <c r="AK146" s="30">
        <v>1.9129113842685031E-4</v>
      </c>
      <c r="AL146" s="30">
        <v>1.657752604065503E-2</v>
      </c>
      <c r="AM146" s="30">
        <v>1.746553002657238E-2</v>
      </c>
      <c r="AN146" s="32">
        <v>0</v>
      </c>
      <c r="AO146" s="32">
        <v>8.7500264113198857E-6</v>
      </c>
      <c r="AP146" s="32">
        <v>7.308690791712847E-7</v>
      </c>
      <c r="AQ146" s="32">
        <v>7.4641524221169363E-7</v>
      </c>
      <c r="AR146" s="32">
        <v>7.7698743567950284E-7</v>
      </c>
      <c r="AS146" s="32">
        <v>1.154459782110781E-5</v>
      </c>
      <c r="AT146" s="32">
        <v>2.2548895989490177E-5</v>
      </c>
      <c r="AU146" s="34">
        <v>0</v>
      </c>
      <c r="AV146" s="34">
        <v>0</v>
      </c>
      <c r="AW146" s="34">
        <v>8.1766643948489922E-3</v>
      </c>
      <c r="AX146" s="34">
        <v>0.17647448414364728</v>
      </c>
      <c r="AY146" s="34">
        <v>0.16179161641112952</v>
      </c>
      <c r="AZ146" s="34">
        <v>0.86824376484824595</v>
      </c>
      <c r="BA146" s="34">
        <v>1.2146865297978717</v>
      </c>
      <c r="BB146" s="6"/>
      <c r="BC146" s="6"/>
      <c r="BD146" t="s">
        <v>679</v>
      </c>
      <c r="BF146" s="5">
        <v>7.173146200000001E-2</v>
      </c>
      <c r="BG146" s="5">
        <f t="shared" si="6"/>
        <v>-1.0512319202693382E-2</v>
      </c>
      <c r="BH146" s="2">
        <v>185.04839000000001</v>
      </c>
    </row>
    <row r="147" spans="1:60" x14ac:dyDescent="0.2">
      <c r="A147" t="str">
        <f t="shared" si="7"/>
        <v>Scooter, electric, &lt;4kW - 2040 - LFP - CH</v>
      </c>
      <c r="B147" t="s">
        <v>383</v>
      </c>
      <c r="D147" s="18">
        <v>2040</v>
      </c>
      <c r="E147" t="s">
        <v>37</v>
      </c>
      <c r="F147" t="s">
        <v>138</v>
      </c>
      <c r="G147" t="s">
        <v>39</v>
      </c>
      <c r="H147" t="s">
        <v>32</v>
      </c>
      <c r="I147" t="s">
        <v>44</v>
      </c>
      <c r="J147" t="s">
        <v>570</v>
      </c>
      <c r="L147" s="24">
        <v>0</v>
      </c>
      <c r="M147" s="24">
        <v>0</v>
      </c>
      <c r="N147" s="24">
        <v>8.2069290027614555E-4</v>
      </c>
      <c r="O147" s="24">
        <v>1.2306591692257861E-2</v>
      </c>
      <c r="P147" s="24">
        <v>4.6441463430581366E-3</v>
      </c>
      <c r="Q147" s="24">
        <v>6.5440864546142355E-2</v>
      </c>
      <c r="R147" s="24">
        <v>8.3212295481734505E-2</v>
      </c>
      <c r="S147" s="26">
        <v>0</v>
      </c>
      <c r="T147" s="26">
        <v>0</v>
      </c>
      <c r="U147" s="26">
        <v>4.6780531356812222E-4</v>
      </c>
      <c r="V147" s="26">
        <v>4.722191823356421E-4</v>
      </c>
      <c r="W147" s="26">
        <v>3.2039830472166051E-4</v>
      </c>
      <c r="X147" s="26">
        <v>3.8330651956681491E-2</v>
      </c>
      <c r="Y147" s="26">
        <v>3.9591074757306915E-2</v>
      </c>
      <c r="Z147" s="28">
        <v>0</v>
      </c>
      <c r="AA147" s="28">
        <v>2.3145477658575108E-3</v>
      </c>
      <c r="AB147" s="28">
        <v>8.2547439225250213E-5</v>
      </c>
      <c r="AC147" s="28">
        <v>1.5438989133449149E-4</v>
      </c>
      <c r="AD147" s="28">
        <v>1.4296237941758489E-4</v>
      </c>
      <c r="AE147" s="28">
        <v>4.8890465065137504E-3</v>
      </c>
      <c r="AF147" s="28">
        <v>7.5834939823485881E-3</v>
      </c>
      <c r="AG147" s="30">
        <v>0</v>
      </c>
      <c r="AH147" s="30">
        <v>1.228469691721989E-5</v>
      </c>
      <c r="AI147" s="30">
        <v>3.0935457184536091E-4</v>
      </c>
      <c r="AJ147" s="30">
        <v>3.7507357872791961E-4</v>
      </c>
      <c r="AK147" s="30">
        <v>1.9195902718277441E-4</v>
      </c>
      <c r="AL147" s="30">
        <v>1.660881184858444E-2</v>
      </c>
      <c r="AM147" s="30">
        <v>1.7497483723257715E-2</v>
      </c>
      <c r="AN147" s="32">
        <v>0</v>
      </c>
      <c r="AO147" s="32">
        <v>8.7500264113198857E-6</v>
      </c>
      <c r="AP147" s="32">
        <v>7.308690791712847E-7</v>
      </c>
      <c r="AQ147" s="32">
        <v>7.4641524221169363E-7</v>
      </c>
      <c r="AR147" s="32">
        <v>7.7962460354542263E-7</v>
      </c>
      <c r="AS147" s="32">
        <v>1.147640647557148E-5</v>
      </c>
      <c r="AT147" s="32">
        <v>2.2483341811819769E-5</v>
      </c>
      <c r="AU147" s="34">
        <v>0</v>
      </c>
      <c r="AV147" s="34">
        <v>0</v>
      </c>
      <c r="AW147" s="34">
        <v>8.1766643948489922E-3</v>
      </c>
      <c r="AX147" s="34">
        <v>0.17647448414364728</v>
      </c>
      <c r="AY147" s="34">
        <v>0.16260782483231345</v>
      </c>
      <c r="AZ147" s="34">
        <v>0.87552864290887888</v>
      </c>
      <c r="BA147" s="34">
        <v>1.2227876162796885</v>
      </c>
      <c r="BB147" s="6"/>
      <c r="BC147" s="6"/>
      <c r="BD147" t="s">
        <v>680</v>
      </c>
      <c r="BF147" s="5">
        <v>7.1897812999999991E-2</v>
      </c>
      <c r="BG147" s="5">
        <f t="shared" si="6"/>
        <v>-1.1314482481734514E-2</v>
      </c>
      <c r="BH147" s="2">
        <v>182.21646999999999</v>
      </c>
    </row>
    <row r="148" spans="1:60" x14ac:dyDescent="0.2">
      <c r="A148" t="str">
        <f t="shared" si="7"/>
        <v>Scooter, electric, &lt;4kW - 2050 - LFP - CH</v>
      </c>
      <c r="B148" t="s">
        <v>383</v>
      </c>
      <c r="D148" s="18">
        <v>2050</v>
      </c>
      <c r="E148" t="s">
        <v>37</v>
      </c>
      <c r="F148" t="s">
        <v>138</v>
      </c>
      <c r="G148" t="s">
        <v>39</v>
      </c>
      <c r="H148" t="s">
        <v>32</v>
      </c>
      <c r="I148" t="s">
        <v>44</v>
      </c>
      <c r="J148" t="s">
        <v>570</v>
      </c>
      <c r="L148" s="24">
        <v>0</v>
      </c>
      <c r="M148" s="24">
        <v>0</v>
      </c>
      <c r="N148" s="24">
        <v>8.2069290027614555E-4</v>
      </c>
      <c r="O148" s="24">
        <v>1.2306591692257861E-2</v>
      </c>
      <c r="P148" s="24">
        <v>4.6453905898147536E-3</v>
      </c>
      <c r="Q148" s="24">
        <v>6.1967285703291297E-2</v>
      </c>
      <c r="R148" s="24">
        <v>7.973996088564006E-2</v>
      </c>
      <c r="S148" s="26">
        <v>0</v>
      </c>
      <c r="T148" s="26">
        <v>0</v>
      </c>
      <c r="U148" s="26">
        <v>4.6780531356812222E-4</v>
      </c>
      <c r="V148" s="26">
        <v>4.722191823356421E-4</v>
      </c>
      <c r="W148" s="26">
        <v>3.2047692573845658E-4</v>
      </c>
      <c r="X148" s="26">
        <v>3.4998725192855157E-2</v>
      </c>
      <c r="Y148" s="26">
        <v>3.6259226614497375E-2</v>
      </c>
      <c r="Z148" s="28">
        <v>0</v>
      </c>
      <c r="AA148" s="28">
        <v>2.3145477658575108E-3</v>
      </c>
      <c r="AB148" s="28">
        <v>8.2547439225250213E-5</v>
      </c>
      <c r="AC148" s="28">
        <v>1.5438989133449149E-4</v>
      </c>
      <c r="AD148" s="28">
        <v>1.4299811784601929E-4</v>
      </c>
      <c r="AE148" s="28">
        <v>4.4688020293989616E-3</v>
      </c>
      <c r="AF148" s="28">
        <v>7.1632852436622329E-3</v>
      </c>
      <c r="AG148" s="30">
        <v>0</v>
      </c>
      <c r="AH148" s="30">
        <v>1.228469691721989E-5</v>
      </c>
      <c r="AI148" s="30">
        <v>3.0935457184536091E-4</v>
      </c>
      <c r="AJ148" s="30">
        <v>3.7507357872791961E-4</v>
      </c>
      <c r="AK148" s="30">
        <v>1.9199238094525051E-4</v>
      </c>
      <c r="AL148" s="30">
        <v>1.5273393428673751E-2</v>
      </c>
      <c r="AM148" s="30">
        <v>1.6162098657109502E-2</v>
      </c>
      <c r="AN148" s="32">
        <v>0</v>
      </c>
      <c r="AO148" s="32">
        <v>8.7500264113198857E-6</v>
      </c>
      <c r="AP148" s="32">
        <v>7.308690791712847E-7</v>
      </c>
      <c r="AQ148" s="32">
        <v>7.4641524221169363E-7</v>
      </c>
      <c r="AR148" s="32">
        <v>7.7975630133166223E-7</v>
      </c>
      <c r="AS148" s="32">
        <v>1.068917165979742E-5</v>
      </c>
      <c r="AT148" s="32">
        <v>2.1696238693831949E-5</v>
      </c>
      <c r="AU148" s="34">
        <v>0</v>
      </c>
      <c r="AV148" s="34">
        <v>0</v>
      </c>
      <c r="AW148" s="34">
        <v>8.1766643948489922E-3</v>
      </c>
      <c r="AX148" s="34">
        <v>0.17647448414364728</v>
      </c>
      <c r="AY148" s="34">
        <v>0.16264858554518624</v>
      </c>
      <c r="AZ148" s="34">
        <v>0.82311825228728053</v>
      </c>
      <c r="BA148" s="34">
        <v>1.1704179863709632</v>
      </c>
      <c r="BB148" s="6"/>
      <c r="BC148" s="6"/>
      <c r="BD148" t="s">
        <v>681</v>
      </c>
      <c r="BF148" s="5">
        <v>6.875705800000001E-2</v>
      </c>
      <c r="BG148" s="5">
        <f t="shared" si="6"/>
        <v>-1.098290288564005E-2</v>
      </c>
      <c r="BH148" s="2">
        <v>164.96872000000002</v>
      </c>
    </row>
    <row r="149" spans="1:60" x14ac:dyDescent="0.2">
      <c r="A149" t="str">
        <f t="shared" si="7"/>
        <v>Scooter, electric, 4-11kW - 2020 - LFP - CH</v>
      </c>
      <c r="B149" t="s">
        <v>344</v>
      </c>
      <c r="D149" s="18">
        <v>2020</v>
      </c>
      <c r="E149" t="s">
        <v>37</v>
      </c>
      <c r="F149" t="s">
        <v>138</v>
      </c>
      <c r="G149" t="s">
        <v>39</v>
      </c>
      <c r="H149" t="s">
        <v>32</v>
      </c>
      <c r="I149" t="s">
        <v>44</v>
      </c>
      <c r="J149" t="s">
        <v>570</v>
      </c>
      <c r="L149" s="24">
        <v>0</v>
      </c>
      <c r="M149" s="24">
        <v>0</v>
      </c>
      <c r="N149" s="24">
        <v>1.164988379267724E-3</v>
      </c>
      <c r="O149" s="24">
        <v>1.476791003070943E-2</v>
      </c>
      <c r="P149" s="24">
        <v>4.7364785566436198E-3</v>
      </c>
      <c r="Q149" s="24">
        <v>6.8503985953146843E-2</v>
      </c>
      <c r="R149" s="24">
        <v>8.9173362919767615E-2</v>
      </c>
      <c r="S149" s="26">
        <v>0</v>
      </c>
      <c r="T149" s="26">
        <v>0</v>
      </c>
      <c r="U149" s="26">
        <v>6.6405808297254575E-4</v>
      </c>
      <c r="V149" s="26">
        <v>5.6666301880277056E-4</v>
      </c>
      <c r="W149" s="26">
        <v>3.2623255944366558E-4</v>
      </c>
      <c r="X149" s="26">
        <v>4.4186015657153251E-2</v>
      </c>
      <c r="Y149" s="26">
        <v>4.5742969318372233E-2</v>
      </c>
      <c r="Z149" s="28">
        <v>0</v>
      </c>
      <c r="AA149" s="28">
        <v>2.3145477658575108E-3</v>
      </c>
      <c r="AB149" s="28">
        <v>1.17177579339808E-4</v>
      </c>
      <c r="AC149" s="28">
        <v>1.8526786960138981E-4</v>
      </c>
      <c r="AD149" s="28">
        <v>1.4561443230811421E-4</v>
      </c>
      <c r="AE149" s="28">
        <v>5.2687619062689673E-3</v>
      </c>
      <c r="AF149" s="28">
        <v>8.0313695533757896E-3</v>
      </c>
      <c r="AG149" s="30">
        <v>0</v>
      </c>
      <c r="AH149" s="30">
        <v>1.228469691721989E-5</v>
      </c>
      <c r="AI149" s="30">
        <v>4.3913439625458252E-4</v>
      </c>
      <c r="AJ149" s="30">
        <v>4.5008829447350349E-4</v>
      </c>
      <c r="AK149" s="30">
        <v>1.944341204104222E-4</v>
      </c>
      <c r="AL149" s="30">
        <v>1.8177658043692691E-2</v>
      </c>
      <c r="AM149" s="30">
        <v>1.927359955174842E-2</v>
      </c>
      <c r="AN149" s="32">
        <v>0</v>
      </c>
      <c r="AO149" s="32">
        <v>8.7500264113198857E-6</v>
      </c>
      <c r="AP149" s="32">
        <v>1.037481844565918E-6</v>
      </c>
      <c r="AQ149" s="32">
        <v>8.9569829065403236E-7</v>
      </c>
      <c r="AR149" s="32">
        <v>7.8939754292673927E-7</v>
      </c>
      <c r="AS149" s="32">
        <v>1.245653359270986E-5</v>
      </c>
      <c r="AT149" s="32">
        <v>2.3929137682176438E-5</v>
      </c>
      <c r="AU149" s="34">
        <v>0</v>
      </c>
      <c r="AV149" s="34">
        <v>0</v>
      </c>
      <c r="AW149" s="34">
        <v>1.1606922635697264E-2</v>
      </c>
      <c r="AX149" s="34">
        <v>0.21176938097237663</v>
      </c>
      <c r="AY149" s="34">
        <v>0.1656325679765914</v>
      </c>
      <c r="AZ149" s="34">
        <v>0.93047283691177507</v>
      </c>
      <c r="BA149" s="34">
        <v>1.3194817084964403</v>
      </c>
      <c r="BB149" s="6"/>
      <c r="BC149" s="6"/>
      <c r="BD149" t="s">
        <v>921</v>
      </c>
      <c r="BF149" s="5">
        <v>7.7927131000000011E-2</v>
      </c>
      <c r="BG149" s="5">
        <f t="shared" si="6"/>
        <v>-1.1246231919767605E-2</v>
      </c>
      <c r="BH149" s="2">
        <v>203.41168000000002</v>
      </c>
    </row>
    <row r="150" spans="1:60" x14ac:dyDescent="0.2">
      <c r="A150" t="str">
        <f t="shared" si="7"/>
        <v>Scooter, electric, 4-11kW - 2030 - LFP - CH</v>
      </c>
      <c r="B150" t="s">
        <v>344</v>
      </c>
      <c r="D150" s="18">
        <v>2030</v>
      </c>
      <c r="E150" t="s">
        <v>37</v>
      </c>
      <c r="F150" t="s">
        <v>138</v>
      </c>
      <c r="G150" t="s">
        <v>39</v>
      </c>
      <c r="H150" t="s">
        <v>32</v>
      </c>
      <c r="I150" t="s">
        <v>44</v>
      </c>
      <c r="J150" t="s">
        <v>570</v>
      </c>
      <c r="L150" s="24">
        <v>0</v>
      </c>
      <c r="M150" s="24">
        <v>0</v>
      </c>
      <c r="N150" s="24">
        <v>1.164988379267724E-3</v>
      </c>
      <c r="O150" s="24">
        <v>1.476791003070943E-2</v>
      </c>
      <c r="P150" s="24">
        <v>4.8108147134809714E-3</v>
      </c>
      <c r="Q150" s="24">
        <v>7.3981881923108436E-2</v>
      </c>
      <c r="R150" s="24">
        <v>9.4725595046566566E-2</v>
      </c>
      <c r="S150" s="26">
        <v>0</v>
      </c>
      <c r="T150" s="26">
        <v>0</v>
      </c>
      <c r="U150" s="26">
        <v>6.6405808297254575E-4</v>
      </c>
      <c r="V150" s="26">
        <v>5.6666301880277056E-4</v>
      </c>
      <c r="W150" s="26">
        <v>3.3092968580079022E-4</v>
      </c>
      <c r="X150" s="26">
        <v>4.6563256374028167E-2</v>
      </c>
      <c r="Y150" s="26">
        <v>4.8124907161604273E-2</v>
      </c>
      <c r="Z150" s="28">
        <v>0</v>
      </c>
      <c r="AA150" s="28">
        <v>2.3145477658575108E-3</v>
      </c>
      <c r="AB150" s="28">
        <v>1.17177579339808E-4</v>
      </c>
      <c r="AC150" s="28">
        <v>1.8526786960138981E-4</v>
      </c>
      <c r="AD150" s="28">
        <v>1.4774958548982369E-4</v>
      </c>
      <c r="AE150" s="28">
        <v>5.6999089564318582E-3</v>
      </c>
      <c r="AF150" s="28">
        <v>8.4646517567203913E-3</v>
      </c>
      <c r="AG150" s="30">
        <v>0</v>
      </c>
      <c r="AH150" s="30">
        <v>1.228469691721989E-5</v>
      </c>
      <c r="AI150" s="30">
        <v>4.3913439625458252E-4</v>
      </c>
      <c r="AJ150" s="30">
        <v>4.5008829447350349E-4</v>
      </c>
      <c r="AK150" s="30">
        <v>1.9642680434176919E-4</v>
      </c>
      <c r="AL150" s="30">
        <v>1.9540880521870019E-2</v>
      </c>
      <c r="AM150" s="30">
        <v>2.0638814713857093E-2</v>
      </c>
      <c r="AN150" s="32">
        <v>0</v>
      </c>
      <c r="AO150" s="32">
        <v>8.7500264113198857E-6</v>
      </c>
      <c r="AP150" s="32">
        <v>1.037481844565918E-6</v>
      </c>
      <c r="AQ150" s="32">
        <v>8.9569829065403236E-7</v>
      </c>
      <c r="AR150" s="32">
        <v>7.9726568261927352E-7</v>
      </c>
      <c r="AS150" s="32">
        <v>1.307285901022128E-5</v>
      </c>
      <c r="AT150" s="32">
        <v>2.455333123938039E-5</v>
      </c>
      <c r="AU150" s="34">
        <v>0</v>
      </c>
      <c r="AV150" s="34">
        <v>0</v>
      </c>
      <c r="AW150" s="34">
        <v>1.1606922635697264E-2</v>
      </c>
      <c r="AX150" s="34">
        <v>0.21176938097237663</v>
      </c>
      <c r="AY150" s="34">
        <v>0.16806777202980711</v>
      </c>
      <c r="AZ150" s="34">
        <v>0.99769598434383955</v>
      </c>
      <c r="BA150" s="34">
        <v>1.3891400599817205</v>
      </c>
      <c r="BB150" s="6"/>
      <c r="BC150" s="6"/>
      <c r="BD150" t="s">
        <v>682</v>
      </c>
      <c r="BF150" s="5">
        <v>8.1398964000000004E-2</v>
      </c>
      <c r="BG150" s="5">
        <f t="shared" si="6"/>
        <v>-1.3326631046566562E-2</v>
      </c>
      <c r="BH150" s="2">
        <v>213.96475000000001</v>
      </c>
    </row>
    <row r="151" spans="1:60" x14ac:dyDescent="0.2">
      <c r="A151" t="str">
        <f t="shared" si="7"/>
        <v>Scooter, electric, 4-11kW - 2040 - LFP - CH</v>
      </c>
      <c r="B151" t="s">
        <v>344</v>
      </c>
      <c r="D151" s="18">
        <v>2040</v>
      </c>
      <c r="E151" t="s">
        <v>37</v>
      </c>
      <c r="F151" t="s">
        <v>138</v>
      </c>
      <c r="G151" t="s">
        <v>39</v>
      </c>
      <c r="H151" t="s">
        <v>32</v>
      </c>
      <c r="I151" t="s">
        <v>44</v>
      </c>
      <c r="J151" t="s">
        <v>570</v>
      </c>
      <c r="L151" s="24">
        <v>0</v>
      </c>
      <c r="M151" s="24">
        <v>0</v>
      </c>
      <c r="N151" s="24">
        <v>1.164988379267724E-3</v>
      </c>
      <c r="O151" s="24">
        <v>1.476791003070943E-2</v>
      </c>
      <c r="P151" s="24">
        <v>4.8455777539615523E-3</v>
      </c>
      <c r="Q151" s="24">
        <v>7.4107235038086375E-2</v>
      </c>
      <c r="R151" s="24">
        <v>9.4885711202025075E-2</v>
      </c>
      <c r="S151" s="26">
        <v>0</v>
      </c>
      <c r="T151" s="26">
        <v>0</v>
      </c>
      <c r="U151" s="26">
        <v>6.6405808297254575E-4</v>
      </c>
      <c r="V151" s="26">
        <v>5.6666301880277056E-4</v>
      </c>
      <c r="W151" s="26">
        <v>3.3312628030664302E-4</v>
      </c>
      <c r="X151" s="26">
        <v>4.5783552173533693E-2</v>
      </c>
      <c r="Y151" s="26">
        <v>4.7347399555615649E-2</v>
      </c>
      <c r="Z151" s="28">
        <v>0</v>
      </c>
      <c r="AA151" s="28">
        <v>2.3145477658575108E-3</v>
      </c>
      <c r="AB151" s="28">
        <v>1.17177579339808E-4</v>
      </c>
      <c r="AC151" s="28">
        <v>1.8526786960138981E-4</v>
      </c>
      <c r="AD151" s="28">
        <v>1.4874808231352181E-4</v>
      </c>
      <c r="AE151" s="28">
        <v>5.6432118889882411E-3</v>
      </c>
      <c r="AF151" s="28">
        <v>8.4089531861004721E-3</v>
      </c>
      <c r="AG151" s="30">
        <v>0</v>
      </c>
      <c r="AH151" s="30">
        <v>1.228469691721989E-5</v>
      </c>
      <c r="AI151" s="30">
        <v>4.3913439625458252E-4</v>
      </c>
      <c r="AJ151" s="30">
        <v>4.5008829447350349E-4</v>
      </c>
      <c r="AK151" s="30">
        <v>1.9735867592509559E-4</v>
      </c>
      <c r="AL151" s="30">
        <v>1.9353588504770501E-2</v>
      </c>
      <c r="AM151" s="30">
        <v>2.0452454568340904E-2</v>
      </c>
      <c r="AN151" s="32">
        <v>0</v>
      </c>
      <c r="AO151" s="32">
        <v>8.7500264113198857E-6</v>
      </c>
      <c r="AP151" s="32">
        <v>1.037481844565918E-6</v>
      </c>
      <c r="AQ151" s="32">
        <v>8.9569829065403236E-7</v>
      </c>
      <c r="AR151" s="32">
        <v>8.009451902811628E-7</v>
      </c>
      <c r="AS151" s="32">
        <v>1.2911245063590589E-5</v>
      </c>
      <c r="AT151" s="32">
        <v>2.4395396800411589E-5</v>
      </c>
      <c r="AU151" s="34">
        <v>0</v>
      </c>
      <c r="AV151" s="34">
        <v>0</v>
      </c>
      <c r="AW151" s="34">
        <v>1.1606922635697264E-2</v>
      </c>
      <c r="AX151" s="34">
        <v>0.21176938097237663</v>
      </c>
      <c r="AY151" s="34">
        <v>0.16920658658092311</v>
      </c>
      <c r="AZ151" s="34">
        <v>0.99487468077250452</v>
      </c>
      <c r="BA151" s="34">
        <v>1.3874575709615016</v>
      </c>
      <c r="BB151" s="6"/>
      <c r="BC151" s="6"/>
      <c r="BD151" t="s">
        <v>683</v>
      </c>
      <c r="BF151" s="5">
        <v>8.108528000000001E-2</v>
      </c>
      <c r="BG151" s="5">
        <f t="shared" si="6"/>
        <v>-1.3800431202025065E-2</v>
      </c>
      <c r="BH151" s="2">
        <v>209.47385</v>
      </c>
    </row>
    <row r="152" spans="1:60" x14ac:dyDescent="0.2">
      <c r="A152" t="str">
        <f t="shared" si="7"/>
        <v>Scooter, electric, 4-11kW - 2050 - LFP - CH</v>
      </c>
      <c r="B152" t="s">
        <v>344</v>
      </c>
      <c r="D152" s="18">
        <v>2050</v>
      </c>
      <c r="E152" t="s">
        <v>37</v>
      </c>
      <c r="F152" t="s">
        <v>138</v>
      </c>
      <c r="G152" t="s">
        <v>39</v>
      </c>
      <c r="H152" t="s">
        <v>32</v>
      </c>
      <c r="I152" t="s">
        <v>44</v>
      </c>
      <c r="J152" t="s">
        <v>570</v>
      </c>
      <c r="L152" s="24">
        <v>0</v>
      </c>
      <c r="M152" s="24">
        <v>0</v>
      </c>
      <c r="N152" s="24">
        <v>1.164988379267724E-3</v>
      </c>
      <c r="O152" s="24">
        <v>1.476791003070943E-2</v>
      </c>
      <c r="P152" s="24">
        <v>4.8339850158877129E-3</v>
      </c>
      <c r="Q152" s="24">
        <v>6.7916981923175565E-2</v>
      </c>
      <c r="R152" s="24">
        <v>8.8683865349040436E-2</v>
      </c>
      <c r="S152" s="26">
        <v>0</v>
      </c>
      <c r="T152" s="26">
        <v>0</v>
      </c>
      <c r="U152" s="26">
        <v>6.6405808297254575E-4</v>
      </c>
      <c r="V152" s="26">
        <v>5.6666301880277056E-4</v>
      </c>
      <c r="W152" s="26">
        <v>3.3239376254039612E-4</v>
      </c>
      <c r="X152" s="26">
        <v>4.079598865565106E-2</v>
      </c>
      <c r="Y152" s="26">
        <v>4.2359103519966773E-2</v>
      </c>
      <c r="Z152" s="28">
        <v>0</v>
      </c>
      <c r="AA152" s="28">
        <v>2.3145477658575108E-3</v>
      </c>
      <c r="AB152" s="28">
        <v>1.17177579339808E-4</v>
      </c>
      <c r="AC152" s="28">
        <v>1.8526786960138981E-4</v>
      </c>
      <c r="AD152" s="28">
        <v>1.484151047607914E-4</v>
      </c>
      <c r="AE152" s="28">
        <v>4.9713655173559456E-3</v>
      </c>
      <c r="AF152" s="28">
        <v>7.7367738369154455E-3</v>
      </c>
      <c r="AG152" s="30">
        <v>0</v>
      </c>
      <c r="AH152" s="30">
        <v>1.228469691721989E-5</v>
      </c>
      <c r="AI152" s="30">
        <v>4.3913439625458252E-4</v>
      </c>
      <c r="AJ152" s="30">
        <v>4.5008829447350349E-4</v>
      </c>
      <c r="AK152" s="30">
        <v>1.970479164795865E-4</v>
      </c>
      <c r="AL152" s="30">
        <v>1.7215818727816589E-2</v>
      </c>
      <c r="AM152" s="30">
        <v>1.8314374031941482E-2</v>
      </c>
      <c r="AN152" s="32">
        <v>0</v>
      </c>
      <c r="AO152" s="32">
        <v>8.7500264113198857E-6</v>
      </c>
      <c r="AP152" s="32">
        <v>1.037481844565918E-6</v>
      </c>
      <c r="AQ152" s="32">
        <v>8.9569829065403236E-7</v>
      </c>
      <c r="AR152" s="32">
        <v>7.9971815237034508E-7</v>
      </c>
      <c r="AS152" s="32">
        <v>1.1720410589530591E-5</v>
      </c>
      <c r="AT152" s="32">
        <v>2.3203335288440771E-5</v>
      </c>
      <c r="AU152" s="34">
        <v>0</v>
      </c>
      <c r="AV152" s="34">
        <v>0</v>
      </c>
      <c r="AW152" s="34">
        <v>1.1606922635697264E-2</v>
      </c>
      <c r="AX152" s="34">
        <v>0.21176938097237663</v>
      </c>
      <c r="AY152" s="34">
        <v>0.16882681603659636</v>
      </c>
      <c r="AZ152" s="34">
        <v>0.9066855887612052</v>
      </c>
      <c r="BA152" s="34">
        <v>1.2988887084058756</v>
      </c>
      <c r="BB152" s="6"/>
      <c r="BC152" s="6"/>
      <c r="BD152" t="s">
        <v>684</v>
      </c>
      <c r="BF152" s="5">
        <v>7.6017019000000005E-2</v>
      </c>
      <c r="BG152" s="5">
        <f t="shared" si="6"/>
        <v>-1.2666846349040431E-2</v>
      </c>
      <c r="BH152" s="2">
        <v>184.34161</v>
      </c>
    </row>
    <row r="153" spans="1:60" x14ac:dyDescent="0.2">
      <c r="A153" t="str">
        <f t="shared" si="7"/>
        <v>Scooter, electric, &lt;4kW - 2020 - NCA - CH</v>
      </c>
      <c r="B153" t="s">
        <v>383</v>
      </c>
      <c r="D153" s="18">
        <v>2020</v>
      </c>
      <c r="E153" t="s">
        <v>37</v>
      </c>
      <c r="F153" t="s">
        <v>138</v>
      </c>
      <c r="G153" t="s">
        <v>39</v>
      </c>
      <c r="H153" t="s">
        <v>32</v>
      </c>
      <c r="I153" t="s">
        <v>45</v>
      </c>
      <c r="J153" t="s">
        <v>570</v>
      </c>
      <c r="L153" s="24">
        <v>0</v>
      </c>
      <c r="M153" s="24">
        <v>0</v>
      </c>
      <c r="N153" s="24">
        <v>8.2069290027614555E-4</v>
      </c>
      <c r="O153" s="24">
        <v>1.2306591692257861E-2</v>
      </c>
      <c r="P153" s="24">
        <v>4.4911191657352797E-3</v>
      </c>
      <c r="Q153" s="24">
        <v>4.2067832680995308E-2</v>
      </c>
      <c r="R153" s="24">
        <v>5.9686236439264594E-2</v>
      </c>
      <c r="S153" s="26">
        <v>0</v>
      </c>
      <c r="T153" s="26">
        <v>0</v>
      </c>
      <c r="U153" s="26">
        <v>4.6780531356812222E-4</v>
      </c>
      <c r="V153" s="26">
        <v>4.722191823356421E-4</v>
      </c>
      <c r="W153" s="26">
        <v>3.1072887844862479E-4</v>
      </c>
      <c r="X153" s="26">
        <v>2.890499184582182E-2</v>
      </c>
      <c r="Y153" s="26">
        <v>3.015574522017421E-2</v>
      </c>
      <c r="Z153" s="28">
        <v>0</v>
      </c>
      <c r="AA153" s="28">
        <v>2.3145477658575108E-3</v>
      </c>
      <c r="AB153" s="28">
        <v>8.2547439225250213E-5</v>
      </c>
      <c r="AC153" s="28">
        <v>1.5438989133449149E-4</v>
      </c>
      <c r="AD153" s="28">
        <v>1.385669885546453E-4</v>
      </c>
      <c r="AE153" s="28">
        <v>3.0756748545306672E-3</v>
      </c>
      <c r="AF153" s="28">
        <v>5.7657269395025648E-3</v>
      </c>
      <c r="AG153" s="30">
        <v>0</v>
      </c>
      <c r="AH153" s="30">
        <v>1.228469691721989E-5</v>
      </c>
      <c r="AI153" s="30">
        <v>3.0935457184536091E-4</v>
      </c>
      <c r="AJ153" s="30">
        <v>3.7507357872791961E-4</v>
      </c>
      <c r="AK153" s="30">
        <v>1.8785692115141391E-4</v>
      </c>
      <c r="AL153" s="30">
        <v>1.057436942931865E-2</v>
      </c>
      <c r="AM153" s="30">
        <v>1.1458939197960564E-2</v>
      </c>
      <c r="AN153" s="32">
        <v>0</v>
      </c>
      <c r="AO153" s="32">
        <v>8.7500264113198857E-6</v>
      </c>
      <c r="AP153" s="32">
        <v>7.308690791712847E-7</v>
      </c>
      <c r="AQ153" s="32">
        <v>7.4641524221169363E-7</v>
      </c>
      <c r="AR153" s="32">
        <v>7.6342738190851566E-7</v>
      </c>
      <c r="AS153" s="32">
        <v>9.2605720671351224E-6</v>
      </c>
      <c r="AT153" s="32">
        <v>2.0251310181746502E-5</v>
      </c>
      <c r="AU153" s="34">
        <v>0</v>
      </c>
      <c r="AV153" s="34">
        <v>0</v>
      </c>
      <c r="AW153" s="34">
        <v>8.1766643948489922E-3</v>
      </c>
      <c r="AX153" s="34">
        <v>0.17647448414364728</v>
      </c>
      <c r="AY153" s="34">
        <v>0.15759475423082736</v>
      </c>
      <c r="AZ153" s="34">
        <v>0.58399158915226546</v>
      </c>
      <c r="BA153" s="34">
        <v>0.92623749192158911</v>
      </c>
      <c r="BB153" s="6"/>
      <c r="BC153" s="6"/>
      <c r="BD153" t="s">
        <v>922</v>
      </c>
      <c r="BF153" s="5">
        <v>5.6816817999999998E-2</v>
      </c>
      <c r="BG153" s="5">
        <f t="shared" si="6"/>
        <v>-2.8694184392645955E-3</v>
      </c>
      <c r="BH153" s="2">
        <v>133.65012000000002</v>
      </c>
    </row>
    <row r="154" spans="1:60" x14ac:dyDescent="0.2">
      <c r="A154" t="str">
        <f t="shared" si="7"/>
        <v>Scooter, electric, &lt;4kW - 2030 - NCA - CH</v>
      </c>
      <c r="B154" t="s">
        <v>383</v>
      </c>
      <c r="D154" s="18">
        <v>2030</v>
      </c>
      <c r="E154" t="s">
        <v>37</v>
      </c>
      <c r="F154" t="s">
        <v>138</v>
      </c>
      <c r="G154" t="s">
        <v>39</v>
      </c>
      <c r="H154" t="s">
        <v>32</v>
      </c>
      <c r="I154" t="s">
        <v>45</v>
      </c>
      <c r="J154" t="s">
        <v>570</v>
      </c>
      <c r="L154" s="24">
        <v>0</v>
      </c>
      <c r="M154" s="24">
        <v>0</v>
      </c>
      <c r="N154" s="24">
        <v>8.2069290027614555E-4</v>
      </c>
      <c r="O154" s="24">
        <v>1.2306591692257861E-2</v>
      </c>
      <c r="P154" s="24">
        <v>4.5008758811560627E-3</v>
      </c>
      <c r="Q154" s="24">
        <v>4.5495821079306192E-2</v>
      </c>
      <c r="R154" s="24">
        <v>6.3123981552996256E-2</v>
      </c>
      <c r="S154" s="26">
        <v>0</v>
      </c>
      <c r="T154" s="26">
        <v>0</v>
      </c>
      <c r="U154" s="26">
        <v>4.6780531356812222E-4</v>
      </c>
      <c r="V154" s="26">
        <v>4.722191823356421E-4</v>
      </c>
      <c r="W154" s="26">
        <v>3.1134538227545303E-4</v>
      </c>
      <c r="X154" s="26">
        <v>2.9513116638452842E-2</v>
      </c>
      <c r="Y154" s="26">
        <v>3.0764486516632057E-2</v>
      </c>
      <c r="Z154" s="28">
        <v>0</v>
      </c>
      <c r="AA154" s="28">
        <v>2.3145477658575108E-3</v>
      </c>
      <c r="AB154" s="28">
        <v>8.2547439225250213E-5</v>
      </c>
      <c r="AC154" s="28">
        <v>1.5438989133449149E-4</v>
      </c>
      <c r="AD154" s="28">
        <v>1.3884723013371031E-4</v>
      </c>
      <c r="AE154" s="28">
        <v>3.2716111773970899E-3</v>
      </c>
      <c r="AF154" s="28">
        <v>5.9619435039480525E-3</v>
      </c>
      <c r="AG154" s="30">
        <v>0</v>
      </c>
      <c r="AH154" s="30">
        <v>1.228469691721989E-5</v>
      </c>
      <c r="AI154" s="30">
        <v>3.0935457184536091E-4</v>
      </c>
      <c r="AJ154" s="30">
        <v>3.7507357872791961E-4</v>
      </c>
      <c r="AK154" s="30">
        <v>1.881184634596107E-4</v>
      </c>
      <c r="AL154" s="30">
        <v>1.1217438942524969E-2</v>
      </c>
      <c r="AM154" s="30">
        <v>1.210227025347508E-2</v>
      </c>
      <c r="AN154" s="32">
        <v>0</v>
      </c>
      <c r="AO154" s="32">
        <v>8.7500264113198857E-6</v>
      </c>
      <c r="AP154" s="32">
        <v>7.308690791712847E-7</v>
      </c>
      <c r="AQ154" s="32">
        <v>7.4641524221169363E-7</v>
      </c>
      <c r="AR154" s="32">
        <v>7.6446008528110175E-7</v>
      </c>
      <c r="AS154" s="32">
        <v>9.4255156339449068E-6</v>
      </c>
      <c r="AT154" s="32">
        <v>2.0417286451928873E-5</v>
      </c>
      <c r="AU154" s="34">
        <v>0</v>
      </c>
      <c r="AV154" s="34">
        <v>0</v>
      </c>
      <c r="AW154" s="34">
        <v>8.1766643948489922E-3</v>
      </c>
      <c r="AX154" s="34">
        <v>0.17647448414364728</v>
      </c>
      <c r="AY154" s="34">
        <v>0.15791437786957357</v>
      </c>
      <c r="AZ154" s="34">
        <v>0.62073382495256313</v>
      </c>
      <c r="BA154" s="34">
        <v>0.96329935136063294</v>
      </c>
      <c r="BB154" s="6"/>
      <c r="BC154" s="6"/>
      <c r="BD154" t="s">
        <v>685</v>
      </c>
      <c r="BF154" s="5">
        <v>5.8321567999999997E-2</v>
      </c>
      <c r="BG154" s="5">
        <f t="shared" si="6"/>
        <v>-4.8024135529962583E-3</v>
      </c>
      <c r="BH154" s="2">
        <v>134.59079</v>
      </c>
    </row>
    <row r="155" spans="1:60" x14ac:dyDescent="0.2">
      <c r="A155" t="str">
        <f t="shared" si="7"/>
        <v>Scooter, electric, &lt;4kW - 2040 - NCA - CH</v>
      </c>
      <c r="B155" t="s">
        <v>383</v>
      </c>
      <c r="D155" s="18">
        <v>2040</v>
      </c>
      <c r="E155" t="s">
        <v>37</v>
      </c>
      <c r="F155" t="s">
        <v>138</v>
      </c>
      <c r="G155" t="s">
        <v>39</v>
      </c>
      <c r="H155" t="s">
        <v>32</v>
      </c>
      <c r="I155" t="s">
        <v>45</v>
      </c>
      <c r="J155" t="s">
        <v>570</v>
      </c>
      <c r="L155" s="24">
        <v>0</v>
      </c>
      <c r="M155" s="24">
        <v>0</v>
      </c>
      <c r="N155" s="24">
        <v>8.2069290027614555E-4</v>
      </c>
      <c r="O155" s="24">
        <v>1.2306591692257861E-2</v>
      </c>
      <c r="P155" s="24">
        <v>4.5011338347519464E-3</v>
      </c>
      <c r="Q155" s="24">
        <v>4.6496785035868689E-2</v>
      </c>
      <c r="R155" s="24">
        <v>6.4125203463154645E-2</v>
      </c>
      <c r="S155" s="26">
        <v>0</v>
      </c>
      <c r="T155" s="26">
        <v>0</v>
      </c>
      <c r="U155" s="26">
        <v>4.6780531356812222E-4</v>
      </c>
      <c r="V155" s="26">
        <v>4.722191823356421E-4</v>
      </c>
      <c r="W155" s="26">
        <v>3.1136168175454492E-4</v>
      </c>
      <c r="X155" s="26">
        <v>2.87154632079984E-2</v>
      </c>
      <c r="Y155" s="26">
        <v>2.9966849385656708E-2</v>
      </c>
      <c r="Z155" s="28">
        <v>0</v>
      </c>
      <c r="AA155" s="28">
        <v>2.3145477658575108E-3</v>
      </c>
      <c r="AB155" s="28">
        <v>8.2547439225250213E-5</v>
      </c>
      <c r="AC155" s="28">
        <v>1.5438989133449149E-4</v>
      </c>
      <c r="AD155" s="28">
        <v>1.3885463932009301E-4</v>
      </c>
      <c r="AE155" s="28">
        <v>3.2525027115432822E-3</v>
      </c>
      <c r="AF155" s="28">
        <v>5.9428424472806277E-3</v>
      </c>
      <c r="AG155" s="30">
        <v>0</v>
      </c>
      <c r="AH155" s="30">
        <v>1.228469691721989E-5</v>
      </c>
      <c r="AI155" s="30">
        <v>3.0935457184536091E-4</v>
      </c>
      <c r="AJ155" s="30">
        <v>3.7507357872791961E-4</v>
      </c>
      <c r="AK155" s="30">
        <v>1.881253782640265E-4</v>
      </c>
      <c r="AL155" s="30">
        <v>1.1195578197507749E-2</v>
      </c>
      <c r="AM155" s="30">
        <v>1.2080416423262276E-2</v>
      </c>
      <c r="AN155" s="32">
        <v>0</v>
      </c>
      <c r="AO155" s="32">
        <v>8.7500264113198857E-6</v>
      </c>
      <c r="AP155" s="32">
        <v>7.308690791712847E-7</v>
      </c>
      <c r="AQ155" s="32">
        <v>7.4641524221169363E-7</v>
      </c>
      <c r="AR155" s="32">
        <v>7.6448738848068806E-7</v>
      </c>
      <c r="AS155" s="32">
        <v>9.23007031857047E-6</v>
      </c>
      <c r="AT155" s="32">
        <v>2.0221868439754023E-5</v>
      </c>
      <c r="AU155" s="34">
        <v>0</v>
      </c>
      <c r="AV155" s="34">
        <v>0</v>
      </c>
      <c r="AW155" s="34">
        <v>8.1766643948489922E-3</v>
      </c>
      <c r="AX155" s="34">
        <v>0.17647448414364728</v>
      </c>
      <c r="AY155" s="34">
        <v>0.15792282826126669</v>
      </c>
      <c r="AZ155" s="34">
        <v>0.62688066156164945</v>
      </c>
      <c r="BA155" s="34">
        <v>0.96945463836141244</v>
      </c>
      <c r="BB155" s="6"/>
      <c r="BC155" s="6"/>
      <c r="BD155" t="s">
        <v>686</v>
      </c>
      <c r="BF155" s="5">
        <v>5.8267237999999999E-2</v>
      </c>
      <c r="BG155" s="5">
        <f t="shared" si="6"/>
        <v>-5.8579654631546463E-3</v>
      </c>
      <c r="BH155" s="2">
        <v>129.79426000000001</v>
      </c>
    </row>
    <row r="156" spans="1:60" x14ac:dyDescent="0.2">
      <c r="A156" t="str">
        <f t="shared" si="7"/>
        <v>Scooter, electric, &lt;4kW - 2050 - NCA - CH</v>
      </c>
      <c r="B156" t="s">
        <v>383</v>
      </c>
      <c r="D156" s="18">
        <v>2050</v>
      </c>
      <c r="E156" t="s">
        <v>37</v>
      </c>
      <c r="F156" t="s">
        <v>138</v>
      </c>
      <c r="G156" t="s">
        <v>39</v>
      </c>
      <c r="H156" t="s">
        <v>32</v>
      </c>
      <c r="I156" t="s">
        <v>45</v>
      </c>
      <c r="J156" t="s">
        <v>570</v>
      </c>
      <c r="L156" s="24">
        <v>0</v>
      </c>
      <c r="M156" s="24">
        <v>0</v>
      </c>
      <c r="N156" s="24">
        <v>8.2069290027614555E-4</v>
      </c>
      <c r="O156" s="24">
        <v>1.2306591692257861E-2</v>
      </c>
      <c r="P156" s="24">
        <v>4.5033643746692949E-3</v>
      </c>
      <c r="Q156" s="24">
        <v>4.7333398713695199E-2</v>
      </c>
      <c r="R156" s="24">
        <v>6.4964047680898501E-2</v>
      </c>
      <c r="S156" s="26">
        <v>0</v>
      </c>
      <c r="T156" s="26">
        <v>0</v>
      </c>
      <c r="U156" s="26">
        <v>4.6780531356812222E-4</v>
      </c>
      <c r="V156" s="26">
        <v>4.722191823356421E-4</v>
      </c>
      <c r="W156" s="26">
        <v>3.1150262430904518E-4</v>
      </c>
      <c r="X156" s="26">
        <v>2.775754068532503E-2</v>
      </c>
      <c r="Y156" s="26">
        <v>2.9009067805537841E-2</v>
      </c>
      <c r="Z156" s="28">
        <v>0</v>
      </c>
      <c r="AA156" s="28">
        <v>2.3145477658575108E-3</v>
      </c>
      <c r="AB156" s="28">
        <v>8.2547439225250213E-5</v>
      </c>
      <c r="AC156" s="28">
        <v>1.5438989133449149E-4</v>
      </c>
      <c r="AD156" s="28">
        <v>1.3891870699057909E-4</v>
      </c>
      <c r="AE156" s="28">
        <v>3.213911966207217E-3</v>
      </c>
      <c r="AF156" s="28">
        <v>5.9043157696150482E-3</v>
      </c>
      <c r="AG156" s="30">
        <v>0</v>
      </c>
      <c r="AH156" s="30">
        <v>1.228469691721989E-5</v>
      </c>
      <c r="AI156" s="30">
        <v>3.0935457184536091E-4</v>
      </c>
      <c r="AJ156" s="30">
        <v>3.7507357872791961E-4</v>
      </c>
      <c r="AK156" s="30">
        <v>1.8818517098456291E-4</v>
      </c>
      <c r="AL156" s="30">
        <v>1.11136847866592E-2</v>
      </c>
      <c r="AM156" s="30">
        <v>1.1998582805134264E-2</v>
      </c>
      <c r="AN156" s="32">
        <v>0</v>
      </c>
      <c r="AO156" s="32">
        <v>8.7500264113198857E-6</v>
      </c>
      <c r="AP156" s="32">
        <v>7.308690791712847E-7</v>
      </c>
      <c r="AQ156" s="32">
        <v>7.4641524221169363E-7</v>
      </c>
      <c r="AR156" s="32">
        <v>7.6472348085358094E-7</v>
      </c>
      <c r="AS156" s="32">
        <v>8.9956887377129758E-6</v>
      </c>
      <c r="AT156" s="32">
        <v>1.9987722951269423E-5</v>
      </c>
      <c r="AU156" s="34">
        <v>0</v>
      </c>
      <c r="AV156" s="34">
        <v>0</v>
      </c>
      <c r="AW156" s="34">
        <v>8.1766643948489922E-3</v>
      </c>
      <c r="AX156" s="34">
        <v>0.17647448414364728</v>
      </c>
      <c r="AY156" s="34">
        <v>0.1579958992953191</v>
      </c>
      <c r="AZ156" s="34">
        <v>0.63068386497758033</v>
      </c>
      <c r="BA156" s="34">
        <v>0.97333091281139572</v>
      </c>
      <c r="BB156" s="6"/>
      <c r="BC156" s="6"/>
      <c r="BD156" t="s">
        <v>687</v>
      </c>
      <c r="BF156" s="5">
        <v>5.8089743999999999E-2</v>
      </c>
      <c r="BG156" s="5">
        <f t="shared" si="6"/>
        <v>-6.8743036808985025E-3</v>
      </c>
      <c r="BH156" s="2">
        <v>124.32777</v>
      </c>
    </row>
    <row r="157" spans="1:60" x14ac:dyDescent="0.2">
      <c r="A157" t="str">
        <f t="shared" si="7"/>
        <v>Scooter, electric, 4-11kW - 2020 - NCA - CH</v>
      </c>
      <c r="B157" t="s">
        <v>344</v>
      </c>
      <c r="D157" s="18">
        <v>2020</v>
      </c>
      <c r="E157" t="s">
        <v>37</v>
      </c>
      <c r="F157" t="s">
        <v>138</v>
      </c>
      <c r="G157" t="s">
        <v>39</v>
      </c>
      <c r="H157" t="s">
        <v>32</v>
      </c>
      <c r="I157" t="s">
        <v>45</v>
      </c>
      <c r="J157" t="s">
        <v>570</v>
      </c>
      <c r="L157" s="24">
        <v>0</v>
      </c>
      <c r="M157" s="24">
        <v>0</v>
      </c>
      <c r="N157" s="24">
        <v>1.164988379267724E-3</v>
      </c>
      <c r="O157" s="24">
        <v>1.2306591692257861E-2</v>
      </c>
      <c r="P157" s="24">
        <v>4.6260994872642687E-3</v>
      </c>
      <c r="Q157" s="24">
        <v>4.8500633497616373E-2</v>
      </c>
      <c r="R157" s="24">
        <v>6.6598313056406233E-2</v>
      </c>
      <c r="S157" s="26">
        <v>0</v>
      </c>
      <c r="T157" s="26">
        <v>0</v>
      </c>
      <c r="U157" s="26">
        <v>6.6405808297254575E-4</v>
      </c>
      <c r="V157" s="26">
        <v>4.722191823356421E-4</v>
      </c>
      <c r="W157" s="26">
        <v>3.1925796648493829E-4</v>
      </c>
      <c r="X157" s="26">
        <v>3.5206377035720091E-2</v>
      </c>
      <c r="Y157" s="26">
        <v>3.6661912267513218E-2</v>
      </c>
      <c r="Z157" s="28">
        <v>0</v>
      </c>
      <c r="AA157" s="28">
        <v>2.3145477658575108E-3</v>
      </c>
      <c r="AB157" s="28">
        <v>1.17177579339808E-4</v>
      </c>
      <c r="AC157" s="28">
        <v>1.5438989133449149E-4</v>
      </c>
      <c r="AD157" s="28">
        <v>1.4244402061067959E-4</v>
      </c>
      <c r="AE157" s="28">
        <v>3.631083766850464E-3</v>
      </c>
      <c r="AF157" s="28">
        <v>6.3596430239929534E-3</v>
      </c>
      <c r="AG157" s="30">
        <v>0</v>
      </c>
      <c r="AH157" s="30">
        <v>1.228469691721989E-5</v>
      </c>
      <c r="AI157" s="30">
        <v>4.3913439625458252E-4</v>
      </c>
      <c r="AJ157" s="30">
        <v>3.7507357872791961E-4</v>
      </c>
      <c r="AK157" s="30">
        <v>1.9147525614749661E-4</v>
      </c>
      <c r="AL157" s="30">
        <v>1.264915985634904E-2</v>
      </c>
      <c r="AM157" s="30">
        <v>1.3667127784396259E-2</v>
      </c>
      <c r="AN157" s="32">
        <v>0</v>
      </c>
      <c r="AO157" s="32">
        <v>8.7500264113198857E-6</v>
      </c>
      <c r="AP157" s="32">
        <v>1.037481844565918E-6</v>
      </c>
      <c r="AQ157" s="32">
        <v>7.4641524221169363E-7</v>
      </c>
      <c r="AR157" s="32">
        <v>7.7771442701170876E-7</v>
      </c>
      <c r="AS157" s="32">
        <v>1.043451488642511E-5</v>
      </c>
      <c r="AT157" s="32">
        <v>2.1746152811534315E-5</v>
      </c>
      <c r="AU157" s="34">
        <v>0</v>
      </c>
      <c r="AV157" s="34">
        <v>0</v>
      </c>
      <c r="AW157" s="34">
        <v>1.1606922635697264E-2</v>
      </c>
      <c r="AX157" s="34">
        <v>0.17647448414364728</v>
      </c>
      <c r="AY157" s="34">
        <v>0.16201662159761857</v>
      </c>
      <c r="AZ157" s="34">
        <v>0.67285580523277222</v>
      </c>
      <c r="BA157" s="34">
        <v>1.0229538336097352</v>
      </c>
      <c r="BB157" s="6"/>
      <c r="BC157" s="6"/>
      <c r="BD157" t="s">
        <v>923</v>
      </c>
      <c r="BF157" s="5">
        <v>6.2248003000000003E-2</v>
      </c>
      <c r="BG157" s="5">
        <f t="shared" si="6"/>
        <v>-4.35031005640623E-3</v>
      </c>
      <c r="BH157" s="2">
        <v>151.59866</v>
      </c>
    </row>
    <row r="158" spans="1:60" x14ac:dyDescent="0.2">
      <c r="A158" t="str">
        <f t="shared" si="7"/>
        <v>Scooter, electric, 4-11kW - 2030 - NCA - CH</v>
      </c>
      <c r="B158" t="s">
        <v>344</v>
      </c>
      <c r="D158" s="18">
        <v>2030</v>
      </c>
      <c r="E158" t="s">
        <v>37</v>
      </c>
      <c r="F158" t="s">
        <v>138</v>
      </c>
      <c r="G158" t="s">
        <v>39</v>
      </c>
      <c r="H158" t="s">
        <v>32</v>
      </c>
      <c r="I158" t="s">
        <v>45</v>
      </c>
      <c r="J158" t="s">
        <v>570</v>
      </c>
      <c r="L158" s="24">
        <v>0</v>
      </c>
      <c r="M158" s="24">
        <v>0</v>
      </c>
      <c r="N158" s="24">
        <v>1.164988379267724E-3</v>
      </c>
      <c r="O158" s="24">
        <v>1.2306591692257861E-2</v>
      </c>
      <c r="P158" s="24">
        <v>4.642158582995738E-3</v>
      </c>
      <c r="Q158" s="24">
        <v>5.1259756590025407E-2</v>
      </c>
      <c r="R158" s="24">
        <v>6.9373495244546723E-2</v>
      </c>
      <c r="S158" s="26">
        <v>0</v>
      </c>
      <c r="T158" s="26">
        <v>0</v>
      </c>
      <c r="U158" s="26">
        <v>6.6405808297254575E-4</v>
      </c>
      <c r="V158" s="26">
        <v>4.722191823356421E-4</v>
      </c>
      <c r="W158" s="26">
        <v>3.2027270285336419E-4</v>
      </c>
      <c r="X158" s="26">
        <v>3.5608811182970761E-2</v>
      </c>
      <c r="Y158" s="26">
        <v>3.7065361151132313E-2</v>
      </c>
      <c r="Z158" s="28">
        <v>0</v>
      </c>
      <c r="AA158" s="28">
        <v>2.3145477658575108E-3</v>
      </c>
      <c r="AB158" s="28">
        <v>1.17177579339808E-4</v>
      </c>
      <c r="AC158" s="28">
        <v>1.5438989133449149E-4</v>
      </c>
      <c r="AD158" s="28">
        <v>1.429052850989885E-4</v>
      </c>
      <c r="AE158" s="28">
        <v>3.782335538154023E-3</v>
      </c>
      <c r="AF158" s="28">
        <v>6.5113560597848223E-3</v>
      </c>
      <c r="AG158" s="30">
        <v>0</v>
      </c>
      <c r="AH158" s="30">
        <v>1.228469691721989E-5</v>
      </c>
      <c r="AI158" s="30">
        <v>4.3913439625458252E-4</v>
      </c>
      <c r="AJ158" s="30">
        <v>3.7507357872791961E-4</v>
      </c>
      <c r="AK158" s="30">
        <v>1.919057425134528E-4</v>
      </c>
      <c r="AL158" s="30">
        <v>1.314595819128847E-2</v>
      </c>
      <c r="AM158" s="30">
        <v>1.4164356605701645E-2</v>
      </c>
      <c r="AN158" s="32">
        <v>0</v>
      </c>
      <c r="AO158" s="32">
        <v>8.7500264113198857E-6</v>
      </c>
      <c r="AP158" s="32">
        <v>1.037481844565918E-6</v>
      </c>
      <c r="AQ158" s="32">
        <v>7.4641524221169363E-7</v>
      </c>
      <c r="AR158" s="32">
        <v>7.7941420830155207E-7</v>
      </c>
      <c r="AS158" s="32">
        <v>1.0549080757754361E-5</v>
      </c>
      <c r="AT158" s="32">
        <v>2.186241846415341E-5</v>
      </c>
      <c r="AU158" s="34">
        <v>0</v>
      </c>
      <c r="AV158" s="34">
        <v>0</v>
      </c>
      <c r="AW158" s="34">
        <v>1.1606922635697264E-2</v>
      </c>
      <c r="AX158" s="34">
        <v>0.17647448414364728</v>
      </c>
      <c r="AY158" s="34">
        <v>0.16254270710808991</v>
      </c>
      <c r="AZ158" s="34">
        <v>0.70209004055520208</v>
      </c>
      <c r="BA158" s="34">
        <v>1.0527141544426364</v>
      </c>
      <c r="BB158" s="6"/>
      <c r="BC158" s="6"/>
      <c r="BD158" t="s">
        <v>688</v>
      </c>
      <c r="BF158" s="5">
        <v>6.3440452999999994E-2</v>
      </c>
      <c r="BG158" s="5">
        <f t="shared" si="6"/>
        <v>-5.9330422445467296E-3</v>
      </c>
      <c r="BH158" s="2">
        <v>151.96353000000002</v>
      </c>
    </row>
    <row r="159" spans="1:60" x14ac:dyDescent="0.2">
      <c r="A159" t="str">
        <f t="shared" si="7"/>
        <v>Scooter, electric, 4-11kW - 2040 - NCA - CH</v>
      </c>
      <c r="B159" t="s">
        <v>344</v>
      </c>
      <c r="D159" s="18">
        <v>2040</v>
      </c>
      <c r="E159" t="s">
        <v>37</v>
      </c>
      <c r="F159" t="s">
        <v>138</v>
      </c>
      <c r="G159" t="s">
        <v>39</v>
      </c>
      <c r="H159" t="s">
        <v>32</v>
      </c>
      <c r="I159" t="s">
        <v>45</v>
      </c>
      <c r="J159" t="s">
        <v>570</v>
      </c>
      <c r="L159" s="24">
        <v>0</v>
      </c>
      <c r="M159" s="24">
        <v>0</v>
      </c>
      <c r="N159" s="24">
        <v>1.164988379267724E-3</v>
      </c>
      <c r="O159" s="24">
        <v>1.2306591692257861E-2</v>
      </c>
      <c r="P159" s="24">
        <v>4.6433876560114202E-3</v>
      </c>
      <c r="Q159" s="24">
        <v>5.153181573813944E-2</v>
      </c>
      <c r="R159" s="24">
        <v>6.9646783465676446E-2</v>
      </c>
      <c r="S159" s="26">
        <v>0</v>
      </c>
      <c r="T159" s="26">
        <v>0</v>
      </c>
      <c r="U159" s="26">
        <v>6.6405808297254575E-4</v>
      </c>
      <c r="V159" s="26">
        <v>4.722191823356421E-4</v>
      </c>
      <c r="W159" s="26">
        <v>3.2035036507727262E-4</v>
      </c>
      <c r="X159" s="26">
        <v>3.4409573810130593E-2</v>
      </c>
      <c r="Y159" s="26">
        <v>3.5866201440516055E-2</v>
      </c>
      <c r="Z159" s="28">
        <v>0</v>
      </c>
      <c r="AA159" s="28">
        <v>2.3145477658575108E-3</v>
      </c>
      <c r="AB159" s="28">
        <v>1.17177579339808E-4</v>
      </c>
      <c r="AC159" s="28">
        <v>1.5438989133449149E-4</v>
      </c>
      <c r="AD159" s="28">
        <v>1.4294058769292981E-4</v>
      </c>
      <c r="AE159" s="28">
        <v>3.7004773689658832E-3</v>
      </c>
      <c r="AF159" s="28">
        <v>6.4295331931906227E-3</v>
      </c>
      <c r="AG159" s="30">
        <v>0</v>
      </c>
      <c r="AH159" s="30">
        <v>1.228469691721989E-5</v>
      </c>
      <c r="AI159" s="30">
        <v>4.3913439625458252E-4</v>
      </c>
      <c r="AJ159" s="30">
        <v>3.7507357872791961E-4</v>
      </c>
      <c r="AK159" s="30">
        <v>1.9193868952272801E-4</v>
      </c>
      <c r="AL159" s="30">
        <v>1.2927539832472129E-2</v>
      </c>
      <c r="AM159" s="30">
        <v>1.3945971193894579E-2</v>
      </c>
      <c r="AN159" s="32">
        <v>0</v>
      </c>
      <c r="AO159" s="32">
        <v>8.7500264113198857E-6</v>
      </c>
      <c r="AP159" s="32">
        <v>1.037481844565918E-6</v>
      </c>
      <c r="AQ159" s="32">
        <v>7.4641524221169363E-7</v>
      </c>
      <c r="AR159" s="32">
        <v>7.7954430001722768E-7</v>
      </c>
      <c r="AS159" s="32">
        <v>1.025274285720682E-5</v>
      </c>
      <c r="AT159" s="32">
        <v>2.1566210655321545E-5</v>
      </c>
      <c r="AU159" s="34">
        <v>0</v>
      </c>
      <c r="AV159" s="34">
        <v>0</v>
      </c>
      <c r="AW159" s="34">
        <v>1.1606922635697264E-2</v>
      </c>
      <c r="AX159" s="34">
        <v>0.17647448414364728</v>
      </c>
      <c r="AY159" s="34">
        <v>0.16258297073909836</v>
      </c>
      <c r="AZ159" s="34">
        <v>0.69918835256783307</v>
      </c>
      <c r="BA159" s="34">
        <v>1.0498527300862759</v>
      </c>
      <c r="BB159" s="6"/>
      <c r="BC159" s="6"/>
      <c r="BD159" t="s">
        <v>689</v>
      </c>
      <c r="BF159" s="5">
        <v>6.2942157999999998E-2</v>
      </c>
      <c r="BG159" s="5">
        <f t="shared" si="6"/>
        <v>-6.7046254656764476E-3</v>
      </c>
      <c r="BH159" s="2">
        <v>145.59317999999999</v>
      </c>
    </row>
    <row r="160" spans="1:60" x14ac:dyDescent="0.2">
      <c r="A160" t="str">
        <f t="shared" si="7"/>
        <v>Scooter, electric, 4-11kW - 2050 - NCA - CH</v>
      </c>
      <c r="B160" t="s">
        <v>344</v>
      </c>
      <c r="D160" s="18">
        <v>2050</v>
      </c>
      <c r="E160" t="s">
        <v>37</v>
      </c>
      <c r="F160" t="s">
        <v>138</v>
      </c>
      <c r="G160" t="s">
        <v>39</v>
      </c>
      <c r="H160" t="s">
        <v>32</v>
      </c>
      <c r="I160" t="s">
        <v>45</v>
      </c>
      <c r="J160" t="s">
        <v>570</v>
      </c>
      <c r="L160" s="24">
        <v>0</v>
      </c>
      <c r="M160" s="24">
        <v>0</v>
      </c>
      <c r="N160" s="24">
        <v>1.164988379267724E-3</v>
      </c>
      <c r="O160" s="24">
        <v>1.2306591692257861E-2</v>
      </c>
      <c r="P160" s="24">
        <v>4.6422496254413448E-3</v>
      </c>
      <c r="Q160" s="24">
        <v>5.1150423739116629E-2</v>
      </c>
      <c r="R160" s="24">
        <v>6.9264253436083556E-2</v>
      </c>
      <c r="S160" s="26">
        <v>0</v>
      </c>
      <c r="T160" s="26">
        <v>0</v>
      </c>
      <c r="U160" s="26">
        <v>6.6405808297254575E-4</v>
      </c>
      <c r="V160" s="26">
        <v>4.722191823356421E-4</v>
      </c>
      <c r="W160" s="26">
        <v>3.2027845561069079E-4</v>
      </c>
      <c r="X160" s="26">
        <v>3.2595495264978777E-2</v>
      </c>
      <c r="Y160" s="26">
        <v>3.4052050985897656E-2</v>
      </c>
      <c r="Z160" s="28">
        <v>0</v>
      </c>
      <c r="AA160" s="28">
        <v>2.3145477658575108E-3</v>
      </c>
      <c r="AB160" s="28">
        <v>1.17177579339808E-4</v>
      </c>
      <c r="AC160" s="28">
        <v>1.5438989133449149E-4</v>
      </c>
      <c r="AD160" s="28">
        <v>1.4290790010594711E-4</v>
      </c>
      <c r="AE160" s="28">
        <v>3.542298854682322E-3</v>
      </c>
      <c r="AF160" s="28">
        <v>6.2713219913200797E-3</v>
      </c>
      <c r="AG160" s="30">
        <v>0</v>
      </c>
      <c r="AH160" s="30">
        <v>1.228469691721989E-5</v>
      </c>
      <c r="AI160" s="30">
        <v>4.3913439625458252E-4</v>
      </c>
      <c r="AJ160" s="30">
        <v>3.7507357872791961E-4</v>
      </c>
      <c r="AK160" s="30">
        <v>1.919081830326583E-4</v>
      </c>
      <c r="AL160" s="30">
        <v>1.247884742641603E-2</v>
      </c>
      <c r="AM160" s="30">
        <v>1.3497248281348411E-2</v>
      </c>
      <c r="AN160" s="32">
        <v>0</v>
      </c>
      <c r="AO160" s="32">
        <v>8.7500264113198857E-6</v>
      </c>
      <c r="AP160" s="32">
        <v>1.037481844565918E-6</v>
      </c>
      <c r="AQ160" s="32">
        <v>7.4641524221169363E-7</v>
      </c>
      <c r="AR160" s="32">
        <v>7.7942384472493537E-7</v>
      </c>
      <c r="AS160" s="32">
        <v>9.8010839159747582E-6</v>
      </c>
      <c r="AT160" s="32">
        <v>2.1114431258797189E-5</v>
      </c>
      <c r="AU160" s="34">
        <v>0</v>
      </c>
      <c r="AV160" s="34">
        <v>0</v>
      </c>
      <c r="AW160" s="34">
        <v>1.1606922635697264E-2</v>
      </c>
      <c r="AX160" s="34">
        <v>0.17647448414364728</v>
      </c>
      <c r="AY160" s="34">
        <v>0.16254568959927568</v>
      </c>
      <c r="AZ160" s="34">
        <v>0.68695350207309391</v>
      </c>
      <c r="BA160" s="34">
        <v>1.0375805984517141</v>
      </c>
      <c r="BB160" s="6"/>
      <c r="BC160" s="6"/>
      <c r="BD160" t="s">
        <v>690</v>
      </c>
      <c r="BF160" s="5">
        <v>6.1915167E-2</v>
      </c>
      <c r="BG160" s="5">
        <f t="shared" si="6"/>
        <v>-7.3490864360835559E-3</v>
      </c>
      <c r="BH160" s="2">
        <v>136.49283</v>
      </c>
    </row>
    <row r="161" spans="1:60" x14ac:dyDescent="0.2">
      <c r="A161" t="str">
        <f t="shared" si="0"/>
        <v>Motorbike, gasoline, 4-11kW, EURO-3 - 2006 - None - CH</v>
      </c>
      <c r="B161" t="s">
        <v>413</v>
      </c>
      <c r="D161" s="18">
        <v>2006</v>
      </c>
      <c r="E161" t="s">
        <v>37</v>
      </c>
      <c r="F161" t="s">
        <v>139</v>
      </c>
      <c r="G161" t="s">
        <v>39</v>
      </c>
      <c r="H161" t="s">
        <v>35</v>
      </c>
      <c r="I161" t="s">
        <v>138</v>
      </c>
      <c r="J161" t="s">
        <v>138</v>
      </c>
      <c r="L161" s="24">
        <v>7.9541019079154396E-2</v>
      </c>
      <c r="M161" s="24">
        <v>0</v>
      </c>
      <c r="N161" s="24">
        <v>1.312245238226133E-2</v>
      </c>
      <c r="O161" s="24">
        <v>9.5118975182542226E-3</v>
      </c>
      <c r="P161" s="24">
        <v>4.6402999386343227E-3</v>
      </c>
      <c r="Q161" s="24">
        <v>2.272027667316388E-2</v>
      </c>
      <c r="R161" s="24">
        <v>0.12953594559146814</v>
      </c>
      <c r="S161" s="26">
        <v>0</v>
      </c>
      <c r="T161" s="26">
        <v>0</v>
      </c>
      <c r="U161" s="26">
        <v>3.214061973388377E-4</v>
      </c>
      <c r="V161" s="26">
        <v>5.4149643498382851E-4</v>
      </c>
      <c r="W161" s="26">
        <v>3.2015525950156929E-4</v>
      </c>
      <c r="X161" s="26">
        <v>5.2547075017800428E-3</v>
      </c>
      <c r="Y161" s="26">
        <v>6.4377653936042783E-3</v>
      </c>
      <c r="Z161" s="28">
        <v>1.0113664301432161E-3</v>
      </c>
      <c r="AA161" s="28">
        <v>6.250912695722444E-3</v>
      </c>
      <c r="AB161" s="28">
        <v>6.411520379894874E-4</v>
      </c>
      <c r="AC161" s="28">
        <v>1.891362620619139E-4</v>
      </c>
      <c r="AD161" s="28">
        <v>1.428518993632875E-4</v>
      </c>
      <c r="AE161" s="28">
        <v>1.1062787656220441E-3</v>
      </c>
      <c r="AF161" s="28">
        <v>9.3416980909023922E-3</v>
      </c>
      <c r="AG161" s="30">
        <v>2.6452177236869519E-7</v>
      </c>
      <c r="AH161" s="30">
        <v>3.2346437669993012E-5</v>
      </c>
      <c r="AI161" s="30">
        <v>1.219580555120935E-4</v>
      </c>
      <c r="AJ161" s="30">
        <v>3.7496238084001741E-4</v>
      </c>
      <c r="AK161" s="30">
        <v>1.9185591896982799E-4</v>
      </c>
      <c r="AL161" s="30">
        <v>2.4245279184333022E-3</v>
      </c>
      <c r="AM161" s="30">
        <v>3.1459152331976027E-3</v>
      </c>
      <c r="AN161" s="32">
        <v>4.3967774216535978E-7</v>
      </c>
      <c r="AO161" s="32">
        <v>2.344157748409402E-5</v>
      </c>
      <c r="AP161" s="32">
        <v>2.5238030582997469E-6</v>
      </c>
      <c r="AQ161" s="32">
        <v>5.7073161734124143E-7</v>
      </c>
      <c r="AR161" s="32">
        <v>7.7921747935972152E-7</v>
      </c>
      <c r="AS161" s="32">
        <v>4.7205440159917096E-6</v>
      </c>
      <c r="AT161" s="32">
        <v>3.2475551397251795E-5</v>
      </c>
      <c r="AU161" s="34">
        <v>0</v>
      </c>
      <c r="AV161" s="34">
        <v>0</v>
      </c>
      <c r="AW161" s="34">
        <v>1.3051473355703471</v>
      </c>
      <c r="AX161" s="34">
        <v>0.17743074935185008</v>
      </c>
      <c r="AY161" s="34">
        <v>0.162481819130086</v>
      </c>
      <c r="AZ161" s="34">
        <v>0.3367398383770196</v>
      </c>
      <c r="BA161" s="34">
        <v>1.981799742429303</v>
      </c>
      <c r="BB161" s="6"/>
      <c r="BC161" s="6"/>
      <c r="BD161" t="s">
        <v>975</v>
      </c>
      <c r="BF161" s="5">
        <v>0.13600822999999998</v>
      </c>
      <c r="BG161" s="5">
        <f t="shared" si="6"/>
        <v>6.4722844085318421E-3</v>
      </c>
      <c r="BH161" s="2">
        <v>145.84573</v>
      </c>
    </row>
    <row r="162" spans="1:60" x14ac:dyDescent="0.2">
      <c r="A162" t="str">
        <f t="shared" si="0"/>
        <v>Motorbike, gasoline, 4-11kW, EURO-4 - 2016 - None - CH</v>
      </c>
      <c r="B162" t="s">
        <v>414</v>
      </c>
      <c r="D162" s="18">
        <v>2016</v>
      </c>
      <c r="E162" t="s">
        <v>37</v>
      </c>
      <c r="F162" t="s">
        <v>140</v>
      </c>
      <c r="G162" t="s">
        <v>39</v>
      </c>
      <c r="H162" t="s">
        <v>35</v>
      </c>
      <c r="I162" t="s">
        <v>138</v>
      </c>
      <c r="J162" t="s">
        <v>138</v>
      </c>
      <c r="L162" s="24">
        <v>7.9527056563746257E-2</v>
      </c>
      <c r="M162" s="24">
        <v>0</v>
      </c>
      <c r="N162" s="24">
        <v>1.2992527111149829E-2</v>
      </c>
      <c r="O162" s="24">
        <v>9.5118975182542226E-3</v>
      </c>
      <c r="P162" s="24">
        <v>4.6313640551865739E-3</v>
      </c>
      <c r="Q162" s="24">
        <v>2.2698308010020821E-2</v>
      </c>
      <c r="R162" s="24">
        <v>0.1293611532583577</v>
      </c>
      <c r="S162" s="26">
        <v>0</v>
      </c>
      <c r="T162" s="26">
        <v>0</v>
      </c>
      <c r="U162" s="26">
        <v>3.1822395776122538E-4</v>
      </c>
      <c r="V162" s="26">
        <v>5.4149643498382851E-4</v>
      </c>
      <c r="W162" s="26">
        <v>3.1959062211039442E-4</v>
      </c>
      <c r="X162" s="26">
        <v>5.2542613691954716E-3</v>
      </c>
      <c r="Y162" s="26">
        <v>6.4335723840509198E-3</v>
      </c>
      <c r="Z162" s="28">
        <v>1.3845648717079259E-3</v>
      </c>
      <c r="AA162" s="28">
        <v>6.250912695722444E-3</v>
      </c>
      <c r="AB162" s="28">
        <v>6.3480399800939342E-4</v>
      </c>
      <c r="AC162" s="28">
        <v>1.891362620619139E-4</v>
      </c>
      <c r="AD162" s="28">
        <v>1.4259523449404229E-4</v>
      </c>
      <c r="AE162" s="28">
        <v>1.104743413245362E-3</v>
      </c>
      <c r="AF162" s="28">
        <v>9.7067564752410813E-3</v>
      </c>
      <c r="AG162" s="30">
        <v>2.9521636400022289E-7</v>
      </c>
      <c r="AH162" s="30">
        <v>3.2346437669993012E-5</v>
      </c>
      <c r="AI162" s="30">
        <v>1.207505500119738E-4</v>
      </c>
      <c r="AJ162" s="30">
        <v>3.7496238084001741E-4</v>
      </c>
      <c r="AK162" s="30">
        <v>1.916163802027422E-4</v>
      </c>
      <c r="AL162" s="30">
        <v>2.424388740527163E-3</v>
      </c>
      <c r="AM162" s="30">
        <v>3.1443597056158897E-3</v>
      </c>
      <c r="AN162" s="32">
        <v>5.1795514492644861E-7</v>
      </c>
      <c r="AO162" s="32">
        <v>2.344157748409402E-5</v>
      </c>
      <c r="AP162" s="32">
        <v>2.4988149092076699E-6</v>
      </c>
      <c r="AQ162" s="32">
        <v>5.7073161734124143E-7</v>
      </c>
      <c r="AR162" s="32">
        <v>7.7827165726944417E-7</v>
      </c>
      <c r="AS162" s="32">
        <v>4.7148594075683898E-6</v>
      </c>
      <c r="AT162" s="32">
        <v>3.2522210220407215E-5</v>
      </c>
      <c r="AU162" s="34">
        <v>0</v>
      </c>
      <c r="AV162" s="34">
        <v>0</v>
      </c>
      <c r="AW162" s="34">
        <v>1.2922250847231156</v>
      </c>
      <c r="AX162" s="34">
        <v>0.17743074935185008</v>
      </c>
      <c r="AY162" s="34">
        <v>0.16218908541184129</v>
      </c>
      <c r="AZ162" s="34">
        <v>0.33641254117233405</v>
      </c>
      <c r="BA162" s="34">
        <v>1.968257460659141</v>
      </c>
      <c r="BB162" s="6"/>
      <c r="BC162" s="6"/>
      <c r="BD162" t="s">
        <v>981</v>
      </c>
      <c r="BF162" s="5">
        <v>0.13499356000000001</v>
      </c>
      <c r="BG162" s="5">
        <f t="shared" si="6"/>
        <v>5.6324067416423096E-3</v>
      </c>
      <c r="BH162" s="2">
        <v>144.30683999999999</v>
      </c>
    </row>
    <row r="163" spans="1:60" x14ac:dyDescent="0.2">
      <c r="A163" t="str">
        <f t="shared" si="0"/>
        <v>Motorbike, gasoline, 4-11kW, EURO-5 - 2020 - None - CH</v>
      </c>
      <c r="B163" t="s">
        <v>415</v>
      </c>
      <c r="D163" s="18">
        <v>2020</v>
      </c>
      <c r="E163" t="s">
        <v>37</v>
      </c>
      <c r="F163" t="s">
        <v>141</v>
      </c>
      <c r="G163" t="s">
        <v>39</v>
      </c>
      <c r="H163" t="s">
        <v>35</v>
      </c>
      <c r="I163" t="s">
        <v>138</v>
      </c>
      <c r="J163" t="s">
        <v>138</v>
      </c>
      <c r="L163" s="24">
        <v>7.8320935381244822E-2</v>
      </c>
      <c r="M163" s="24">
        <v>0</v>
      </c>
      <c r="N163" s="24">
        <v>1.2862601840038341E-2</v>
      </c>
      <c r="O163" s="24">
        <v>9.5118975182542226E-3</v>
      </c>
      <c r="P163" s="24">
        <v>4.6254067995547422E-3</v>
      </c>
      <c r="Q163" s="24">
        <v>2.2683662206035932E-2</v>
      </c>
      <c r="R163" s="24">
        <v>0.12800450374512806</v>
      </c>
      <c r="S163" s="26">
        <v>0</v>
      </c>
      <c r="T163" s="26">
        <v>0</v>
      </c>
      <c r="U163" s="26">
        <v>3.1504171818361317E-4</v>
      </c>
      <c r="V163" s="26">
        <v>5.4149643498382851E-4</v>
      </c>
      <c r="W163" s="26">
        <v>3.1921419718294452E-4</v>
      </c>
      <c r="X163" s="26">
        <v>5.2539639468923956E-3</v>
      </c>
      <c r="Y163" s="26">
        <v>6.4297162972427819E-3</v>
      </c>
      <c r="Z163" s="28">
        <v>8.483952187273103E-4</v>
      </c>
      <c r="AA163" s="28">
        <v>6.250912695722444E-3</v>
      </c>
      <c r="AB163" s="28">
        <v>6.2845595802929954E-4</v>
      </c>
      <c r="AC163" s="28">
        <v>1.891362620619139E-4</v>
      </c>
      <c r="AD163" s="28">
        <v>1.4242412458121231E-4</v>
      </c>
      <c r="AE163" s="28">
        <v>1.103719843004387E-3</v>
      </c>
      <c r="AF163" s="28">
        <v>9.1630441021265663E-3</v>
      </c>
      <c r="AG163" s="30">
        <v>2.4685591357268181E-7</v>
      </c>
      <c r="AH163" s="30">
        <v>3.2346437669993012E-5</v>
      </c>
      <c r="AI163" s="30">
        <v>1.19543044511854E-4</v>
      </c>
      <c r="AJ163" s="30">
        <v>3.7496238084001741E-4</v>
      </c>
      <c r="AK163" s="30">
        <v>1.914566876913516E-4</v>
      </c>
      <c r="AL163" s="30">
        <v>2.4242959550756201E-3</v>
      </c>
      <c r="AM163" s="30">
        <v>3.1428513617024088E-3</v>
      </c>
      <c r="AN163" s="32">
        <v>4.0014680188549892E-7</v>
      </c>
      <c r="AO163" s="32">
        <v>2.344157748409402E-5</v>
      </c>
      <c r="AP163" s="32">
        <v>2.4738267601155942E-6</v>
      </c>
      <c r="AQ163" s="32">
        <v>5.7073161734124143E-7</v>
      </c>
      <c r="AR163" s="32">
        <v>7.7764110920925919E-7</v>
      </c>
      <c r="AS163" s="32">
        <v>4.7110696612503004E-6</v>
      </c>
      <c r="AT163" s="32">
        <v>3.2374993433895915E-5</v>
      </c>
      <c r="AU163" s="34">
        <v>0</v>
      </c>
      <c r="AV163" s="34">
        <v>0</v>
      </c>
      <c r="AW163" s="34">
        <v>1.2793028338758852</v>
      </c>
      <c r="AX163" s="34">
        <v>0.17743074935185008</v>
      </c>
      <c r="AY163" s="34">
        <v>0.16199392959967812</v>
      </c>
      <c r="AZ163" s="34">
        <v>0.33619434261055814</v>
      </c>
      <c r="BA163" s="34">
        <v>1.9549218554379717</v>
      </c>
      <c r="BB163" s="6"/>
      <c r="BC163" s="6"/>
      <c r="BD163" t="s">
        <v>924</v>
      </c>
      <c r="BF163" s="5">
        <v>0.13399080999999999</v>
      </c>
      <c r="BG163" s="5">
        <f t="shared" si="6"/>
        <v>5.9863062548719259E-3</v>
      </c>
      <c r="BH163" s="2">
        <v>140.88632999999999</v>
      </c>
    </row>
    <row r="164" spans="1:60" x14ac:dyDescent="0.2">
      <c r="A164" t="str">
        <f t="shared" si="0"/>
        <v>Motorbike, gasoline, 4-11kW, EURO-5 - 2030 - None - CH</v>
      </c>
      <c r="B164" t="s">
        <v>415</v>
      </c>
      <c r="D164" s="18">
        <v>2030</v>
      </c>
      <c r="E164" t="s">
        <v>37</v>
      </c>
      <c r="F164" t="s">
        <v>141</v>
      </c>
      <c r="G164" t="s">
        <v>39</v>
      </c>
      <c r="H164" t="s">
        <v>35</v>
      </c>
      <c r="I164" t="s">
        <v>138</v>
      </c>
      <c r="J164" t="s">
        <v>138</v>
      </c>
      <c r="L164" s="24">
        <v>7.7537726027432377E-2</v>
      </c>
      <c r="M164" s="24">
        <v>0</v>
      </c>
      <c r="N164" s="24">
        <v>1.273397582163795E-2</v>
      </c>
      <c r="O164" s="24">
        <v>9.5118975182542226E-3</v>
      </c>
      <c r="P164" s="24">
        <v>4.6164709161069933E-3</v>
      </c>
      <c r="Q164" s="24">
        <v>2.531392798158032E-2</v>
      </c>
      <c r="R164" s="24">
        <v>0.12971399826501187</v>
      </c>
      <c r="S164" s="26">
        <v>0</v>
      </c>
      <c r="T164" s="26">
        <v>0</v>
      </c>
      <c r="U164" s="26">
        <v>3.1189130100177712E-4</v>
      </c>
      <c r="V164" s="26">
        <v>5.4149643498382851E-4</v>
      </c>
      <c r="W164" s="26">
        <v>3.1864955979176948E-4</v>
      </c>
      <c r="X164" s="26">
        <v>5.7269207836416957E-3</v>
      </c>
      <c r="Y164" s="26">
        <v>6.8989580794190705E-3</v>
      </c>
      <c r="Z164" s="28">
        <v>8.3991126654003715E-4</v>
      </c>
      <c r="AA164" s="28">
        <v>6.250912695722444E-3</v>
      </c>
      <c r="AB164" s="28">
        <v>6.2217139844900657E-4</v>
      </c>
      <c r="AC164" s="28">
        <v>1.891362620619139E-4</v>
      </c>
      <c r="AD164" s="28">
        <v>1.421674597119671E-4</v>
      </c>
      <c r="AE164" s="28">
        <v>1.253532656184164E-3</v>
      </c>
      <c r="AF164" s="28">
        <v>9.297831738669533E-3</v>
      </c>
      <c r="AG164" s="30">
        <v>2.4438735443695488E-7</v>
      </c>
      <c r="AH164" s="30">
        <v>3.2346437669993012E-5</v>
      </c>
      <c r="AI164" s="30">
        <v>1.183476140667355E-4</v>
      </c>
      <c r="AJ164" s="30">
        <v>3.7496238084001741E-4</v>
      </c>
      <c r="AK164" s="30">
        <v>1.912171489242658E-4</v>
      </c>
      <c r="AL164" s="30">
        <v>2.924990821725087E-3</v>
      </c>
      <c r="AM164" s="30">
        <v>3.6421087905805357E-3</v>
      </c>
      <c r="AN164" s="32">
        <v>3.9614533386664379E-7</v>
      </c>
      <c r="AO164" s="32">
        <v>2.344157748409402E-5</v>
      </c>
      <c r="AP164" s="32">
        <v>2.449088492514438E-6</v>
      </c>
      <c r="AQ164" s="32">
        <v>5.7073161734124143E-7</v>
      </c>
      <c r="AR164" s="32">
        <v>7.7669528711898183E-7</v>
      </c>
      <c r="AS164" s="32">
        <v>4.8291393576053401E-6</v>
      </c>
      <c r="AT164" s="32">
        <v>3.2463377572540661E-5</v>
      </c>
      <c r="AU164" s="34">
        <v>0</v>
      </c>
      <c r="AV164" s="34">
        <v>0</v>
      </c>
      <c r="AW164" s="34">
        <v>1.2665098055371258</v>
      </c>
      <c r="AX164" s="34">
        <v>0.17743074935185008</v>
      </c>
      <c r="AY164" s="34">
        <v>0.16170119588143342</v>
      </c>
      <c r="AZ164" s="34">
        <v>0.36421661052325693</v>
      </c>
      <c r="BA164" s="34">
        <v>1.9698583612936662</v>
      </c>
      <c r="BB164" s="6"/>
      <c r="BC164" s="6"/>
      <c r="BD164" t="s">
        <v>765</v>
      </c>
      <c r="BF164" s="5">
        <v>0.13387144000000001</v>
      </c>
      <c r="BG164" s="5">
        <f t="shared" si="6"/>
        <v>4.1574417349881376E-3</v>
      </c>
      <c r="BH164" s="2">
        <v>140.75147999999999</v>
      </c>
    </row>
    <row r="165" spans="1:60" x14ac:dyDescent="0.2">
      <c r="A165" t="str">
        <f t="shared" si="0"/>
        <v>Motorbike, gasoline, 4-11kW, EURO-5 - 2040 - None - CH</v>
      </c>
      <c r="B165" t="s">
        <v>415</v>
      </c>
      <c r="D165" s="18">
        <v>2040</v>
      </c>
      <c r="E165" t="s">
        <v>37</v>
      </c>
      <c r="F165" t="s">
        <v>141</v>
      </c>
      <c r="G165" t="s">
        <v>39</v>
      </c>
      <c r="H165" t="s">
        <v>35</v>
      </c>
      <c r="I165" t="s">
        <v>138</v>
      </c>
      <c r="J165" t="s">
        <v>138</v>
      </c>
      <c r="L165" s="24">
        <v>7.6762348767158053E-2</v>
      </c>
      <c r="M165" s="24">
        <v>0</v>
      </c>
      <c r="N165" s="24">
        <v>1.2606636063421569E-2</v>
      </c>
      <c r="O165" s="24">
        <v>9.5118975182542226E-3</v>
      </c>
      <c r="P165" s="24">
        <v>4.6105136604751608E-3</v>
      </c>
      <c r="Q165" s="24">
        <v>2.7067438429300129E-2</v>
      </c>
      <c r="R165" s="24">
        <v>0.13055883443860913</v>
      </c>
      <c r="S165" s="26">
        <v>0</v>
      </c>
      <c r="T165" s="26">
        <v>0</v>
      </c>
      <c r="U165" s="26">
        <v>3.0877238799175918E-4</v>
      </c>
      <c r="V165" s="26">
        <v>5.4149643498382851E-4</v>
      </c>
      <c r="W165" s="26">
        <v>3.1827313486431958E-4</v>
      </c>
      <c r="X165" s="26">
        <v>6.0422253229871032E-3</v>
      </c>
      <c r="Y165" s="26">
        <v>7.2107672808270108E-3</v>
      </c>
      <c r="Z165" s="28">
        <v>8.3151215387463685E-4</v>
      </c>
      <c r="AA165" s="28">
        <v>6.250912695722444E-3</v>
      </c>
      <c r="AB165" s="28">
        <v>6.1594968446451639E-4</v>
      </c>
      <c r="AC165" s="28">
        <v>1.891362620619139E-4</v>
      </c>
      <c r="AD165" s="28">
        <v>1.41996349799137E-4</v>
      </c>
      <c r="AE165" s="28">
        <v>1.353407866190402E-3</v>
      </c>
      <c r="AF165" s="28">
        <v>9.3829150121130505E-3</v>
      </c>
      <c r="AG165" s="30">
        <v>2.4194348089258541E-7</v>
      </c>
      <c r="AH165" s="30">
        <v>3.2346437669993012E-5</v>
      </c>
      <c r="AI165" s="30">
        <v>1.171641379260681E-4</v>
      </c>
      <c r="AJ165" s="30">
        <v>3.7496238084001741E-4</v>
      </c>
      <c r="AK165" s="30">
        <v>1.910574564128753E-4</v>
      </c>
      <c r="AL165" s="30">
        <v>3.2587873795567939E-3</v>
      </c>
      <c r="AM165" s="30">
        <v>3.9745597358866406E-3</v>
      </c>
      <c r="AN165" s="32">
        <v>3.921838805279774E-7</v>
      </c>
      <c r="AO165" s="32">
        <v>2.344157748409402E-5</v>
      </c>
      <c r="AP165" s="32">
        <v>2.424597607589293E-6</v>
      </c>
      <c r="AQ165" s="32">
        <v>5.7073161734124143E-7</v>
      </c>
      <c r="AR165" s="32">
        <v>7.7606473905879696E-7</v>
      </c>
      <c r="AS165" s="32">
        <v>4.9078525092385597E-6</v>
      </c>
      <c r="AT165" s="32">
        <v>3.2513007837849888E-5</v>
      </c>
      <c r="AU165" s="34">
        <v>0</v>
      </c>
      <c r="AV165" s="34">
        <v>0</v>
      </c>
      <c r="AW165" s="34">
        <v>1.2538447074817545</v>
      </c>
      <c r="AX165" s="34">
        <v>0.17743074935185008</v>
      </c>
      <c r="AY165" s="34">
        <v>0.1615060400692703</v>
      </c>
      <c r="AZ165" s="34">
        <v>0.38289812198134571</v>
      </c>
      <c r="BA165" s="34">
        <v>1.9756796188842205</v>
      </c>
      <c r="BB165" s="6"/>
      <c r="BC165" s="6"/>
      <c r="BD165" t="s">
        <v>766</v>
      </c>
      <c r="BF165" s="5">
        <v>0.13343828999999999</v>
      </c>
      <c r="BG165" s="5">
        <f t="shared" si="6"/>
        <v>2.8794555613908535E-3</v>
      </c>
      <c r="BH165" s="2">
        <v>140.44141999999999</v>
      </c>
    </row>
    <row r="166" spans="1:60" x14ac:dyDescent="0.2">
      <c r="A166" t="str">
        <f t="shared" si="0"/>
        <v>Motorbike, gasoline, 4-11kW, EURO-5 - 2050 - None - CH</v>
      </c>
      <c r="B166" t="s">
        <v>415</v>
      </c>
      <c r="D166" s="18">
        <v>2050</v>
      </c>
      <c r="E166" t="s">
        <v>37</v>
      </c>
      <c r="F166" t="s">
        <v>141</v>
      </c>
      <c r="G166" t="s">
        <v>39</v>
      </c>
      <c r="H166" t="s">
        <v>35</v>
      </c>
      <c r="I166" t="s">
        <v>138</v>
      </c>
      <c r="J166" t="s">
        <v>138</v>
      </c>
      <c r="L166" s="24">
        <v>7.5994725279486475E-2</v>
      </c>
      <c r="M166" s="24">
        <v>0</v>
      </c>
      <c r="N166" s="24">
        <v>1.248056970278736E-2</v>
      </c>
      <c r="O166" s="24">
        <v>9.5118975182542226E-3</v>
      </c>
      <c r="P166" s="24">
        <v>4.6045564048433291E-3</v>
      </c>
      <c r="Q166" s="24">
        <v>2.8820949159174509E-2</v>
      </c>
      <c r="R166" s="24">
        <v>0.13141269806454589</v>
      </c>
      <c r="S166" s="26">
        <v>0</v>
      </c>
      <c r="T166" s="26">
        <v>0</v>
      </c>
      <c r="U166" s="26">
        <v>3.0568466411184171E-4</v>
      </c>
      <c r="V166" s="26">
        <v>5.4149643498382851E-4</v>
      </c>
      <c r="W166" s="26">
        <v>3.1789670993686962E-4</v>
      </c>
      <c r="X166" s="26">
        <v>6.3575299190748056E-3</v>
      </c>
      <c r="Y166" s="26">
        <v>7.5226077281073458E-3</v>
      </c>
      <c r="Z166" s="28">
        <v>8.2319703233589049E-4</v>
      </c>
      <c r="AA166" s="28">
        <v>6.250912695722444E-3</v>
      </c>
      <c r="AB166" s="28">
        <v>6.0979018761987127E-4</v>
      </c>
      <c r="AC166" s="28">
        <v>1.891362620619139E-4</v>
      </c>
      <c r="AD166" s="28">
        <v>1.4182523988630691E-4</v>
      </c>
      <c r="AE166" s="28">
        <v>1.4532830889765259E-3</v>
      </c>
      <c r="AF166" s="28">
        <v>9.4681445066029518E-3</v>
      </c>
      <c r="AG166" s="30">
        <v>2.3952404608365962E-7</v>
      </c>
      <c r="AH166" s="30">
        <v>3.2346437669993012E-5</v>
      </c>
      <c r="AI166" s="30">
        <v>1.1599249654680751E-4</v>
      </c>
      <c r="AJ166" s="30">
        <v>3.7496238084001741E-4</v>
      </c>
      <c r="AK166" s="30">
        <v>1.908977639014847E-4</v>
      </c>
      <c r="AL166" s="30">
        <v>3.5925839979039521E-3</v>
      </c>
      <c r="AM166" s="30">
        <v>4.3070226009083385E-3</v>
      </c>
      <c r="AN166" s="32">
        <v>3.8826204172269772E-7</v>
      </c>
      <c r="AO166" s="32">
        <v>2.344157748409402E-5</v>
      </c>
      <c r="AP166" s="32">
        <v>2.400351631513401E-6</v>
      </c>
      <c r="AQ166" s="32">
        <v>5.7073161734124143E-7</v>
      </c>
      <c r="AR166" s="32">
        <v>7.754341909986121E-7</v>
      </c>
      <c r="AS166" s="32">
        <v>4.9865656560368254E-6</v>
      </c>
      <c r="AT166" s="32">
        <v>3.2562922621706801E-5</v>
      </c>
      <c r="AU166" s="34">
        <v>0</v>
      </c>
      <c r="AV166" s="34">
        <v>0</v>
      </c>
      <c r="AW166" s="34">
        <v>1.2413062604069367</v>
      </c>
      <c r="AX166" s="34">
        <v>0.17743074935185008</v>
      </c>
      <c r="AY166" s="34">
        <v>0.16131088425710713</v>
      </c>
      <c r="AZ166" s="34">
        <v>0.40157963622903398</v>
      </c>
      <c r="BA166" s="34">
        <v>1.981627530244928</v>
      </c>
      <c r="BB166" s="6"/>
      <c r="BC166" s="6"/>
      <c r="BD166" t="s">
        <v>767</v>
      </c>
      <c r="BF166" s="5">
        <v>0.13314013000000002</v>
      </c>
      <c r="BG166" s="5">
        <f t="shared" si="6"/>
        <v>1.7274319354541323E-3</v>
      </c>
      <c r="BH166" s="2">
        <v>140.13261</v>
      </c>
    </row>
    <row r="167" spans="1:60" x14ac:dyDescent="0.2">
      <c r="A167" t="str">
        <f t="shared" si="0"/>
        <v>Motorbike, gasoline, 11-35kW, EURO-3 - 2006 - None - CH</v>
      </c>
      <c r="B167" t="s">
        <v>395</v>
      </c>
      <c r="D167" s="18">
        <v>2006</v>
      </c>
      <c r="E167" t="s">
        <v>37</v>
      </c>
      <c r="F167" t="s">
        <v>139</v>
      </c>
      <c r="G167" t="s">
        <v>39</v>
      </c>
      <c r="H167" t="s">
        <v>35</v>
      </c>
      <c r="I167" t="s">
        <v>138</v>
      </c>
      <c r="J167" t="s">
        <v>138</v>
      </c>
      <c r="L167" s="24">
        <v>0.11010952647011769</v>
      </c>
      <c r="M167" s="24">
        <v>0</v>
      </c>
      <c r="N167" s="24">
        <v>1.9033078411954611E-2</v>
      </c>
      <c r="O167" s="24">
        <v>9.5118975182542226E-3</v>
      </c>
      <c r="P167" s="24">
        <v>4.8119868849681481E-3</v>
      </c>
      <c r="Q167" s="24">
        <v>1.9015334438299419E-2</v>
      </c>
      <c r="R167" s="24">
        <v>0.16248182372359407</v>
      </c>
      <c r="S167" s="26">
        <v>0</v>
      </c>
      <c r="T167" s="26">
        <v>0</v>
      </c>
      <c r="U167" s="26">
        <v>4.6617424684333893E-4</v>
      </c>
      <c r="V167" s="26">
        <v>5.4149643498382851E-4</v>
      </c>
      <c r="W167" s="26">
        <v>3.3100375255136949E-4</v>
      </c>
      <c r="X167" s="26">
        <v>4.3874659130381981E-3</v>
      </c>
      <c r="Y167" s="26">
        <v>5.7261403474167354E-3</v>
      </c>
      <c r="Z167" s="28">
        <v>1.502397285462156E-3</v>
      </c>
      <c r="AA167" s="28">
        <v>6.250912695722444E-3</v>
      </c>
      <c r="AB167" s="28">
        <v>9.2994027774368729E-4</v>
      </c>
      <c r="AC167" s="28">
        <v>1.891362620619139E-4</v>
      </c>
      <c r="AD167" s="28">
        <v>1.4778325370441589E-4</v>
      </c>
      <c r="AE167" s="28">
        <v>9.2518763671861593E-4</v>
      </c>
      <c r="AF167" s="28">
        <v>9.9453574114132335E-3</v>
      </c>
      <c r="AG167" s="30">
        <v>3.867532849392941E-7</v>
      </c>
      <c r="AH167" s="30">
        <v>3.2346437669993012E-5</v>
      </c>
      <c r="AI167" s="30">
        <v>1.7689050536536839E-4</v>
      </c>
      <c r="AJ167" s="30">
        <v>3.7496238084001741E-4</v>
      </c>
      <c r="AK167" s="30">
        <v>1.964582260265409E-4</v>
      </c>
      <c r="AL167" s="30">
        <v>2.0245198343931681E-3</v>
      </c>
      <c r="AM167" s="30">
        <v>2.8055641375800272E-3</v>
      </c>
      <c r="AN167" s="32">
        <v>6.4537060183367351E-7</v>
      </c>
      <c r="AO167" s="32">
        <v>2.344157748409402E-5</v>
      </c>
      <c r="AP167" s="32">
        <v>3.660576552739767E-6</v>
      </c>
      <c r="AQ167" s="32">
        <v>5.7073161734124143E-7</v>
      </c>
      <c r="AR167" s="32">
        <v>7.9738975157033457E-7</v>
      </c>
      <c r="AS167" s="32">
        <v>3.9463842565876118E-6</v>
      </c>
      <c r="AT167" s="32">
        <v>3.306203026416665E-5</v>
      </c>
      <c r="AU167" s="34">
        <v>0</v>
      </c>
      <c r="AV167" s="34">
        <v>0</v>
      </c>
      <c r="AW167" s="34">
        <v>1.8930128952606131</v>
      </c>
      <c r="AX167" s="34">
        <v>0.17743074935185008</v>
      </c>
      <c r="AY167" s="34">
        <v>0.16810617160382443</v>
      </c>
      <c r="AZ167" s="34">
        <v>0.2823819203081942</v>
      </c>
      <c r="BA167" s="34">
        <v>2.5209317365244814</v>
      </c>
      <c r="BB167" s="6"/>
      <c r="BC167" s="6"/>
      <c r="BD167" t="s">
        <v>976</v>
      </c>
      <c r="BF167" s="5">
        <v>0.17401238999999999</v>
      </c>
      <c r="BG167" s="5">
        <f t="shared" si="6"/>
        <v>1.1530566276405918E-2</v>
      </c>
      <c r="BH167" s="2">
        <v>169.18772999999999</v>
      </c>
    </row>
    <row r="168" spans="1:60" x14ac:dyDescent="0.2">
      <c r="A168" t="str">
        <f t="shared" si="0"/>
        <v>Motorbike, gasoline, 11-35kW, EURO-4 - 2016 - None - CH</v>
      </c>
      <c r="B168" t="s">
        <v>396</v>
      </c>
      <c r="D168" s="18">
        <v>2016</v>
      </c>
      <c r="E168" t="s">
        <v>37</v>
      </c>
      <c r="F168" t="s">
        <v>140</v>
      </c>
      <c r="G168" t="s">
        <v>39</v>
      </c>
      <c r="H168" t="s">
        <v>35</v>
      </c>
      <c r="I168" t="s">
        <v>138</v>
      </c>
      <c r="J168" t="s">
        <v>138</v>
      </c>
      <c r="L168" s="24">
        <v>0.108920498676729</v>
      </c>
      <c r="M168" s="24">
        <v>0</v>
      </c>
      <c r="N168" s="24">
        <v>1.8844632091044169E-2</v>
      </c>
      <c r="O168" s="24">
        <v>9.5118975182542226E-3</v>
      </c>
      <c r="P168" s="24">
        <v>4.8009252278270118E-3</v>
      </c>
      <c r="Q168" s="24">
        <v>1.8997675425317492E-2</v>
      </c>
      <c r="R168" s="24">
        <v>0.16107562893917191</v>
      </c>
      <c r="S168" s="26">
        <v>0</v>
      </c>
      <c r="T168" s="26">
        <v>0</v>
      </c>
      <c r="U168" s="26">
        <v>4.6155866024092962E-4</v>
      </c>
      <c r="V168" s="26">
        <v>5.4149643498382851E-4</v>
      </c>
      <c r="W168" s="26">
        <v>3.3030479253619418E-4</v>
      </c>
      <c r="X168" s="26">
        <v>4.3871072995048804E-3</v>
      </c>
      <c r="Y168" s="26">
        <v>5.720467187265833E-3</v>
      </c>
      <c r="Z168" s="28">
        <v>6.264240714508435E-4</v>
      </c>
      <c r="AA168" s="28">
        <v>6.250912695722444E-3</v>
      </c>
      <c r="AB168" s="28">
        <v>9.207329482610766E-4</v>
      </c>
      <c r="AC168" s="28">
        <v>1.891362620619139E-4</v>
      </c>
      <c r="AD168" s="28">
        <v>1.474655303589441E-4</v>
      </c>
      <c r="AE168" s="28">
        <v>9.2395347575541589E-4</v>
      </c>
      <c r="AF168" s="28">
        <v>9.0586249836106386E-3</v>
      </c>
      <c r="AG168" s="30">
        <v>3.080629938454747E-7</v>
      </c>
      <c r="AH168" s="30">
        <v>3.2346437669993012E-5</v>
      </c>
      <c r="AI168" s="30">
        <v>1.7513911422313699E-4</v>
      </c>
      <c r="AJ168" s="30">
        <v>3.7496238084001741E-4</v>
      </c>
      <c r="AK168" s="30">
        <v>1.9616170294306431E-4</v>
      </c>
      <c r="AL168" s="30">
        <v>2.0244079593236971E-3</v>
      </c>
      <c r="AM168" s="30">
        <v>2.8033256579937543E-3</v>
      </c>
      <c r="AN168" s="32">
        <v>4.5330004081950549E-7</v>
      </c>
      <c r="AO168" s="32">
        <v>2.344157748409402E-5</v>
      </c>
      <c r="AP168" s="32">
        <v>3.624333220534424E-6</v>
      </c>
      <c r="AQ168" s="32">
        <v>5.7073161734124143E-7</v>
      </c>
      <c r="AR168" s="32">
        <v>7.9621892612925324E-7</v>
      </c>
      <c r="AS168" s="32">
        <v>3.941814803588414E-6</v>
      </c>
      <c r="AT168" s="32">
        <v>3.2827976092506859E-5</v>
      </c>
      <c r="AU168" s="34">
        <v>0</v>
      </c>
      <c r="AV168" s="34">
        <v>0</v>
      </c>
      <c r="AW168" s="34">
        <v>1.8742701933273391</v>
      </c>
      <c r="AX168" s="34">
        <v>0.17743074935185008</v>
      </c>
      <c r="AY168" s="34">
        <v>0.16774379892474825</v>
      </c>
      <c r="AZ168" s="34">
        <v>0.28211882979754649</v>
      </c>
      <c r="BA168" s="34">
        <v>2.5015635714014839</v>
      </c>
      <c r="BB168" s="6"/>
      <c r="BC168" s="6"/>
      <c r="BD168" t="s">
        <v>982</v>
      </c>
      <c r="BF168" s="5">
        <v>0.17280902000000001</v>
      </c>
      <c r="BG168" s="5">
        <f t="shared" si="6"/>
        <v>1.1733391060828102E-2</v>
      </c>
      <c r="BH168" s="2">
        <v>164.06079</v>
      </c>
    </row>
    <row r="169" spans="1:60" x14ac:dyDescent="0.2">
      <c r="A169" t="str">
        <f t="shared" si="0"/>
        <v>Motorbike, gasoline, 11-35kW, EURO-5 - 2020 - None - CH</v>
      </c>
      <c r="B169" t="s">
        <v>397</v>
      </c>
      <c r="D169" s="18">
        <v>2020</v>
      </c>
      <c r="E169" t="s">
        <v>37</v>
      </c>
      <c r="F169" t="s">
        <v>141</v>
      </c>
      <c r="G169" t="s">
        <v>39</v>
      </c>
      <c r="H169" t="s">
        <v>35</v>
      </c>
      <c r="I169" t="s">
        <v>138</v>
      </c>
      <c r="J169" t="s">
        <v>138</v>
      </c>
      <c r="L169" s="24">
        <v>0.10776198345764861</v>
      </c>
      <c r="M169" s="24">
        <v>0</v>
      </c>
      <c r="N169" s="24">
        <v>1.865618577013373E-2</v>
      </c>
      <c r="O169" s="24">
        <v>9.5118975182542226E-3</v>
      </c>
      <c r="P169" s="24">
        <v>4.7935507897329203E-3</v>
      </c>
      <c r="Q169" s="24">
        <v>1.8985902764823859E-2</v>
      </c>
      <c r="R169" s="24">
        <v>0.15970952030059338</v>
      </c>
      <c r="S169" s="26">
        <v>0</v>
      </c>
      <c r="T169" s="26">
        <v>0</v>
      </c>
      <c r="U169" s="26">
        <v>4.5694307363852032E-4</v>
      </c>
      <c r="V169" s="26">
        <v>5.4149643498382851E-4</v>
      </c>
      <c r="W169" s="26">
        <v>3.2983881919274402E-4</v>
      </c>
      <c r="X169" s="26">
        <v>4.3868682240432669E-3</v>
      </c>
      <c r="Y169" s="26">
        <v>5.7151465518583602E-3</v>
      </c>
      <c r="Z169" s="28">
        <v>4.2812561319637682E-4</v>
      </c>
      <c r="AA169" s="28">
        <v>6.250912695722444E-3</v>
      </c>
      <c r="AB169" s="28">
        <v>9.1152561877846591E-4</v>
      </c>
      <c r="AC169" s="28">
        <v>1.891362620619139E-4</v>
      </c>
      <c r="AD169" s="28">
        <v>1.472537147952963E-4</v>
      </c>
      <c r="AE169" s="28">
        <v>9.2313070647124737E-4</v>
      </c>
      <c r="AF169" s="28">
        <v>8.850084611025745E-3</v>
      </c>
      <c r="AG169" s="30">
        <v>2.8828785101483539E-7</v>
      </c>
      <c r="AH169" s="30">
        <v>3.2346437669993012E-5</v>
      </c>
      <c r="AI169" s="30">
        <v>1.7338772308090559E-4</v>
      </c>
      <c r="AJ169" s="30">
        <v>3.7496238084001741E-4</v>
      </c>
      <c r="AK169" s="30">
        <v>1.9596402088741319E-4</v>
      </c>
      <c r="AL169" s="30">
        <v>2.0243333761164111E-3</v>
      </c>
      <c r="AM169" s="30">
        <v>2.8012822264457549E-3</v>
      </c>
      <c r="AN169" s="32">
        <v>4.0735867761497301E-7</v>
      </c>
      <c r="AO169" s="32">
        <v>2.344157748409402E-5</v>
      </c>
      <c r="AP169" s="32">
        <v>3.5880898883290801E-6</v>
      </c>
      <c r="AQ169" s="32">
        <v>5.7073161734124143E-7</v>
      </c>
      <c r="AR169" s="32">
        <v>7.9543837583519907E-7</v>
      </c>
      <c r="AS169" s="32">
        <v>3.9387685178179047E-6</v>
      </c>
      <c r="AT169" s="32">
        <v>3.2741964561032422E-5</v>
      </c>
      <c r="AU169" s="34">
        <v>0</v>
      </c>
      <c r="AV169" s="34">
        <v>0</v>
      </c>
      <c r="AW169" s="34">
        <v>1.8555274913940658</v>
      </c>
      <c r="AX169" s="34">
        <v>0.17743074935185008</v>
      </c>
      <c r="AY169" s="34">
        <v>0.16750221713869745</v>
      </c>
      <c r="AZ169" s="34">
        <v>0.28194343642025882</v>
      </c>
      <c r="BA169" s="34">
        <v>2.4824038943048721</v>
      </c>
      <c r="BB169" s="6"/>
      <c r="BC169" s="6"/>
      <c r="BD169" t="s">
        <v>925</v>
      </c>
      <c r="BF169" s="5">
        <v>0.17139077</v>
      </c>
      <c r="BG169" s="5">
        <f t="shared" si="6"/>
        <v>1.1681249699406621E-2</v>
      </c>
      <c r="BH169" s="2">
        <v>162.01159999999999</v>
      </c>
    </row>
    <row r="170" spans="1:60" x14ac:dyDescent="0.2">
      <c r="A170" t="str">
        <f t="shared" si="0"/>
        <v>Motorbike, gasoline, 11-35kW, EURO-5 - 2030 - None - CH</v>
      </c>
      <c r="B170" t="s">
        <v>397</v>
      </c>
      <c r="D170" s="18">
        <v>2030</v>
      </c>
      <c r="E170" t="s">
        <v>37</v>
      </c>
      <c r="F170" t="s">
        <v>141</v>
      </c>
      <c r="G170" t="s">
        <v>39</v>
      </c>
      <c r="H170" t="s">
        <v>35</v>
      </c>
      <c r="I170" t="s">
        <v>138</v>
      </c>
      <c r="J170" t="s">
        <v>138</v>
      </c>
      <c r="L170" s="24">
        <v>0.1066843636230721</v>
      </c>
      <c r="M170" s="24">
        <v>0</v>
      </c>
      <c r="N170" s="24">
        <v>1.8469623912432391E-2</v>
      </c>
      <c r="O170" s="24">
        <v>9.5118975182542226E-3</v>
      </c>
      <c r="P170" s="24">
        <v>4.7824891325917839E-3</v>
      </c>
      <c r="Q170" s="24">
        <v>2.1100178502921861E-2</v>
      </c>
      <c r="R170" s="24">
        <v>0.16054855268927234</v>
      </c>
      <c r="S170" s="26">
        <v>0</v>
      </c>
      <c r="T170" s="26">
        <v>0</v>
      </c>
      <c r="U170" s="26">
        <v>4.5237364290213512E-4</v>
      </c>
      <c r="V170" s="26">
        <v>5.4149643498382851E-4</v>
      </c>
      <c r="W170" s="26">
        <v>3.2913985917756871E-4</v>
      </c>
      <c r="X170" s="26">
        <v>4.7670431679090646E-3</v>
      </c>
      <c r="Y170" s="26">
        <v>6.0900531049725972E-3</v>
      </c>
      <c r="Z170" s="28">
        <v>4.2384435706441307E-4</v>
      </c>
      <c r="AA170" s="28">
        <v>6.250912695722444E-3</v>
      </c>
      <c r="AB170" s="28">
        <v>9.024103625906812E-4</v>
      </c>
      <c r="AC170" s="28">
        <v>1.891362620619139E-4</v>
      </c>
      <c r="AD170" s="28">
        <v>1.469359914498245E-4</v>
      </c>
      <c r="AE170" s="28">
        <v>1.0435541288178411E-3</v>
      </c>
      <c r="AF170" s="28">
        <v>8.9567937977071185E-3</v>
      </c>
      <c r="AG170" s="30">
        <v>2.854049725046871E-7</v>
      </c>
      <c r="AH170" s="30">
        <v>3.2346437669993012E-5</v>
      </c>
      <c r="AI170" s="30">
        <v>1.7165384585009661E-4</v>
      </c>
      <c r="AJ170" s="30">
        <v>3.7496238084001741E-4</v>
      </c>
      <c r="AK170" s="30">
        <v>1.9566749780393659E-4</v>
      </c>
      <c r="AL170" s="30">
        <v>2.426804865546155E-3</v>
      </c>
      <c r="AM170" s="30">
        <v>3.2017204326827034E-3</v>
      </c>
      <c r="AN170" s="32">
        <v>4.0328509083882322E-7</v>
      </c>
      <c r="AO170" s="32">
        <v>2.344157748409402E-5</v>
      </c>
      <c r="AP170" s="32">
        <v>3.5522089894457892E-6</v>
      </c>
      <c r="AQ170" s="32">
        <v>5.7073161734124143E-7</v>
      </c>
      <c r="AR170" s="32">
        <v>7.9426755039411764E-7</v>
      </c>
      <c r="AS170" s="32">
        <v>4.0336760188471236E-6</v>
      </c>
      <c r="AT170" s="32">
        <v>3.2795746750961116E-5</v>
      </c>
      <c r="AU170" s="34">
        <v>0</v>
      </c>
      <c r="AV170" s="34">
        <v>0</v>
      </c>
      <c r="AW170" s="34">
        <v>1.8369722164801252</v>
      </c>
      <c r="AX170" s="34">
        <v>0.17743074935185008</v>
      </c>
      <c r="AY170" s="34">
        <v>0.1671398444596213</v>
      </c>
      <c r="AZ170" s="34">
        <v>0.30446846125577331</v>
      </c>
      <c r="BA170" s="34">
        <v>2.4860112715473699</v>
      </c>
      <c r="BB170" s="6"/>
      <c r="BC170" s="6"/>
      <c r="BD170" t="s">
        <v>768</v>
      </c>
      <c r="BF170" s="5">
        <v>0.17097999</v>
      </c>
      <c r="BG170" s="5">
        <f t="shared" si="6"/>
        <v>1.0431437310727654E-2</v>
      </c>
      <c r="BH170" s="2">
        <v>161.53639000000001</v>
      </c>
    </row>
    <row r="171" spans="1:60" x14ac:dyDescent="0.2">
      <c r="A171" t="str">
        <f t="shared" si="0"/>
        <v>Motorbike, gasoline, 11-35kW, EURO-5 - 2040 - None - CH</v>
      </c>
      <c r="B171" t="s">
        <v>397</v>
      </c>
      <c r="D171" s="18">
        <v>2040</v>
      </c>
      <c r="E171" t="s">
        <v>37</v>
      </c>
      <c r="F171" t="s">
        <v>141</v>
      </c>
      <c r="G171" t="s">
        <v>39</v>
      </c>
      <c r="H171" t="s">
        <v>35</v>
      </c>
      <c r="I171" t="s">
        <v>138</v>
      </c>
      <c r="J171" t="s">
        <v>138</v>
      </c>
      <c r="L171" s="24">
        <v>0.10561751998684139</v>
      </c>
      <c r="M171" s="24">
        <v>0</v>
      </c>
      <c r="N171" s="24">
        <v>1.8284927673308062E-2</v>
      </c>
      <c r="O171" s="24">
        <v>9.5118975182542226E-3</v>
      </c>
      <c r="P171" s="24">
        <v>4.7751146944976916E-3</v>
      </c>
      <c r="Q171" s="24">
        <v>2.2509695659683599E-2</v>
      </c>
      <c r="R171" s="24">
        <v>0.16069915553258496</v>
      </c>
      <c r="S171" s="26">
        <v>0</v>
      </c>
      <c r="T171" s="26">
        <v>0</v>
      </c>
      <c r="U171" s="26">
        <v>4.4784990647311369E-4</v>
      </c>
      <c r="V171" s="26">
        <v>5.4149643498382851E-4</v>
      </c>
      <c r="W171" s="26">
        <v>3.2867388583411849E-4</v>
      </c>
      <c r="X171" s="26">
        <v>5.0204931415246314E-3</v>
      </c>
      <c r="Y171" s="26">
        <v>6.338513368815692E-3</v>
      </c>
      <c r="Z171" s="28">
        <v>4.1960591349376889E-4</v>
      </c>
      <c r="AA171" s="28">
        <v>6.250912695722444E-3</v>
      </c>
      <c r="AB171" s="28">
        <v>8.9338625896477424E-4</v>
      </c>
      <c r="AC171" s="28">
        <v>1.891362620619139E-4</v>
      </c>
      <c r="AD171" s="28">
        <v>1.4672417588617659E-4</v>
      </c>
      <c r="AE171" s="28">
        <v>1.123836406926465E-3</v>
      </c>
      <c r="AF171" s="28">
        <v>9.0236017130555426E-3</v>
      </c>
      <c r="AG171" s="30">
        <v>2.8255092277964021E-7</v>
      </c>
      <c r="AH171" s="30">
        <v>3.2346437669993012E-5</v>
      </c>
      <c r="AI171" s="30">
        <v>1.699373073915956E-4</v>
      </c>
      <c r="AJ171" s="30">
        <v>3.7496238084001741E-4</v>
      </c>
      <c r="AK171" s="30">
        <v>1.954698157482855E-4</v>
      </c>
      <c r="AL171" s="30">
        <v>2.6951192044928872E-3</v>
      </c>
      <c r="AM171" s="30">
        <v>3.4681176970655586E-3</v>
      </c>
      <c r="AN171" s="32">
        <v>3.9925223993043488E-7</v>
      </c>
      <c r="AO171" s="32">
        <v>2.344157748409402E-5</v>
      </c>
      <c r="AP171" s="32">
        <v>3.5166868995513309E-6</v>
      </c>
      <c r="AQ171" s="32">
        <v>5.7073161734124143E-7</v>
      </c>
      <c r="AR171" s="32">
        <v>7.9348700010006346E-7</v>
      </c>
      <c r="AS171" s="32">
        <v>4.0969476626832888E-6</v>
      </c>
      <c r="AT171" s="32">
        <v>3.2818682903700375E-5</v>
      </c>
      <c r="AU171" s="34">
        <v>0</v>
      </c>
      <c r="AV171" s="34">
        <v>0</v>
      </c>
      <c r="AW171" s="34">
        <v>1.8186024943153245</v>
      </c>
      <c r="AX171" s="34">
        <v>0.17743074935185008</v>
      </c>
      <c r="AY171" s="34">
        <v>0.16689826267357047</v>
      </c>
      <c r="AZ171" s="34">
        <v>0.3194851441064781</v>
      </c>
      <c r="BA171" s="34">
        <v>2.4824166504472234</v>
      </c>
      <c r="BB171" s="6"/>
      <c r="BC171" s="6"/>
      <c r="BD171" t="s">
        <v>769</v>
      </c>
      <c r="BF171" s="5">
        <v>0.17017773999999999</v>
      </c>
      <c r="BG171" s="5">
        <f t="shared" si="6"/>
        <v>9.4785844674150355E-3</v>
      </c>
      <c r="BH171" s="2">
        <v>160.86219</v>
      </c>
    </row>
    <row r="172" spans="1:60" x14ac:dyDescent="0.2">
      <c r="A172" t="str">
        <f t="shared" si="0"/>
        <v>Motorbike, gasoline, 11-35kW, EURO-5 - 2050 - None - CH</v>
      </c>
      <c r="B172" t="s">
        <v>397</v>
      </c>
      <c r="D172" s="18">
        <v>2050</v>
      </c>
      <c r="E172" t="s">
        <v>37</v>
      </c>
      <c r="F172" t="s">
        <v>141</v>
      </c>
      <c r="G172" t="s">
        <v>39</v>
      </c>
      <c r="H172" t="s">
        <v>35</v>
      </c>
      <c r="I172" t="s">
        <v>138</v>
      </c>
      <c r="J172" t="s">
        <v>138</v>
      </c>
      <c r="L172" s="24">
        <v>0.104561344786973</v>
      </c>
      <c r="M172" s="24">
        <v>0</v>
      </c>
      <c r="N172" s="24">
        <v>1.8102078396574989E-2</v>
      </c>
      <c r="O172" s="24">
        <v>9.5118975182542226E-3</v>
      </c>
      <c r="P172" s="24">
        <v>4.7677402564036018E-3</v>
      </c>
      <c r="Q172" s="24">
        <v>2.3919212659184841E-2</v>
      </c>
      <c r="R172" s="24">
        <v>0.16086227361739067</v>
      </c>
      <c r="S172" s="26">
        <v>0</v>
      </c>
      <c r="T172" s="26">
        <v>0</v>
      </c>
      <c r="U172" s="26">
        <v>4.4337140740838271E-4</v>
      </c>
      <c r="V172" s="26">
        <v>5.4149643498382851E-4</v>
      </c>
      <c r="W172" s="26">
        <v>3.2820791249066832E-4</v>
      </c>
      <c r="X172" s="26">
        <v>5.2739430787847952E-3</v>
      </c>
      <c r="Y172" s="26">
        <v>6.5870188336676749E-3</v>
      </c>
      <c r="Z172" s="28">
        <v>4.1540985435883118E-4</v>
      </c>
      <c r="AA172" s="28">
        <v>6.250912695722444E-3</v>
      </c>
      <c r="AB172" s="28">
        <v>8.844523963751266E-4</v>
      </c>
      <c r="AC172" s="28">
        <v>1.891362620619139E-4</v>
      </c>
      <c r="AD172" s="28">
        <v>1.465123603225288E-4</v>
      </c>
      <c r="AE172" s="28">
        <v>1.20411868037422E-3</v>
      </c>
      <c r="AF172" s="28">
        <v>9.0905422492150636E-3</v>
      </c>
      <c r="AG172" s="30">
        <v>2.7972541355184378E-7</v>
      </c>
      <c r="AH172" s="30">
        <v>3.2346437669993012E-5</v>
      </c>
      <c r="AI172" s="30">
        <v>1.6823793431767971E-4</v>
      </c>
      <c r="AJ172" s="30">
        <v>3.7496238084001741E-4</v>
      </c>
      <c r="AK172" s="30">
        <v>1.9527213369263441E-4</v>
      </c>
      <c r="AL172" s="30">
        <v>2.9634335043474342E-3</v>
      </c>
      <c r="AM172" s="30">
        <v>3.7345321162813106E-3</v>
      </c>
      <c r="AN172" s="32">
        <v>3.9525971753113062E-7</v>
      </c>
      <c r="AO172" s="32">
        <v>2.344157748409402E-5</v>
      </c>
      <c r="AP172" s="32">
        <v>3.481520030555818E-6</v>
      </c>
      <c r="AQ172" s="32">
        <v>5.7073161734124143E-7</v>
      </c>
      <c r="AR172" s="32">
        <v>7.9270644980600928E-7</v>
      </c>
      <c r="AS172" s="32">
        <v>4.1602193225586513E-6</v>
      </c>
      <c r="AT172" s="32">
        <v>3.2842014621886867E-5</v>
      </c>
      <c r="AU172" s="34">
        <v>0</v>
      </c>
      <c r="AV172" s="34">
        <v>0</v>
      </c>
      <c r="AW172" s="34">
        <v>1.8004164693721709</v>
      </c>
      <c r="AX172" s="34">
        <v>0.17743074935185008</v>
      </c>
      <c r="AY172" s="34">
        <v>0.16665668088751967</v>
      </c>
      <c r="AZ172" s="34">
        <v>0.33450182557017433</v>
      </c>
      <c r="BA172" s="34">
        <v>2.479005725181715</v>
      </c>
      <c r="BB172" s="6"/>
      <c r="BC172" s="6"/>
      <c r="BD172" t="s">
        <v>770</v>
      </c>
      <c r="BF172" s="5">
        <v>0.16948352000000003</v>
      </c>
      <c r="BG172" s="5">
        <f t="shared" si="6"/>
        <v>8.6212463826093599E-3</v>
      </c>
      <c r="BH172" s="2">
        <v>160.24704</v>
      </c>
    </row>
    <row r="173" spans="1:60" x14ac:dyDescent="0.2">
      <c r="A173" t="str">
        <f t="shared" si="0"/>
        <v>Motorbike, gasoline, &gt;35kW, EURO-3 - 2006 - None - CH</v>
      </c>
      <c r="B173" t="s">
        <v>404</v>
      </c>
      <c r="D173" s="18">
        <v>2006</v>
      </c>
      <c r="E173" t="s">
        <v>37</v>
      </c>
      <c r="F173" t="s">
        <v>139</v>
      </c>
      <c r="G173" t="s">
        <v>39</v>
      </c>
      <c r="H173" t="s">
        <v>35</v>
      </c>
      <c r="I173" t="s">
        <v>138</v>
      </c>
      <c r="J173" t="s">
        <v>138</v>
      </c>
      <c r="L173" s="24">
        <v>0.1456373689159301</v>
      </c>
      <c r="M173" s="24">
        <v>0</v>
      </c>
      <c r="N173" s="24">
        <v>2.5238134008871621E-2</v>
      </c>
      <c r="O173" s="24">
        <v>9.5118975182542226E-3</v>
      </c>
      <c r="P173" s="24">
        <v>5.2767016682585969E-3</v>
      </c>
      <c r="Q173" s="24">
        <v>3.0353807002889241E-2</v>
      </c>
      <c r="R173" s="24">
        <v>0.21601790911420382</v>
      </c>
      <c r="S173" s="26">
        <v>0</v>
      </c>
      <c r="T173" s="26">
        <v>0</v>
      </c>
      <c r="U173" s="26">
        <v>6.1815371421615104E-4</v>
      </c>
      <c r="V173" s="26">
        <v>5.4149643498382851E-4</v>
      </c>
      <c r="W173" s="26">
        <v>3.6036798323005651E-4</v>
      </c>
      <c r="X173" s="26">
        <v>7.0268256465361896E-3</v>
      </c>
      <c r="Y173" s="26">
        <v>8.546843778966225E-3</v>
      </c>
      <c r="Z173" s="28">
        <v>1.9976559609592311E-3</v>
      </c>
      <c r="AA173" s="28">
        <v>6.250912695722444E-3</v>
      </c>
      <c r="AB173" s="28">
        <v>1.23311409967192E-3</v>
      </c>
      <c r="AC173" s="28">
        <v>1.891362620619139E-4</v>
      </c>
      <c r="AD173" s="28">
        <v>1.611312298487991E-4</v>
      </c>
      <c r="AE173" s="28">
        <v>1.4780174999559071E-3</v>
      </c>
      <c r="AF173" s="28">
        <v>1.1309967748220216E-2</v>
      </c>
      <c r="AG173" s="30">
        <v>5.1331468005373219E-7</v>
      </c>
      <c r="AH173" s="30">
        <v>3.2346437669993012E-5</v>
      </c>
      <c r="AI173" s="30">
        <v>2.3455933836242311E-4</v>
      </c>
      <c r="AJ173" s="30">
        <v>3.7496238084001741E-4</v>
      </c>
      <c r="AK173" s="30">
        <v>2.089155512464669E-4</v>
      </c>
      <c r="AL173" s="30">
        <v>3.2421615020483989E-3</v>
      </c>
      <c r="AM173" s="30">
        <v>4.0934585248473526E-3</v>
      </c>
      <c r="AN173" s="32">
        <v>8.569470611639673E-7</v>
      </c>
      <c r="AO173" s="32">
        <v>2.344157748409402E-5</v>
      </c>
      <c r="AP173" s="32">
        <v>4.8539768285592813E-6</v>
      </c>
      <c r="AQ173" s="32">
        <v>5.7073161734124143E-7</v>
      </c>
      <c r="AR173" s="32">
        <v>8.465776701779024E-7</v>
      </c>
      <c r="AS173" s="32">
        <v>6.3078048868376844E-6</v>
      </c>
      <c r="AT173" s="32">
        <v>3.6877615548174097E-5</v>
      </c>
      <c r="AU173" s="34">
        <v>0</v>
      </c>
      <c r="AV173" s="34">
        <v>0</v>
      </c>
      <c r="AW173" s="34">
        <v>2.5101621554346876</v>
      </c>
      <c r="AX173" s="34">
        <v>0.17743074935185008</v>
      </c>
      <c r="AY173" s="34">
        <v>0.18332992505040491</v>
      </c>
      <c r="AZ173" s="34">
        <v>0.449646521142474</v>
      </c>
      <c r="BA173" s="34">
        <v>3.3205693509794165</v>
      </c>
      <c r="BB173" s="6"/>
      <c r="BC173" s="6"/>
      <c r="BD173" t="s">
        <v>977</v>
      </c>
      <c r="BF173" s="5">
        <v>0.22708181999999999</v>
      </c>
      <c r="BG173" s="5">
        <f t="shared" si="6"/>
        <v>1.1063910885796169E-2</v>
      </c>
      <c r="BH173" s="2">
        <v>217.98249000000001</v>
      </c>
    </row>
    <row r="174" spans="1:60" x14ac:dyDescent="0.2">
      <c r="A174" t="str">
        <f t="shared" si="0"/>
        <v>Motorbike, gasoline, &gt;35kW, EURO-4 - 2016 - None - CH</v>
      </c>
      <c r="B174" t="s">
        <v>405</v>
      </c>
      <c r="D174" s="18">
        <v>2016</v>
      </c>
      <c r="E174" t="s">
        <v>37</v>
      </c>
      <c r="F174" t="s">
        <v>140</v>
      </c>
      <c r="G174" t="s">
        <v>39</v>
      </c>
      <c r="H174" t="s">
        <v>35</v>
      </c>
      <c r="I174" t="s">
        <v>138</v>
      </c>
      <c r="J174" t="s">
        <v>138</v>
      </c>
      <c r="L174" s="24">
        <v>0.14396262715159169</v>
      </c>
      <c r="M174" s="24">
        <v>0</v>
      </c>
      <c r="N174" s="24">
        <v>2.4988251493932301E-2</v>
      </c>
      <c r="O174" s="24">
        <v>9.5118975182542226E-3</v>
      </c>
      <c r="P174" s="24">
        <v>5.2615431010651871E-3</v>
      </c>
      <c r="Q174" s="24">
        <v>3.0330802553008691E-2</v>
      </c>
      <c r="R174" s="24">
        <v>0.21405512181785208</v>
      </c>
      <c r="S174" s="26">
        <v>0</v>
      </c>
      <c r="T174" s="26">
        <v>0</v>
      </c>
      <c r="U174" s="26">
        <v>6.1203338041203076E-4</v>
      </c>
      <c r="V174" s="26">
        <v>5.4149643498382851E-4</v>
      </c>
      <c r="W174" s="26">
        <v>3.5941014913518662E-4</v>
      </c>
      <c r="X174" s="26">
        <v>7.0263584795335907E-3</v>
      </c>
      <c r="Y174" s="26">
        <v>8.5392984440646365E-3</v>
      </c>
      <c r="Z174" s="28">
        <v>8.3046382610798219E-4</v>
      </c>
      <c r="AA174" s="28">
        <v>6.250912695722444E-3</v>
      </c>
      <c r="AB174" s="28">
        <v>1.220905049180119E-3</v>
      </c>
      <c r="AC174" s="28">
        <v>1.891362620619139E-4</v>
      </c>
      <c r="AD174" s="28">
        <v>1.606958311901896E-4</v>
      </c>
      <c r="AE174" s="28">
        <v>1.4764097578285891E-3</v>
      </c>
      <c r="AF174" s="28">
        <v>1.0128523422091239E-2</v>
      </c>
      <c r="AG174" s="30">
        <v>4.0847998500919202E-7</v>
      </c>
      <c r="AH174" s="30">
        <v>3.2346437669993012E-5</v>
      </c>
      <c r="AI174" s="30">
        <v>2.322369686756664E-4</v>
      </c>
      <c r="AJ174" s="30">
        <v>3.7496238084001741E-4</v>
      </c>
      <c r="AK174" s="30">
        <v>2.0850920479873971E-4</v>
      </c>
      <c r="AL174" s="30">
        <v>3.2420157621221258E-3</v>
      </c>
      <c r="AM174" s="30">
        <v>4.0904792340915519E-3</v>
      </c>
      <c r="AN174" s="32">
        <v>6.0104277654853822E-7</v>
      </c>
      <c r="AO174" s="32">
        <v>2.344157748409402E-5</v>
      </c>
      <c r="AP174" s="32">
        <v>4.8059176520388916E-6</v>
      </c>
      <c r="AQ174" s="32">
        <v>5.7073161734124143E-7</v>
      </c>
      <c r="AR174" s="32">
        <v>8.449732056845687E-7</v>
      </c>
      <c r="AS174" s="32">
        <v>6.3018522570734984E-6</v>
      </c>
      <c r="AT174" s="32">
        <v>3.656609499278076E-5</v>
      </c>
      <c r="AU174" s="34">
        <v>0</v>
      </c>
      <c r="AV174" s="34">
        <v>0</v>
      </c>
      <c r="AW174" s="34">
        <v>2.4853090647868199</v>
      </c>
      <c r="AX174" s="34">
        <v>0.17743074935185008</v>
      </c>
      <c r="AY174" s="34">
        <v>0.18283334026796716</v>
      </c>
      <c r="AZ174" s="34">
        <v>0.44930379239897933</v>
      </c>
      <c r="BA174" s="34">
        <v>3.2948769468056165</v>
      </c>
      <c r="BB174" s="6"/>
      <c r="BC174" s="6"/>
      <c r="BD174" t="s">
        <v>983</v>
      </c>
      <c r="BF174" s="5">
        <v>0.22545672999999999</v>
      </c>
      <c r="BG174" s="5">
        <f t="shared" si="6"/>
        <v>1.1401608182147915E-2</v>
      </c>
      <c r="BH174" s="2">
        <v>211.14079000000001</v>
      </c>
    </row>
    <row r="175" spans="1:60" x14ac:dyDescent="0.2">
      <c r="A175" t="str">
        <f t="shared" si="0"/>
        <v>Motorbike, gasoline, &gt;35kW, EURO-5 - 2020 - None - CH</v>
      </c>
      <c r="B175" t="s">
        <v>406</v>
      </c>
      <c r="D175" s="18">
        <v>2020</v>
      </c>
      <c r="E175" t="s">
        <v>37</v>
      </c>
      <c r="F175" t="s">
        <v>141</v>
      </c>
      <c r="G175" t="s">
        <v>39</v>
      </c>
      <c r="H175" t="s">
        <v>35</v>
      </c>
      <c r="I175" t="s">
        <v>138</v>
      </c>
      <c r="J175" t="s">
        <v>138</v>
      </c>
      <c r="L175" s="24">
        <v>0.1424310956800646</v>
      </c>
      <c r="M175" s="24">
        <v>0</v>
      </c>
      <c r="N175" s="24">
        <v>2.473836897899297E-2</v>
      </c>
      <c r="O175" s="24">
        <v>9.5118975182542226E-3</v>
      </c>
      <c r="P175" s="24">
        <v>5.2514373896029136E-3</v>
      </c>
      <c r="Q175" s="24">
        <v>3.031546636120637E-2</v>
      </c>
      <c r="R175" s="24">
        <v>0.21224826592812107</v>
      </c>
      <c r="S175" s="26">
        <v>0</v>
      </c>
      <c r="T175" s="26">
        <v>0</v>
      </c>
      <c r="U175" s="26">
        <v>6.0591304660791037E-4</v>
      </c>
      <c r="V175" s="26">
        <v>5.4149643498382851E-4</v>
      </c>
      <c r="W175" s="26">
        <v>3.5877159307194E-4</v>
      </c>
      <c r="X175" s="26">
        <v>7.0260470371081166E-3</v>
      </c>
      <c r="Y175" s="26">
        <v>8.532228111771796E-3</v>
      </c>
      <c r="Z175" s="28">
        <v>5.6754522938633146E-4</v>
      </c>
      <c r="AA175" s="28">
        <v>6.250912695722444E-3</v>
      </c>
      <c r="AB175" s="28">
        <v>1.2086959986883181E-3</v>
      </c>
      <c r="AC175" s="28">
        <v>1.891362620619139E-4</v>
      </c>
      <c r="AD175" s="28">
        <v>1.6040556541778331E-4</v>
      </c>
      <c r="AE175" s="28">
        <v>1.475337934959318E-3</v>
      </c>
      <c r="AF175" s="28">
        <v>9.8520336862361075E-3</v>
      </c>
      <c r="AG175" s="30">
        <v>3.8226029656214638E-7</v>
      </c>
      <c r="AH175" s="30">
        <v>3.2346437669993012E-5</v>
      </c>
      <c r="AI175" s="30">
        <v>2.299145989889097E-4</v>
      </c>
      <c r="AJ175" s="30">
        <v>3.7496238084001741E-4</v>
      </c>
      <c r="AK175" s="30">
        <v>2.082383071669215E-4</v>
      </c>
      <c r="AL175" s="30">
        <v>3.241918602806012E-3</v>
      </c>
      <c r="AM175" s="30">
        <v>4.0877625877684155E-3</v>
      </c>
      <c r="AN175" s="32">
        <v>5.4012990847835475E-7</v>
      </c>
      <c r="AO175" s="32">
        <v>2.344157748409402E-5</v>
      </c>
      <c r="AP175" s="32">
        <v>4.7578584755185036E-6</v>
      </c>
      <c r="AQ175" s="32">
        <v>5.7073161734124143E-7</v>
      </c>
      <c r="AR175" s="32">
        <v>8.439035626890129E-7</v>
      </c>
      <c r="AS175" s="32">
        <v>6.2978838572717338E-6</v>
      </c>
      <c r="AT175" s="32">
        <v>3.6452084905392866E-5</v>
      </c>
      <c r="AU175" s="34">
        <v>0</v>
      </c>
      <c r="AV175" s="34">
        <v>0</v>
      </c>
      <c r="AW175" s="34">
        <v>2.4604559741389509</v>
      </c>
      <c r="AX175" s="34">
        <v>0.17743074935185008</v>
      </c>
      <c r="AY175" s="34">
        <v>0.18250228374634203</v>
      </c>
      <c r="AZ175" s="34">
        <v>0.44907530813237251</v>
      </c>
      <c r="BA175" s="34">
        <v>3.2694643153695155</v>
      </c>
      <c r="BB175" s="6"/>
      <c r="BC175" s="6"/>
      <c r="BD175" t="s">
        <v>926</v>
      </c>
      <c r="BF175" s="5">
        <v>0.22364267000000002</v>
      </c>
      <c r="BG175" s="5">
        <f t="shared" si="6"/>
        <v>1.1394404071878944E-2</v>
      </c>
      <c r="BH175" s="2">
        <v>208.5179</v>
      </c>
    </row>
    <row r="176" spans="1:60" x14ac:dyDescent="0.2">
      <c r="A176" t="str">
        <f t="shared" ref="A176:A226" si="8">B176&amp;" - "&amp;D176&amp;" - "&amp;IF(I176&lt;&gt;"",I176&amp;" - "&amp;E176,E176)</f>
        <v>Motorbike, gasoline, &gt;35kW, EURO-5 - 2030 - None - CH</v>
      </c>
      <c r="B176" t="s">
        <v>406</v>
      </c>
      <c r="D176" s="18">
        <v>2030</v>
      </c>
      <c r="E176" t="s">
        <v>37</v>
      </c>
      <c r="F176" t="s">
        <v>141</v>
      </c>
      <c r="G176" t="s">
        <v>39</v>
      </c>
      <c r="H176" t="s">
        <v>35</v>
      </c>
      <c r="I176" t="s">
        <v>138</v>
      </c>
      <c r="J176" t="s">
        <v>138</v>
      </c>
      <c r="L176" s="24">
        <v>0.141006784723264</v>
      </c>
      <c r="M176" s="24">
        <v>0</v>
      </c>
      <c r="N176" s="24">
        <v>2.449098528920304E-2</v>
      </c>
      <c r="O176" s="24">
        <v>9.5118975182542226E-3</v>
      </c>
      <c r="P176" s="24">
        <v>5.2362788224095047E-3</v>
      </c>
      <c r="Q176" s="24">
        <v>3.3069728482490179E-2</v>
      </c>
      <c r="R176" s="24">
        <v>0.21331567483562097</v>
      </c>
      <c r="S176" s="26">
        <v>0</v>
      </c>
      <c r="T176" s="26">
        <v>0</v>
      </c>
      <c r="U176" s="26">
        <v>5.9985391614183136E-4</v>
      </c>
      <c r="V176" s="26">
        <v>5.4149643498382851E-4</v>
      </c>
      <c r="W176" s="26">
        <v>3.5781375897707022E-4</v>
      </c>
      <c r="X176" s="26">
        <v>7.5213000595663847E-3</v>
      </c>
      <c r="Y176" s="26">
        <v>9.0204641696691144E-3</v>
      </c>
      <c r="Z176" s="28">
        <v>5.6186977709246817E-4</v>
      </c>
      <c r="AA176" s="28">
        <v>6.250912695722444E-3</v>
      </c>
      <c r="AB176" s="28">
        <v>1.196609038701435E-3</v>
      </c>
      <c r="AC176" s="28">
        <v>1.891362620619139E-4</v>
      </c>
      <c r="AD176" s="28">
        <v>1.599701667591738E-4</v>
      </c>
      <c r="AE176" s="28">
        <v>1.632213250857753E-3</v>
      </c>
      <c r="AF176" s="28">
        <v>9.9907111911951875E-3</v>
      </c>
      <c r="AG176" s="30">
        <v>3.784376935965249E-7</v>
      </c>
      <c r="AH176" s="30">
        <v>3.2346437669993012E-5</v>
      </c>
      <c r="AI176" s="30">
        <v>2.2761545299902059E-4</v>
      </c>
      <c r="AJ176" s="30">
        <v>3.7496238084001741E-4</v>
      </c>
      <c r="AK176" s="30">
        <v>2.0783196071919431E-4</v>
      </c>
      <c r="AL176" s="30">
        <v>3.7662172839230089E-3</v>
      </c>
      <c r="AM176" s="30">
        <v>4.6093519538448306E-3</v>
      </c>
      <c r="AN176" s="32">
        <v>5.3472860939357127E-7</v>
      </c>
      <c r="AO176" s="32">
        <v>2.344157748409402E-5</v>
      </c>
      <c r="AP176" s="32">
        <v>4.7102798907633183E-6</v>
      </c>
      <c r="AQ176" s="32">
        <v>5.7073161734124143E-7</v>
      </c>
      <c r="AR176" s="32">
        <v>8.422990981956793E-7</v>
      </c>
      <c r="AS176" s="32">
        <v>6.4215196443218267E-6</v>
      </c>
      <c r="AT176" s="32">
        <v>3.6521136344109652E-5</v>
      </c>
      <c r="AU176" s="34">
        <v>0</v>
      </c>
      <c r="AV176" s="34">
        <v>0</v>
      </c>
      <c r="AW176" s="34">
        <v>2.4358514143975611</v>
      </c>
      <c r="AX176" s="34">
        <v>0.17743074935185008</v>
      </c>
      <c r="AY176" s="34">
        <v>0.18200569896390428</v>
      </c>
      <c r="AZ176" s="34">
        <v>0.47841860597399155</v>
      </c>
      <c r="BA176" s="34">
        <v>3.273706468687307</v>
      </c>
      <c r="BB176" s="6"/>
      <c r="BC176" s="6"/>
      <c r="BD176" t="s">
        <v>771</v>
      </c>
      <c r="BF176" s="5">
        <v>0.22299941000000001</v>
      </c>
      <c r="BG176" s="5">
        <f t="shared" si="6"/>
        <v>9.683735164379037E-3</v>
      </c>
      <c r="BH176" s="2">
        <v>207.83073999999999</v>
      </c>
    </row>
    <row r="177" spans="1:60" x14ac:dyDescent="0.2">
      <c r="A177" t="str">
        <f t="shared" si="8"/>
        <v>Motorbike, gasoline, &gt;35kW, EURO-5 - 2040 - None - CH</v>
      </c>
      <c r="B177" t="s">
        <v>406</v>
      </c>
      <c r="D177" s="18">
        <v>2040</v>
      </c>
      <c r="E177" t="s">
        <v>37</v>
      </c>
      <c r="F177" t="s">
        <v>141</v>
      </c>
      <c r="G177" t="s">
        <v>39</v>
      </c>
      <c r="H177" t="s">
        <v>35</v>
      </c>
      <c r="I177" t="s">
        <v>138</v>
      </c>
      <c r="J177" t="s">
        <v>138</v>
      </c>
      <c r="L177" s="24">
        <v>0.13959671687603131</v>
      </c>
      <c r="M177" s="24">
        <v>0</v>
      </c>
      <c r="N177" s="24">
        <v>2.4246075436311011E-2</v>
      </c>
      <c r="O177" s="24">
        <v>9.5118975182542226E-3</v>
      </c>
      <c r="P177" s="24">
        <v>5.2261731109472312E-3</v>
      </c>
      <c r="Q177" s="24">
        <v>3.4905903443434173E-2</v>
      </c>
      <c r="R177" s="24">
        <v>0.21348676638497793</v>
      </c>
      <c r="S177" s="26">
        <v>0</v>
      </c>
      <c r="T177" s="26">
        <v>0</v>
      </c>
      <c r="U177" s="26">
        <v>5.9385537698041294E-4</v>
      </c>
      <c r="V177" s="26">
        <v>5.4149643498382851E-4</v>
      </c>
      <c r="W177" s="26">
        <v>3.571752029138236E-4</v>
      </c>
      <c r="X177" s="26">
        <v>7.8514687875013318E-3</v>
      </c>
      <c r="Y177" s="26">
        <v>9.3439958023793963E-3</v>
      </c>
      <c r="Z177" s="28">
        <v>5.5625107932154349E-4</v>
      </c>
      <c r="AA177" s="28">
        <v>6.250912695722444E-3</v>
      </c>
      <c r="AB177" s="28">
        <v>1.1846429483144199E-3</v>
      </c>
      <c r="AC177" s="28">
        <v>1.891362620619139E-4</v>
      </c>
      <c r="AD177" s="28">
        <v>1.5967990098676751E-4</v>
      </c>
      <c r="AE177" s="28">
        <v>1.7367968051572771E-3</v>
      </c>
      <c r="AF177" s="28">
        <v>1.0077419691564364E-2</v>
      </c>
      <c r="AG177" s="30">
        <v>3.746533166605597E-7</v>
      </c>
      <c r="AH177" s="30">
        <v>3.2346437669993012E-5</v>
      </c>
      <c r="AI177" s="30">
        <v>2.2533929846903041E-4</v>
      </c>
      <c r="AJ177" s="30">
        <v>3.7496238084001741E-4</v>
      </c>
      <c r="AK177" s="30">
        <v>2.075610630873761E-4</v>
      </c>
      <c r="AL177" s="30">
        <v>4.1157497877137832E-3</v>
      </c>
      <c r="AM177" s="30">
        <v>4.9563336210968608E-3</v>
      </c>
      <c r="AN177" s="32">
        <v>5.2938132329963544E-7</v>
      </c>
      <c r="AO177" s="32">
        <v>2.344157748409402E-5</v>
      </c>
      <c r="AP177" s="32">
        <v>4.6631770918556842E-6</v>
      </c>
      <c r="AQ177" s="32">
        <v>5.7073161734124143E-7</v>
      </c>
      <c r="AR177" s="32">
        <v>8.412294552001235E-7</v>
      </c>
      <c r="AS177" s="32">
        <v>6.5039434974534263E-6</v>
      </c>
      <c r="AT177" s="32">
        <v>3.6550040469244134E-5</v>
      </c>
      <c r="AU177" s="34">
        <v>0</v>
      </c>
      <c r="AV177" s="34">
        <v>0</v>
      </c>
      <c r="AW177" s="34">
        <v>2.4114929002535854</v>
      </c>
      <c r="AX177" s="34">
        <v>0.17743074935185008</v>
      </c>
      <c r="AY177" s="34">
        <v>0.1816746424422791</v>
      </c>
      <c r="AZ177" s="34">
        <v>0.49798080657492666</v>
      </c>
      <c r="BA177" s="34">
        <v>3.2685790986226411</v>
      </c>
      <c r="BB177" s="6"/>
      <c r="BC177" s="6"/>
      <c r="BD177" t="s">
        <v>772</v>
      </c>
      <c r="BF177" s="5">
        <v>0.22198580000000001</v>
      </c>
      <c r="BG177" s="5">
        <f t="shared" si="6"/>
        <v>8.499033615022078E-3</v>
      </c>
      <c r="BH177" s="2">
        <v>206.96093999999999</v>
      </c>
    </row>
    <row r="178" spans="1:60" x14ac:dyDescent="0.2">
      <c r="A178" t="str">
        <f t="shared" si="8"/>
        <v>Motorbike, gasoline, &gt;35kW, EURO-5 - 2050 - None - CH</v>
      </c>
      <c r="B178" t="s">
        <v>406</v>
      </c>
      <c r="D178" s="18">
        <v>2050</v>
      </c>
      <c r="E178" t="s">
        <v>37</v>
      </c>
      <c r="F178" t="s">
        <v>141</v>
      </c>
      <c r="G178" t="s">
        <v>39</v>
      </c>
      <c r="H178" t="s">
        <v>35</v>
      </c>
      <c r="I178" t="s">
        <v>138</v>
      </c>
      <c r="J178" t="s">
        <v>138</v>
      </c>
      <c r="L178" s="24">
        <v>0.138200749707271</v>
      </c>
      <c r="M178" s="24">
        <v>0</v>
      </c>
      <c r="N178" s="24">
        <v>2.40036146819479E-2</v>
      </c>
      <c r="O178" s="24">
        <v>9.5118975182542226E-3</v>
      </c>
      <c r="P178" s="24">
        <v>5.2160673994849586E-3</v>
      </c>
      <c r="Q178" s="24">
        <v>3.674207806310284E-2</v>
      </c>
      <c r="R178" s="24">
        <v>0.21367440737006094</v>
      </c>
      <c r="S178" s="26">
        <v>0</v>
      </c>
      <c r="T178" s="26">
        <v>0</v>
      </c>
      <c r="U178" s="26">
        <v>5.879168232106088E-4</v>
      </c>
      <c r="V178" s="26">
        <v>5.4149643498382851E-4</v>
      </c>
      <c r="W178" s="26">
        <v>3.5653664685057702E-4</v>
      </c>
      <c r="X178" s="26">
        <v>8.1816374456681034E-3</v>
      </c>
      <c r="Y178" s="26">
        <v>9.6675873507131183E-3</v>
      </c>
      <c r="Z178" s="28">
        <v>5.5068856852832795E-4</v>
      </c>
      <c r="AA178" s="28">
        <v>6.250912695722444E-3</v>
      </c>
      <c r="AB178" s="28">
        <v>1.1727965188312759E-3</v>
      </c>
      <c r="AC178" s="28">
        <v>1.891362620619139E-4</v>
      </c>
      <c r="AD178" s="28">
        <v>1.5938963521436111E-4</v>
      </c>
      <c r="AE178" s="28">
        <v>1.84138033721651E-3</v>
      </c>
      <c r="AF178" s="28">
        <v>1.0164304017574833E-2</v>
      </c>
      <c r="AG178" s="30">
        <v>3.7090678349395399E-7</v>
      </c>
      <c r="AH178" s="30">
        <v>3.2346437669993012E-5</v>
      </c>
      <c r="AI178" s="30">
        <v>2.2308590548434011E-4</v>
      </c>
      <c r="AJ178" s="30">
        <v>3.7496238084001741E-4</v>
      </c>
      <c r="AK178" s="30">
        <v>2.0729016545555789E-4</v>
      </c>
      <c r="AL178" s="30">
        <v>4.4652822166896247E-3</v>
      </c>
      <c r="AM178" s="30">
        <v>5.3033380129230267E-3</v>
      </c>
      <c r="AN178" s="32">
        <v>5.2408751006663915E-7</v>
      </c>
      <c r="AO178" s="32">
        <v>2.344157748409402E-5</v>
      </c>
      <c r="AP178" s="32">
        <v>4.6165453209371283E-6</v>
      </c>
      <c r="AQ178" s="32">
        <v>5.7073161734124143E-7</v>
      </c>
      <c r="AR178" s="32">
        <v>8.401598122045677E-7</v>
      </c>
      <c r="AS178" s="32">
        <v>6.5863673347963851E-6</v>
      </c>
      <c r="AT178" s="32">
        <v>3.6579469079439981E-5</v>
      </c>
      <c r="AU178" s="34">
        <v>0</v>
      </c>
      <c r="AV178" s="34">
        <v>0</v>
      </c>
      <c r="AW178" s="34">
        <v>2.3873779712510497</v>
      </c>
      <c r="AX178" s="34">
        <v>0.17743074935185008</v>
      </c>
      <c r="AY178" s="34">
        <v>0.18134358592065394</v>
      </c>
      <c r="AZ178" s="34">
        <v>0.5175430036933224</v>
      </c>
      <c r="BA178" s="34">
        <v>3.263695310216876</v>
      </c>
      <c r="BB178" s="6"/>
      <c r="BC178" s="6"/>
      <c r="BD178" t="s">
        <v>773</v>
      </c>
      <c r="BF178" s="5">
        <v>0.22098013999999999</v>
      </c>
      <c r="BG178" s="5">
        <f t="shared" si="6"/>
        <v>7.3057326299390546E-3</v>
      </c>
      <c r="BH178" s="2">
        <v>206.10284999999999</v>
      </c>
    </row>
    <row r="179" spans="1:60" x14ac:dyDescent="0.2">
      <c r="A179" t="str">
        <f t="shared" si="8"/>
        <v>Motorbike, electric, &lt;4kW - 2020 - NMC - CH</v>
      </c>
      <c r="B179" t="s">
        <v>267</v>
      </c>
      <c r="D179" s="18">
        <v>2020</v>
      </c>
      <c r="E179" t="s">
        <v>37</v>
      </c>
      <c r="F179" t="s">
        <v>138</v>
      </c>
      <c r="G179" t="s">
        <v>39</v>
      </c>
      <c r="H179" t="s">
        <v>32</v>
      </c>
      <c r="I179" t="s">
        <v>43</v>
      </c>
      <c r="J179" t="s">
        <v>138</v>
      </c>
      <c r="L179" s="24">
        <v>0</v>
      </c>
      <c r="M179" s="24">
        <v>0</v>
      </c>
      <c r="N179" s="24">
        <v>3.836250793656903E-3</v>
      </c>
      <c r="O179" s="24">
        <v>1.2306591692257861E-2</v>
      </c>
      <c r="P179" s="24">
        <v>4.4328520005473991E-3</v>
      </c>
      <c r="Q179" s="24">
        <v>3.7731612714263563E-2</v>
      </c>
      <c r="R179" s="24">
        <v>5.830730720072573E-2</v>
      </c>
      <c r="S179" s="26">
        <v>0</v>
      </c>
      <c r="T179" s="26">
        <v>0</v>
      </c>
      <c r="U179" s="26">
        <v>4.0604195360992079E-4</v>
      </c>
      <c r="V179" s="26">
        <v>4.722191823356421E-4</v>
      </c>
      <c r="W179" s="26">
        <v>3.0704711375963563E-4</v>
      </c>
      <c r="X179" s="26">
        <v>4.3073131220721143E-2</v>
      </c>
      <c r="Y179" s="26">
        <v>4.425843947042634E-2</v>
      </c>
      <c r="Z179" s="28">
        <v>0</v>
      </c>
      <c r="AA179" s="28">
        <v>3.1271735442865911E-3</v>
      </c>
      <c r="AB179" s="28">
        <v>1.1899481848762461E-4</v>
      </c>
      <c r="AC179" s="28">
        <v>1.5438989133449149E-4</v>
      </c>
      <c r="AD179" s="28">
        <v>1.3689338410113129E-4</v>
      </c>
      <c r="AE179" s="28">
        <v>3.5131444674290678E-3</v>
      </c>
      <c r="AF179" s="28">
        <v>7.0505961056389066E-3</v>
      </c>
      <c r="AG179" s="30">
        <v>0</v>
      </c>
      <c r="AH179" s="30">
        <v>1.6491053126472278E-5</v>
      </c>
      <c r="AI179" s="30">
        <v>2.7189071687907281E-4</v>
      </c>
      <c r="AJ179" s="30">
        <v>3.7507357872791961E-4</v>
      </c>
      <c r="AK179" s="30">
        <v>1.8629498885984979E-4</v>
      </c>
      <c r="AL179" s="30">
        <v>1.0620833379668831E-2</v>
      </c>
      <c r="AM179" s="30">
        <v>1.1470583717262145E-2</v>
      </c>
      <c r="AN179" s="32">
        <v>0</v>
      </c>
      <c r="AO179" s="32">
        <v>1.179775095002105E-5</v>
      </c>
      <c r="AP179" s="32">
        <v>3.4282755259154613E-7</v>
      </c>
      <c r="AQ179" s="32">
        <v>7.4641524221169363E-7</v>
      </c>
      <c r="AR179" s="32">
        <v>7.5726007094314899E-7</v>
      </c>
      <c r="AS179" s="32">
        <v>9.874007547004985E-6</v>
      </c>
      <c r="AT179" s="32">
        <v>2.3518261362772422E-5</v>
      </c>
      <c r="AU179" s="34">
        <v>0</v>
      </c>
      <c r="AV179" s="34">
        <v>0</v>
      </c>
      <c r="AW179" s="34">
        <v>0.17939961470963908</v>
      </c>
      <c r="AX179" s="34">
        <v>0.17647448414364728</v>
      </c>
      <c r="AY179" s="34">
        <v>0.1556859598719075</v>
      </c>
      <c r="AZ179" s="34">
        <v>0.54370848778751379</v>
      </c>
      <c r="BA179" s="34">
        <v>1.0552685465127076</v>
      </c>
      <c r="BB179" s="6"/>
      <c r="BC179" s="6"/>
      <c r="BD179" t="s">
        <v>927</v>
      </c>
      <c r="BF179" s="5">
        <v>5.7933417000000001E-2</v>
      </c>
      <c r="BG179" s="5">
        <f t="shared" si="6"/>
        <v>-3.7389020072572943E-4</v>
      </c>
      <c r="BH179" s="2">
        <v>133.77883</v>
      </c>
    </row>
    <row r="180" spans="1:60" x14ac:dyDescent="0.2">
      <c r="A180" t="str">
        <f t="shared" si="8"/>
        <v>Motorbike, electric, &lt;4kW - 2030 - NMC - CH</v>
      </c>
      <c r="B180" t="s">
        <v>267</v>
      </c>
      <c r="D180" s="18">
        <v>2030</v>
      </c>
      <c r="E180" t="s">
        <v>37</v>
      </c>
      <c r="F180" t="s">
        <v>138</v>
      </c>
      <c r="G180" t="s">
        <v>39</v>
      </c>
      <c r="H180" t="s">
        <v>32</v>
      </c>
      <c r="I180" t="s">
        <v>43</v>
      </c>
      <c r="J180" t="s">
        <v>138</v>
      </c>
      <c r="L180" s="24">
        <v>0</v>
      </c>
      <c r="M180" s="24">
        <v>0</v>
      </c>
      <c r="N180" s="24">
        <v>3.836250793656903E-3</v>
      </c>
      <c r="O180" s="24">
        <v>1.2306591692257861E-2</v>
      </c>
      <c r="P180" s="24">
        <v>4.4354770577290396E-3</v>
      </c>
      <c r="Q180" s="24">
        <v>3.6150989630984988E-2</v>
      </c>
      <c r="R180" s="24">
        <v>5.6729309174628789E-2</v>
      </c>
      <c r="S180" s="26">
        <v>0</v>
      </c>
      <c r="T180" s="26">
        <v>0</v>
      </c>
      <c r="U180" s="26">
        <v>4.0604195360992079E-4</v>
      </c>
      <c r="V180" s="26">
        <v>4.722191823356421E-4</v>
      </c>
      <c r="W180" s="26">
        <v>3.0721298492921762E-4</v>
      </c>
      <c r="X180" s="26">
        <v>3.6101004899327008E-2</v>
      </c>
      <c r="Y180" s="26">
        <v>3.7286479020201789E-2</v>
      </c>
      <c r="Z180" s="28">
        <v>0</v>
      </c>
      <c r="AA180" s="28">
        <v>3.1271735442865911E-3</v>
      </c>
      <c r="AB180" s="28">
        <v>1.1899481848762461E-4</v>
      </c>
      <c r="AC180" s="28">
        <v>1.5438989133449149E-4</v>
      </c>
      <c r="AD180" s="28">
        <v>1.3696878346843811E-4</v>
      </c>
      <c r="AE180" s="28">
        <v>3.045672236259228E-3</v>
      </c>
      <c r="AF180" s="28">
        <v>6.5831992738363734E-3</v>
      </c>
      <c r="AG180" s="30">
        <v>0</v>
      </c>
      <c r="AH180" s="30">
        <v>1.6491053126472278E-5</v>
      </c>
      <c r="AI180" s="30">
        <v>2.7189071687907281E-4</v>
      </c>
      <c r="AJ180" s="30">
        <v>3.7507357872791961E-4</v>
      </c>
      <c r="AK180" s="30">
        <v>1.863653571636104E-4</v>
      </c>
      <c r="AL180" s="30">
        <v>9.5258486340622749E-3</v>
      </c>
      <c r="AM180" s="30">
        <v>1.0375669339959349E-2</v>
      </c>
      <c r="AN180" s="32">
        <v>0</v>
      </c>
      <c r="AO180" s="32">
        <v>1.179775095002105E-5</v>
      </c>
      <c r="AP180" s="32">
        <v>3.4282755259154613E-7</v>
      </c>
      <c r="AQ180" s="32">
        <v>7.4641524221169363E-7</v>
      </c>
      <c r="AR180" s="32">
        <v>7.5753792115070333E-7</v>
      </c>
      <c r="AS180" s="32">
        <v>8.6442927998933472E-6</v>
      </c>
      <c r="AT180" s="32">
        <v>2.2288824465868339E-5</v>
      </c>
      <c r="AU180" s="34">
        <v>0</v>
      </c>
      <c r="AV180" s="34">
        <v>0</v>
      </c>
      <c r="AW180" s="34">
        <v>0.17939961470963908</v>
      </c>
      <c r="AX180" s="34">
        <v>0.17647448414364728</v>
      </c>
      <c r="AY180" s="34">
        <v>0.15577195503443175</v>
      </c>
      <c r="AZ180" s="34">
        <v>0.50865858246692519</v>
      </c>
      <c r="BA180" s="34">
        <v>1.0203046363546433</v>
      </c>
      <c r="BB180" s="6"/>
      <c r="BC180" s="6"/>
      <c r="BD180" t="s">
        <v>691</v>
      </c>
      <c r="BF180" s="5">
        <v>5.6520210000000001E-2</v>
      </c>
      <c r="BG180" s="5">
        <f t="shared" si="6"/>
        <v>-2.0909917462878791E-4</v>
      </c>
      <c r="BH180" s="2">
        <v>120.77919</v>
      </c>
    </row>
    <row r="181" spans="1:60" x14ac:dyDescent="0.2">
      <c r="A181" t="str">
        <f t="shared" si="8"/>
        <v>Motorbike, electric, &lt;4kW - 2040 - NMC - CH</v>
      </c>
      <c r="B181" t="s">
        <v>267</v>
      </c>
      <c r="D181" s="18">
        <v>2040</v>
      </c>
      <c r="E181" t="s">
        <v>37</v>
      </c>
      <c r="F181" t="s">
        <v>138</v>
      </c>
      <c r="G181" t="s">
        <v>39</v>
      </c>
      <c r="H181" t="s">
        <v>32</v>
      </c>
      <c r="I181" t="s">
        <v>43</v>
      </c>
      <c r="J181" t="s">
        <v>138</v>
      </c>
      <c r="L181" s="24">
        <v>0</v>
      </c>
      <c r="M181" s="24">
        <v>0</v>
      </c>
      <c r="N181" s="24">
        <v>3.836250793656903E-3</v>
      </c>
      <c r="O181" s="24">
        <v>1.2306591692257861E-2</v>
      </c>
      <c r="P181" s="24">
        <v>4.434103834174483E-3</v>
      </c>
      <c r="Q181" s="24">
        <v>3.5912100467703358E-2</v>
      </c>
      <c r="R181" s="24">
        <v>5.6489046787792603E-2</v>
      </c>
      <c r="S181" s="26">
        <v>0</v>
      </c>
      <c r="T181" s="26">
        <v>0</v>
      </c>
      <c r="U181" s="26">
        <v>4.0604195360992079E-4</v>
      </c>
      <c r="V181" s="26">
        <v>4.722191823356421E-4</v>
      </c>
      <c r="W181" s="26">
        <v>3.0712621417287557E-4</v>
      </c>
      <c r="X181" s="26">
        <v>3.3072757472973058E-2</v>
      </c>
      <c r="Y181" s="26">
        <v>3.4258144823091495E-2</v>
      </c>
      <c r="Z181" s="28">
        <v>0</v>
      </c>
      <c r="AA181" s="28">
        <v>3.1271735442865911E-3</v>
      </c>
      <c r="AB181" s="28">
        <v>1.1899481848762461E-4</v>
      </c>
      <c r="AC181" s="28">
        <v>1.5438989133449149E-4</v>
      </c>
      <c r="AD181" s="28">
        <v>1.3692934044681231E-4</v>
      </c>
      <c r="AE181" s="28">
        <v>2.8635356772810571E-3</v>
      </c>
      <c r="AF181" s="28">
        <v>6.4010232718365763E-3</v>
      </c>
      <c r="AG181" s="30">
        <v>0</v>
      </c>
      <c r="AH181" s="30">
        <v>1.6491053126472278E-5</v>
      </c>
      <c r="AI181" s="30">
        <v>2.7189071687907281E-4</v>
      </c>
      <c r="AJ181" s="30">
        <v>3.7507357872791961E-4</v>
      </c>
      <c r="AK181" s="30">
        <v>1.8632854599892639E-4</v>
      </c>
      <c r="AL181" s="30">
        <v>9.1263158500380914E-3</v>
      </c>
      <c r="AM181" s="30">
        <v>9.9760997447704818E-3</v>
      </c>
      <c r="AN181" s="32">
        <v>0</v>
      </c>
      <c r="AO181" s="32">
        <v>1.179775095002105E-5</v>
      </c>
      <c r="AP181" s="32">
        <v>3.4282755259154613E-7</v>
      </c>
      <c r="AQ181" s="32">
        <v>7.4641524221169363E-7</v>
      </c>
      <c r="AR181" s="32">
        <v>7.5739257176467052E-7</v>
      </c>
      <c r="AS181" s="32">
        <v>8.1157492810330466E-6</v>
      </c>
      <c r="AT181" s="32">
        <v>2.1760135597622006E-5</v>
      </c>
      <c r="AU181" s="34">
        <v>0</v>
      </c>
      <c r="AV181" s="34">
        <v>0</v>
      </c>
      <c r="AW181" s="34">
        <v>0.17939961470963908</v>
      </c>
      <c r="AX181" s="34">
        <v>0.17647448414364728</v>
      </c>
      <c r="AY181" s="34">
        <v>0.15572696912571241</v>
      </c>
      <c r="AZ181" s="34">
        <v>0.49797394030048725</v>
      </c>
      <c r="BA181" s="34">
        <v>1.0095750082794859</v>
      </c>
      <c r="BB181" s="6"/>
      <c r="BC181" s="6"/>
      <c r="BD181" t="s">
        <v>692</v>
      </c>
      <c r="BF181" s="5">
        <v>5.6064011999999996E-2</v>
      </c>
      <c r="BG181" s="5">
        <f t="shared" si="6"/>
        <v>-4.2503478779260667E-4</v>
      </c>
      <c r="BH181" s="2">
        <v>115.06788</v>
      </c>
    </row>
    <row r="182" spans="1:60" x14ac:dyDescent="0.2">
      <c r="A182" t="str">
        <f t="shared" si="8"/>
        <v>Motorbike, electric, &lt;4kW - 2050 - NMC - CH</v>
      </c>
      <c r="B182" t="s">
        <v>267</v>
      </c>
      <c r="D182" s="18">
        <v>2050</v>
      </c>
      <c r="E182" t="s">
        <v>37</v>
      </c>
      <c r="F182" t="s">
        <v>138</v>
      </c>
      <c r="G182" t="s">
        <v>39</v>
      </c>
      <c r="H182" t="s">
        <v>32</v>
      </c>
      <c r="I182" t="s">
        <v>43</v>
      </c>
      <c r="J182" t="s">
        <v>138</v>
      </c>
      <c r="L182" s="24">
        <v>0</v>
      </c>
      <c r="M182" s="24">
        <v>0</v>
      </c>
      <c r="N182" s="24">
        <v>3.836250793656903E-3</v>
      </c>
      <c r="O182" s="24">
        <v>1.2306591692257861E-2</v>
      </c>
      <c r="P182" s="24">
        <v>4.433716903780657E-3</v>
      </c>
      <c r="Q182" s="24">
        <v>4.8722811857781059E-2</v>
      </c>
      <c r="R182" s="24">
        <v>6.9299371247476482E-2</v>
      </c>
      <c r="S182" s="26">
        <v>0</v>
      </c>
      <c r="T182" s="26">
        <v>0</v>
      </c>
      <c r="U182" s="26">
        <v>4.0604195360992079E-4</v>
      </c>
      <c r="V182" s="26">
        <v>4.722191823356421E-4</v>
      </c>
      <c r="W182" s="26">
        <v>3.0710176495423781E-4</v>
      </c>
      <c r="X182" s="26">
        <v>5.3634881422349651E-2</v>
      </c>
      <c r="Y182" s="26">
        <v>5.4820244323249452E-2</v>
      </c>
      <c r="Z182" s="28">
        <v>0</v>
      </c>
      <c r="AA182" s="28">
        <v>3.1271735442865911E-3</v>
      </c>
      <c r="AB182" s="28">
        <v>1.1899481848762461E-4</v>
      </c>
      <c r="AC182" s="28">
        <v>1.5438989133449149E-4</v>
      </c>
      <c r="AD182" s="28">
        <v>1.3691822666723821E-4</v>
      </c>
      <c r="AE182" s="28">
        <v>4.6255852130350772E-3</v>
      </c>
      <c r="AF182" s="28">
        <v>8.1630616938110218E-3</v>
      </c>
      <c r="AG182" s="30">
        <v>0</v>
      </c>
      <c r="AH182" s="30">
        <v>1.6491053126472278E-5</v>
      </c>
      <c r="AI182" s="30">
        <v>2.7189071687907281E-4</v>
      </c>
      <c r="AJ182" s="30">
        <v>3.7507357872791961E-4</v>
      </c>
      <c r="AK182" s="30">
        <v>1.8631817379230269E-4</v>
      </c>
      <c r="AL182" s="30">
        <v>1.371885835088588E-2</v>
      </c>
      <c r="AM182" s="30">
        <v>1.4568631873411647E-2</v>
      </c>
      <c r="AN182" s="32">
        <v>0</v>
      </c>
      <c r="AO182" s="32">
        <v>1.179775095002105E-5</v>
      </c>
      <c r="AP182" s="32">
        <v>3.4282755259154613E-7</v>
      </c>
      <c r="AQ182" s="32">
        <v>7.4641524221169363E-7</v>
      </c>
      <c r="AR182" s="32">
        <v>7.5735161696529122E-7</v>
      </c>
      <c r="AS182" s="32">
        <v>1.187505888308293E-5</v>
      </c>
      <c r="AT182" s="32">
        <v>2.5519404244872511E-5</v>
      </c>
      <c r="AU182" s="34">
        <v>0</v>
      </c>
      <c r="AV182" s="34">
        <v>0</v>
      </c>
      <c r="AW182" s="34">
        <v>0.17939961470963908</v>
      </c>
      <c r="AX182" s="34">
        <v>0.17647448414364728</v>
      </c>
      <c r="AY182" s="34">
        <v>0.15571429353817273</v>
      </c>
      <c r="AZ182" s="34">
        <v>0.68457763636854829</v>
      </c>
      <c r="BA182" s="34">
        <v>1.1961660287600073</v>
      </c>
      <c r="BB182" s="6"/>
      <c r="BC182" s="6"/>
      <c r="BD182" t="s">
        <v>693</v>
      </c>
      <c r="BF182" s="5">
        <v>6.3322703999999994E-2</v>
      </c>
      <c r="BG182" s="5">
        <f t="shared" si="6"/>
        <v>-5.9766672474764887E-3</v>
      </c>
      <c r="BH182" s="2">
        <v>152.51778999999999</v>
      </c>
    </row>
    <row r="183" spans="1:60" x14ac:dyDescent="0.2">
      <c r="A183" t="str">
        <f t="shared" si="8"/>
        <v>Motorbike, electric, 4-11kW - 2020 - NMC - CH</v>
      </c>
      <c r="B183" t="s">
        <v>268</v>
      </c>
      <c r="D183" s="18">
        <v>2020</v>
      </c>
      <c r="E183" t="s">
        <v>37</v>
      </c>
      <c r="F183" t="s">
        <v>138</v>
      </c>
      <c r="G183" t="s">
        <v>39</v>
      </c>
      <c r="H183" t="s">
        <v>32</v>
      </c>
      <c r="I183" t="s">
        <v>43</v>
      </c>
      <c r="J183" t="s">
        <v>138</v>
      </c>
      <c r="L183" s="24">
        <v>0</v>
      </c>
      <c r="M183" s="24">
        <v>0</v>
      </c>
      <c r="N183" s="24">
        <v>5.7702284664922004E-3</v>
      </c>
      <c r="O183" s="24">
        <v>1.2306591692257861E-2</v>
      </c>
      <c r="P183" s="24">
        <v>4.5620586516537803E-3</v>
      </c>
      <c r="Q183" s="24">
        <v>4.8920262282214709E-2</v>
      </c>
      <c r="R183" s="24">
        <v>7.1559141092618544E-2</v>
      </c>
      <c r="S183" s="26">
        <v>0</v>
      </c>
      <c r="T183" s="26">
        <v>0</v>
      </c>
      <c r="U183" s="26">
        <v>6.1074078972731883E-4</v>
      </c>
      <c r="V183" s="26">
        <v>4.722191823356421E-4</v>
      </c>
      <c r="W183" s="26">
        <v>3.1521137718470738E-4</v>
      </c>
      <c r="X183" s="26">
        <v>5.4538590521143467E-2</v>
      </c>
      <c r="Y183" s="26">
        <v>5.5936761870391136E-2</v>
      </c>
      <c r="Z183" s="28">
        <v>0</v>
      </c>
      <c r="AA183" s="28">
        <v>3.1271735442865911E-3</v>
      </c>
      <c r="AB183" s="28">
        <v>1.789839418574189E-4</v>
      </c>
      <c r="AC183" s="28">
        <v>1.5438989133449149E-4</v>
      </c>
      <c r="AD183" s="28">
        <v>1.406045793518013E-4</v>
      </c>
      <c r="AE183" s="28">
        <v>4.4499296217063557E-3</v>
      </c>
      <c r="AF183" s="28">
        <v>8.0510815785366577E-3</v>
      </c>
      <c r="AG183" s="30">
        <v>0</v>
      </c>
      <c r="AH183" s="30">
        <v>1.6491053126472278E-5</v>
      </c>
      <c r="AI183" s="30">
        <v>4.0895959067761362E-4</v>
      </c>
      <c r="AJ183" s="30">
        <v>3.7507357872791961E-4</v>
      </c>
      <c r="AK183" s="30">
        <v>1.897585526010612E-4</v>
      </c>
      <c r="AL183" s="30">
        <v>1.374556755101566E-2</v>
      </c>
      <c r="AM183" s="30">
        <v>1.4735850326148728E-2</v>
      </c>
      <c r="AN183" s="32">
        <v>0</v>
      </c>
      <c r="AO183" s="32">
        <v>1.179775095002105E-5</v>
      </c>
      <c r="AP183" s="32">
        <v>5.1565797166662308E-7</v>
      </c>
      <c r="AQ183" s="32">
        <v>7.4641524221169363E-7</v>
      </c>
      <c r="AR183" s="32">
        <v>7.7093599963467272E-7</v>
      </c>
      <c r="AS183" s="32">
        <v>1.2522572062321821E-5</v>
      </c>
      <c r="AT183" s="32">
        <v>2.6353332225855858E-5</v>
      </c>
      <c r="AU183" s="34">
        <v>0</v>
      </c>
      <c r="AV183" s="34">
        <v>0</v>
      </c>
      <c r="AW183" s="34">
        <v>0.2698407427863993</v>
      </c>
      <c r="AX183" s="34">
        <v>0.17647448414364728</v>
      </c>
      <c r="AY183" s="34">
        <v>0.15991868555834748</v>
      </c>
      <c r="AZ183" s="34">
        <v>0.7018944944193094</v>
      </c>
      <c r="BA183" s="34">
        <v>1.3081284069077035</v>
      </c>
      <c r="BB183" s="6"/>
      <c r="BC183" s="6"/>
      <c r="BD183" t="s">
        <v>928</v>
      </c>
      <c r="BF183" s="5">
        <v>7.0016664000000006E-2</v>
      </c>
      <c r="BG183" s="5">
        <f t="shared" si="6"/>
        <v>-1.5424770926185383E-3</v>
      </c>
      <c r="BH183" s="2">
        <v>162.07660000000001</v>
      </c>
    </row>
    <row r="184" spans="1:60" x14ac:dyDescent="0.2">
      <c r="A184" t="str">
        <f t="shared" si="8"/>
        <v>Motorbike, electric, 4-11kW - 2030 - NMC - CH</v>
      </c>
      <c r="B184" t="s">
        <v>268</v>
      </c>
      <c r="D184" s="18">
        <v>2030</v>
      </c>
      <c r="E184" t="s">
        <v>37</v>
      </c>
      <c r="F184" t="s">
        <v>138</v>
      </c>
      <c r="G184" t="s">
        <v>39</v>
      </c>
      <c r="H184" t="s">
        <v>32</v>
      </c>
      <c r="I184" t="s">
        <v>43</v>
      </c>
      <c r="J184" t="s">
        <v>138</v>
      </c>
      <c r="L184" s="24">
        <v>0</v>
      </c>
      <c r="M184" s="24">
        <v>0</v>
      </c>
      <c r="N184" s="24">
        <v>5.7702284664922004E-3</v>
      </c>
      <c r="O184" s="24">
        <v>1.2306591692257861E-2</v>
      </c>
      <c r="P184" s="24">
        <v>4.5659445792955522E-3</v>
      </c>
      <c r="Q184" s="24">
        <v>5.0847739574879709E-2</v>
      </c>
      <c r="R184" s="24">
        <v>7.3490504312925323E-2</v>
      </c>
      <c r="S184" s="26">
        <v>0</v>
      </c>
      <c r="T184" s="26">
        <v>0</v>
      </c>
      <c r="U184" s="26">
        <v>6.1074078972731883E-4</v>
      </c>
      <c r="V184" s="26">
        <v>4.722191823356421E-4</v>
      </c>
      <c r="W184" s="26">
        <v>3.1545691978368762E-4</v>
      </c>
      <c r="X184" s="26">
        <v>5.3567251468282361E-2</v>
      </c>
      <c r="Y184" s="26">
        <v>5.4965668360129012E-2</v>
      </c>
      <c r="Z184" s="28">
        <v>0</v>
      </c>
      <c r="AA184" s="28">
        <v>3.1271735442865911E-3</v>
      </c>
      <c r="AB184" s="28">
        <v>1.789839418574189E-4</v>
      </c>
      <c r="AC184" s="28">
        <v>1.5438989133449149E-4</v>
      </c>
      <c r="AD184" s="28">
        <v>1.4071619462922781E-4</v>
      </c>
      <c r="AE184" s="28">
        <v>4.485928208278203E-3</v>
      </c>
      <c r="AF184" s="28">
        <v>8.0871917803859335E-3</v>
      </c>
      <c r="AG184" s="30">
        <v>0</v>
      </c>
      <c r="AH184" s="30">
        <v>1.6491053126472278E-5</v>
      </c>
      <c r="AI184" s="30">
        <v>4.0895959067761362E-4</v>
      </c>
      <c r="AJ184" s="30">
        <v>3.7507357872791961E-4</v>
      </c>
      <c r="AK184" s="30">
        <v>1.8986272028875961E-4</v>
      </c>
      <c r="AL184" s="30">
        <v>1.395166652116028E-2</v>
      </c>
      <c r="AM184" s="30">
        <v>1.4942053463981045E-2</v>
      </c>
      <c r="AN184" s="32">
        <v>0</v>
      </c>
      <c r="AO184" s="32">
        <v>1.179775095002105E-5</v>
      </c>
      <c r="AP184" s="32">
        <v>5.1565797166662308E-7</v>
      </c>
      <c r="AQ184" s="32">
        <v>7.4641524221169363E-7</v>
      </c>
      <c r="AR184" s="32">
        <v>7.713473071708888E-7</v>
      </c>
      <c r="AS184" s="32">
        <v>1.2387130655504919E-5</v>
      </c>
      <c r="AT184" s="32">
        <v>2.6218302126575174E-5</v>
      </c>
      <c r="AU184" s="34">
        <v>0</v>
      </c>
      <c r="AV184" s="34">
        <v>0</v>
      </c>
      <c r="AW184" s="34">
        <v>0.2698407427863993</v>
      </c>
      <c r="AX184" s="34">
        <v>0.17647448414364728</v>
      </c>
      <c r="AY184" s="34">
        <v>0.16004598601543801</v>
      </c>
      <c r="AZ184" s="34">
        <v>0.71896573632358329</v>
      </c>
      <c r="BA184" s="34">
        <v>1.3253269492690678</v>
      </c>
      <c r="BB184" s="6"/>
      <c r="BC184" s="6"/>
      <c r="BD184" t="s">
        <v>694</v>
      </c>
      <c r="BF184" s="5">
        <v>7.0628497999999998E-2</v>
      </c>
      <c r="BG184" s="5">
        <f t="shared" si="6"/>
        <v>-2.8620063129253248E-3</v>
      </c>
      <c r="BH184" s="2">
        <v>160.03426999999999</v>
      </c>
    </row>
    <row r="185" spans="1:60" x14ac:dyDescent="0.2">
      <c r="A185" t="str">
        <f t="shared" si="8"/>
        <v>Motorbike, electric, 4-11kW - 2040 - NMC - CH</v>
      </c>
      <c r="B185" t="s">
        <v>268</v>
      </c>
      <c r="D185" s="18">
        <v>2040</v>
      </c>
      <c r="E185" t="s">
        <v>37</v>
      </c>
      <c r="F185" t="s">
        <v>138</v>
      </c>
      <c r="G185" t="s">
        <v>39</v>
      </c>
      <c r="H185" t="s">
        <v>32</v>
      </c>
      <c r="I185" t="s">
        <v>43</v>
      </c>
      <c r="J185" t="s">
        <v>138</v>
      </c>
      <c r="L185" s="24">
        <v>0</v>
      </c>
      <c r="M185" s="24">
        <v>0</v>
      </c>
      <c r="N185" s="24">
        <v>5.7702284664922004E-3</v>
      </c>
      <c r="O185" s="24">
        <v>1.2306591692257861E-2</v>
      </c>
      <c r="P185" s="24">
        <v>4.5649187894673806E-3</v>
      </c>
      <c r="Q185" s="24">
        <v>4.9945219518561797E-2</v>
      </c>
      <c r="R185" s="24">
        <v>7.2586958466779233E-2</v>
      </c>
      <c r="S185" s="26">
        <v>0</v>
      </c>
      <c r="T185" s="26">
        <v>0</v>
      </c>
      <c r="U185" s="26">
        <v>6.1074078972731883E-4</v>
      </c>
      <c r="V185" s="26">
        <v>4.722191823356421E-4</v>
      </c>
      <c r="W185" s="26">
        <v>3.1539210254475888E-4</v>
      </c>
      <c r="X185" s="26">
        <v>4.8628720590393887E-2</v>
      </c>
      <c r="Y185" s="26">
        <v>5.0027072665001608E-2</v>
      </c>
      <c r="Z185" s="28">
        <v>0</v>
      </c>
      <c r="AA185" s="28">
        <v>3.1271735442865911E-3</v>
      </c>
      <c r="AB185" s="28">
        <v>1.789839418574189E-4</v>
      </c>
      <c r="AC185" s="28">
        <v>1.5438989133449149E-4</v>
      </c>
      <c r="AD185" s="28">
        <v>1.4068673092665601E-4</v>
      </c>
      <c r="AE185" s="28">
        <v>4.164853860023532E-3</v>
      </c>
      <c r="AF185" s="28">
        <v>7.7660879684286893E-3</v>
      </c>
      <c r="AG185" s="30">
        <v>0</v>
      </c>
      <c r="AH185" s="30">
        <v>1.6491053126472278E-5</v>
      </c>
      <c r="AI185" s="30">
        <v>4.0895959067761362E-4</v>
      </c>
      <c r="AJ185" s="30">
        <v>3.7507357872791961E-4</v>
      </c>
      <c r="AK185" s="30">
        <v>1.8983522256767069E-4</v>
      </c>
      <c r="AL185" s="30">
        <v>1.321361617131683E-2</v>
      </c>
      <c r="AM185" s="30">
        <v>1.4203975616416505E-2</v>
      </c>
      <c r="AN185" s="32">
        <v>0</v>
      </c>
      <c r="AO185" s="32">
        <v>1.179775095002105E-5</v>
      </c>
      <c r="AP185" s="32">
        <v>5.1565797166662308E-7</v>
      </c>
      <c r="AQ185" s="32">
        <v>7.4641524221169363E-7</v>
      </c>
      <c r="AR185" s="32">
        <v>7.7123873204397056E-7</v>
      </c>
      <c r="AS185" s="32">
        <v>1.1517811144698971E-5</v>
      </c>
      <c r="AT185" s="32">
        <v>2.5348874040642307E-5</v>
      </c>
      <c r="AU185" s="34">
        <v>0</v>
      </c>
      <c r="AV185" s="34">
        <v>0</v>
      </c>
      <c r="AW185" s="34">
        <v>0.2698407427863993</v>
      </c>
      <c r="AX185" s="34">
        <v>0.17647448414364728</v>
      </c>
      <c r="AY185" s="34">
        <v>0.16001238180917302</v>
      </c>
      <c r="AZ185" s="34">
        <v>0.69632105167146874</v>
      </c>
      <c r="BA185" s="34">
        <v>1.3026486604106884</v>
      </c>
      <c r="BB185" s="6"/>
      <c r="BC185" s="6"/>
      <c r="BD185" t="s">
        <v>695</v>
      </c>
      <c r="BF185" s="5">
        <v>6.9700043000000003E-2</v>
      </c>
      <c r="BG185" s="5">
        <f t="shared" si="6"/>
        <v>-2.8869154667792302E-3</v>
      </c>
      <c r="BH185" s="2">
        <v>150.78993</v>
      </c>
    </row>
    <row r="186" spans="1:60" x14ac:dyDescent="0.2">
      <c r="A186" t="str">
        <f t="shared" si="8"/>
        <v>Motorbike, electric, 4-11kW - 2050 - NMC - CH</v>
      </c>
      <c r="B186" t="s">
        <v>268</v>
      </c>
      <c r="D186" s="18">
        <v>2050</v>
      </c>
      <c r="E186" t="s">
        <v>37</v>
      </c>
      <c r="F186" t="s">
        <v>138</v>
      </c>
      <c r="G186" t="s">
        <v>39</v>
      </c>
      <c r="H186" t="s">
        <v>32</v>
      </c>
      <c r="I186" t="s">
        <v>43</v>
      </c>
      <c r="J186" t="s">
        <v>138</v>
      </c>
      <c r="L186" s="24">
        <v>0</v>
      </c>
      <c r="M186" s="24">
        <v>0</v>
      </c>
      <c r="N186" s="24">
        <v>5.7702284664922004E-3</v>
      </c>
      <c r="O186" s="24">
        <v>7.9912933066609501E-3</v>
      </c>
      <c r="P186" s="24">
        <v>4.5678381722821411E-3</v>
      </c>
      <c r="Q186" s="24">
        <v>6.9598585968083854E-2</v>
      </c>
      <c r="R186" s="24">
        <v>8.7927945913519143E-2</v>
      </c>
      <c r="S186" s="26">
        <v>0</v>
      </c>
      <c r="T186" s="26">
        <v>0</v>
      </c>
      <c r="U186" s="26">
        <v>6.1074078972731883E-4</v>
      </c>
      <c r="V186" s="26">
        <v>3.0663583268548191E-4</v>
      </c>
      <c r="W186" s="26">
        <v>3.1557657145664722E-4</v>
      </c>
      <c r="X186" s="26">
        <v>8.1519463305638695E-2</v>
      </c>
      <c r="Y186" s="26">
        <v>8.2752416499508138E-2</v>
      </c>
      <c r="Z186" s="28">
        <v>0</v>
      </c>
      <c r="AA186" s="28">
        <v>3.1271735442865911E-3</v>
      </c>
      <c r="AB186" s="28">
        <v>1.789839418574189E-4</v>
      </c>
      <c r="AC186" s="28">
        <v>1.002531761912283E-4</v>
      </c>
      <c r="AD186" s="28">
        <v>1.4077058419229089E-4</v>
      </c>
      <c r="AE186" s="28">
        <v>6.9441795490579172E-3</v>
      </c>
      <c r="AF186" s="28">
        <v>1.0491360795585446E-2</v>
      </c>
      <c r="AG186" s="30">
        <v>0</v>
      </c>
      <c r="AH186" s="30">
        <v>1.6491053126472278E-5</v>
      </c>
      <c r="AI186" s="30">
        <v>4.0895959067761362E-4</v>
      </c>
      <c r="AJ186" s="30">
        <v>2.4355427190124649E-4</v>
      </c>
      <c r="AK186" s="30">
        <v>1.899134806788231E-4</v>
      </c>
      <c r="AL186" s="30">
        <v>2.0417785969691168E-2</v>
      </c>
      <c r="AM186" s="30">
        <v>2.1276704366075323E-2</v>
      </c>
      <c r="AN186" s="32">
        <v>0</v>
      </c>
      <c r="AO186" s="32">
        <v>1.179775095002105E-5</v>
      </c>
      <c r="AP186" s="32">
        <v>5.1565797166662308E-7</v>
      </c>
      <c r="AQ186" s="32">
        <v>4.8468522221538551E-7</v>
      </c>
      <c r="AR186" s="32">
        <v>7.7154773526366578E-7</v>
      </c>
      <c r="AS186" s="32">
        <v>1.751999621691411E-5</v>
      </c>
      <c r="AT186" s="32">
        <v>3.1089638096080836E-5</v>
      </c>
      <c r="AU186" s="34">
        <v>0</v>
      </c>
      <c r="AV186" s="34">
        <v>0</v>
      </c>
      <c r="AW186" s="34">
        <v>0.2698407427863993</v>
      </c>
      <c r="AX186" s="34">
        <v>0.1145938208724982</v>
      </c>
      <c r="AY186" s="34">
        <v>0.16010801888762657</v>
      </c>
      <c r="AZ186" s="34">
        <v>0.98629421917407689</v>
      </c>
      <c r="BA186" s="34">
        <v>1.5308368017206009</v>
      </c>
      <c r="BB186" s="6"/>
      <c r="BC186" s="6"/>
      <c r="BD186" t="s">
        <v>696</v>
      </c>
      <c r="BF186" s="5">
        <v>7.7607836999999999E-2</v>
      </c>
      <c r="BG186" s="5">
        <f t="shared" si="6"/>
        <v>-1.0320108913519144E-2</v>
      </c>
      <c r="BH186" s="2">
        <v>207.33561</v>
      </c>
    </row>
    <row r="187" spans="1:60" x14ac:dyDescent="0.2">
      <c r="A187" t="str">
        <f t="shared" si="8"/>
        <v>Motorbike, electric, 11-35kW - 2020 - NMC - CH</v>
      </c>
      <c r="B187" t="s">
        <v>269</v>
      </c>
      <c r="D187" s="18">
        <v>2020</v>
      </c>
      <c r="E187" t="s">
        <v>37</v>
      </c>
      <c r="F187" t="s">
        <v>138</v>
      </c>
      <c r="G187" t="s">
        <v>39</v>
      </c>
      <c r="H187" t="s">
        <v>32</v>
      </c>
      <c r="I187" t="s">
        <v>43</v>
      </c>
      <c r="J187" t="s">
        <v>138</v>
      </c>
      <c r="L187" s="24">
        <v>0</v>
      </c>
      <c r="M187" s="24">
        <v>0</v>
      </c>
      <c r="N187" s="24">
        <v>7.8106002476236447E-3</v>
      </c>
      <c r="O187" s="24">
        <v>1.2306591692257861E-2</v>
      </c>
      <c r="P187" s="24">
        <v>4.8377632773803636E-3</v>
      </c>
      <c r="Q187" s="24">
        <v>5.8569053018428567E-2</v>
      </c>
      <c r="R187" s="24">
        <v>8.3524008235690436E-2</v>
      </c>
      <c r="S187" s="26">
        <v>0</v>
      </c>
      <c r="T187" s="26">
        <v>0</v>
      </c>
      <c r="U187" s="26">
        <v>8.2670074351110705E-4</v>
      </c>
      <c r="V187" s="26">
        <v>4.722191823356421E-4</v>
      </c>
      <c r="W187" s="26">
        <v>3.3263250196944769E-4</v>
      </c>
      <c r="X187" s="26">
        <v>7.9376902193139781E-2</v>
      </c>
      <c r="Y187" s="26">
        <v>8.1008454620955975E-2</v>
      </c>
      <c r="Z187" s="28">
        <v>0</v>
      </c>
      <c r="AA187" s="28">
        <v>3.1271735442865911E-3</v>
      </c>
      <c r="AB187" s="28">
        <v>2.422732529067532E-4</v>
      </c>
      <c r="AC187" s="28">
        <v>1.5438989133449149E-4</v>
      </c>
      <c r="AD187" s="28">
        <v>1.4852362754957401E-4</v>
      </c>
      <c r="AE187" s="28">
        <v>6.4606502229099154E-3</v>
      </c>
      <c r="AF187" s="28">
        <v>1.0133010538987325E-2</v>
      </c>
      <c r="AG187" s="30">
        <v>0</v>
      </c>
      <c r="AH187" s="30">
        <v>1.6491053126472278E-5</v>
      </c>
      <c r="AI187" s="30">
        <v>5.5356904822114297E-4</v>
      </c>
      <c r="AJ187" s="30">
        <v>3.7507357872791961E-4</v>
      </c>
      <c r="AK187" s="30">
        <v>1.971491980266176E-4</v>
      </c>
      <c r="AL187" s="30">
        <v>1.8523386487649372E-2</v>
      </c>
      <c r="AM187" s="30">
        <v>1.9665669365751523E-2</v>
      </c>
      <c r="AN187" s="32">
        <v>0</v>
      </c>
      <c r="AO187" s="32">
        <v>1.179775095002105E-5</v>
      </c>
      <c r="AP187" s="32">
        <v>6.9799632797501057E-7</v>
      </c>
      <c r="AQ187" s="32">
        <v>7.4641524221169363E-7</v>
      </c>
      <c r="AR187" s="32">
        <v>8.0011806394075551E-7</v>
      </c>
      <c r="AS187" s="32">
        <v>1.666699152436914E-5</v>
      </c>
      <c r="AT187" s="32">
        <v>3.0709272108517651E-5</v>
      </c>
      <c r="AU187" s="34">
        <v>0</v>
      </c>
      <c r="AV187" s="34">
        <v>0</v>
      </c>
      <c r="AW187" s="34">
        <v>0.36525731774146686</v>
      </c>
      <c r="AX187" s="34">
        <v>0.17647448414364728</v>
      </c>
      <c r="AY187" s="34">
        <v>0.16895058942080754</v>
      </c>
      <c r="AZ187" s="34">
        <v>0.86034454505320113</v>
      </c>
      <c r="BA187" s="34">
        <v>1.5710269363591229</v>
      </c>
      <c r="BB187" s="6"/>
      <c r="BC187" s="6"/>
      <c r="BD187" t="s">
        <v>929</v>
      </c>
      <c r="BF187" s="5">
        <v>7.7377614999999997E-2</v>
      </c>
      <c r="BG187" s="5">
        <f t="shared" si="6"/>
        <v>-6.1463932356904394E-3</v>
      </c>
      <c r="BH187" s="2">
        <v>212.40736999999999</v>
      </c>
    </row>
    <row r="188" spans="1:60" x14ac:dyDescent="0.2">
      <c r="A188" t="str">
        <f t="shared" si="8"/>
        <v>Motorbike, electric, 11-35kW - 2030 - NMC - CH</v>
      </c>
      <c r="B188" t="s">
        <v>269</v>
      </c>
      <c r="D188" s="18">
        <v>2030</v>
      </c>
      <c r="E188" t="s">
        <v>37</v>
      </c>
      <c r="F188" t="s">
        <v>138</v>
      </c>
      <c r="G188" t="s">
        <v>39</v>
      </c>
      <c r="H188" t="s">
        <v>32</v>
      </c>
      <c r="I188" t="s">
        <v>43</v>
      </c>
      <c r="J188" t="s">
        <v>138</v>
      </c>
      <c r="L188" s="24">
        <v>0</v>
      </c>
      <c r="M188" s="24">
        <v>0</v>
      </c>
      <c r="N188" s="24">
        <v>7.8106002476236447E-3</v>
      </c>
      <c r="O188" s="24">
        <v>1.2306591692257861E-2</v>
      </c>
      <c r="P188" s="24">
        <v>4.8395234313287488E-3</v>
      </c>
      <c r="Q188" s="24">
        <v>5.6848945373648319E-2</v>
      </c>
      <c r="R188" s="24">
        <v>8.1805660744858566E-2</v>
      </c>
      <c r="S188" s="26">
        <v>0</v>
      </c>
      <c r="T188" s="26">
        <v>0</v>
      </c>
      <c r="U188" s="26">
        <v>8.2670074351110705E-4</v>
      </c>
      <c r="V188" s="26">
        <v>4.722191823356421E-4</v>
      </c>
      <c r="W188" s="26">
        <v>3.3274372194442772E-4</v>
      </c>
      <c r="X188" s="26">
        <v>7.2166381107043945E-2</v>
      </c>
      <c r="Y188" s="26">
        <v>7.3798044754835118E-2</v>
      </c>
      <c r="Z188" s="28">
        <v>0</v>
      </c>
      <c r="AA188" s="28">
        <v>3.1271735442865911E-3</v>
      </c>
      <c r="AB188" s="28">
        <v>2.422732529067532E-4</v>
      </c>
      <c r="AC188" s="28">
        <v>1.5438989133449149E-4</v>
      </c>
      <c r="AD188" s="28">
        <v>1.4857418435077391E-4</v>
      </c>
      <c r="AE188" s="28">
        <v>5.9730944153691054E-3</v>
      </c>
      <c r="AF188" s="28">
        <v>9.645505288247716E-3</v>
      </c>
      <c r="AG188" s="30">
        <v>0</v>
      </c>
      <c r="AH188" s="30">
        <v>1.6491053126472278E-5</v>
      </c>
      <c r="AI188" s="30">
        <v>5.5356904822114297E-4</v>
      </c>
      <c r="AJ188" s="30">
        <v>3.7507357872791961E-4</v>
      </c>
      <c r="AK188" s="30">
        <v>1.971963813979253E-4</v>
      </c>
      <c r="AL188" s="30">
        <v>1.7377269998704599E-2</v>
      </c>
      <c r="AM188" s="30">
        <v>1.8519600060178058E-2</v>
      </c>
      <c r="AN188" s="32">
        <v>0</v>
      </c>
      <c r="AO188" s="32">
        <v>1.179775095002105E-5</v>
      </c>
      <c r="AP188" s="32">
        <v>6.9799632797501057E-7</v>
      </c>
      <c r="AQ188" s="32">
        <v>7.4641524221169363E-7</v>
      </c>
      <c r="AR188" s="32">
        <v>8.0030436812616762E-7</v>
      </c>
      <c r="AS188" s="32">
        <v>1.5392959304160391E-5</v>
      </c>
      <c r="AT188" s="32">
        <v>2.9435426192494313E-5</v>
      </c>
      <c r="AU188" s="34">
        <v>0</v>
      </c>
      <c r="AV188" s="34">
        <v>0</v>
      </c>
      <c r="AW188" s="34">
        <v>0.36525731774146686</v>
      </c>
      <c r="AX188" s="34">
        <v>0.17647448414364728</v>
      </c>
      <c r="AY188" s="34">
        <v>0.16900825091706656</v>
      </c>
      <c r="AZ188" s="34">
        <v>0.82320647866840024</v>
      </c>
      <c r="BA188" s="34">
        <v>1.5339465314705811</v>
      </c>
      <c r="BB188" s="6"/>
      <c r="BC188" s="6"/>
      <c r="BD188" t="s">
        <v>697</v>
      </c>
      <c r="BF188" s="5">
        <v>7.5880786000000006E-2</v>
      </c>
      <c r="BG188" s="5">
        <f t="shared" si="6"/>
        <v>-5.9248747448585604E-3</v>
      </c>
      <c r="BH188" s="2">
        <v>198.96776</v>
      </c>
    </row>
    <row r="189" spans="1:60" x14ac:dyDescent="0.2">
      <c r="A189" t="str">
        <f t="shared" si="8"/>
        <v>Motorbike, electric, 11-35kW - 2040 - NMC - CH</v>
      </c>
      <c r="B189" t="s">
        <v>269</v>
      </c>
      <c r="D189" s="18">
        <v>2040</v>
      </c>
      <c r="E189" t="s">
        <v>37</v>
      </c>
      <c r="F189" t="s">
        <v>138</v>
      </c>
      <c r="G189" t="s">
        <v>39</v>
      </c>
      <c r="H189" t="s">
        <v>32</v>
      </c>
      <c r="I189" t="s">
        <v>43</v>
      </c>
      <c r="J189" t="s">
        <v>138</v>
      </c>
      <c r="L189" s="24">
        <v>0</v>
      </c>
      <c r="M189" s="24">
        <v>0</v>
      </c>
      <c r="N189" s="24">
        <v>7.8106002476236447E-3</v>
      </c>
      <c r="O189" s="24">
        <v>1.2306591692257861E-2</v>
      </c>
      <c r="P189" s="24">
        <v>4.8429982180027134E-3</v>
      </c>
      <c r="Q189" s="24">
        <v>5.3684904657885529E-2</v>
      </c>
      <c r="R189" s="24">
        <v>7.8645094815769756E-2</v>
      </c>
      <c r="S189" s="26">
        <v>0</v>
      </c>
      <c r="T189" s="26">
        <v>0</v>
      </c>
      <c r="U189" s="26">
        <v>8.2670074351110705E-4</v>
      </c>
      <c r="V189" s="26">
        <v>4.722191823356421E-4</v>
      </c>
      <c r="W189" s="26">
        <v>3.3296328551572421E-4</v>
      </c>
      <c r="X189" s="26">
        <v>6.337911973557539E-2</v>
      </c>
      <c r="Y189" s="26">
        <v>6.501100294693786E-2</v>
      </c>
      <c r="Z189" s="28">
        <v>0</v>
      </c>
      <c r="AA189" s="28">
        <v>3.1271735442865911E-3</v>
      </c>
      <c r="AB189" s="28">
        <v>2.422732529067532E-4</v>
      </c>
      <c r="AC189" s="28">
        <v>1.5438989133449149E-4</v>
      </c>
      <c r="AD189" s="28">
        <v>1.4867399044969431E-4</v>
      </c>
      <c r="AE189" s="28">
        <v>5.3287854582830261E-3</v>
      </c>
      <c r="AF189" s="28">
        <v>9.001296137260556E-3</v>
      </c>
      <c r="AG189" s="30">
        <v>0</v>
      </c>
      <c r="AH189" s="30">
        <v>1.6491053126472278E-5</v>
      </c>
      <c r="AI189" s="30">
        <v>5.5356904822114297E-4</v>
      </c>
      <c r="AJ189" s="30">
        <v>3.7507357872791961E-4</v>
      </c>
      <c r="AK189" s="30">
        <v>1.9728952788093779E-4</v>
      </c>
      <c r="AL189" s="30">
        <v>1.5801163181385459E-2</v>
      </c>
      <c r="AM189" s="30">
        <v>1.694358638934193E-2</v>
      </c>
      <c r="AN189" s="32">
        <v>0</v>
      </c>
      <c r="AO189" s="32">
        <v>1.179775095002105E-5</v>
      </c>
      <c r="AP189" s="32">
        <v>6.9799632797501057E-7</v>
      </c>
      <c r="AQ189" s="32">
        <v>7.4641524221169363E-7</v>
      </c>
      <c r="AR189" s="32">
        <v>8.0067215828530021E-7</v>
      </c>
      <c r="AS189" s="32">
        <v>1.382403194090753E-5</v>
      </c>
      <c r="AT189" s="32">
        <v>2.7866866619400584E-5</v>
      </c>
      <c r="AU189" s="34">
        <v>0</v>
      </c>
      <c r="AV189" s="34">
        <v>0</v>
      </c>
      <c r="AW189" s="34">
        <v>0.36525731774146686</v>
      </c>
      <c r="AX189" s="34">
        <v>0.17647448414364728</v>
      </c>
      <c r="AY189" s="34">
        <v>0.16912208266399173</v>
      </c>
      <c r="AZ189" s="34">
        <v>0.76706184836719249</v>
      </c>
      <c r="BA189" s="34">
        <v>1.4779157329162984</v>
      </c>
      <c r="BB189" s="6"/>
      <c r="BC189" s="6"/>
      <c r="BD189" t="s">
        <v>698</v>
      </c>
      <c r="BF189" s="5">
        <v>7.3665266000000007E-2</v>
      </c>
      <c r="BG189" s="5">
        <f t="shared" si="6"/>
        <v>-4.979828815769749E-3</v>
      </c>
      <c r="BH189" s="2">
        <v>182.73555999999999</v>
      </c>
    </row>
    <row r="190" spans="1:60" x14ac:dyDescent="0.2">
      <c r="A190" t="str">
        <f t="shared" si="8"/>
        <v>Motorbike, electric, 11-35kW - 2050 - NMC - CH</v>
      </c>
      <c r="B190" t="s">
        <v>269</v>
      </c>
      <c r="D190" s="18">
        <v>2050</v>
      </c>
      <c r="E190" t="s">
        <v>37</v>
      </c>
      <c r="F190" t="s">
        <v>138</v>
      </c>
      <c r="G190" t="s">
        <v>39</v>
      </c>
      <c r="H190" t="s">
        <v>32</v>
      </c>
      <c r="I190" t="s">
        <v>43</v>
      </c>
      <c r="J190" t="s">
        <v>138</v>
      </c>
      <c r="L190" s="24">
        <v>0</v>
      </c>
      <c r="M190" s="24">
        <v>0</v>
      </c>
      <c r="N190" s="24">
        <v>7.8106002476236447E-3</v>
      </c>
      <c r="O190" s="24">
        <v>1.16988587691834E-2</v>
      </c>
      <c r="P190" s="24">
        <v>4.8421333147694546E-3</v>
      </c>
      <c r="Q190" s="24">
        <v>8.1215900047141174E-2</v>
      </c>
      <c r="R190" s="24">
        <v>0.10556749237871768</v>
      </c>
      <c r="S190" s="26">
        <v>0</v>
      </c>
      <c r="T190" s="26">
        <v>0</v>
      </c>
      <c r="U190" s="26">
        <v>8.2670074351110705E-4</v>
      </c>
      <c r="V190" s="26">
        <v>4.4889971654128941E-4</v>
      </c>
      <c r="W190" s="26">
        <v>3.3290863432112197E-4</v>
      </c>
      <c r="X190" s="26">
        <v>0.1117595975810074</v>
      </c>
      <c r="Y190" s="26">
        <v>0.11336810667538091</v>
      </c>
      <c r="Z190" s="28">
        <v>0</v>
      </c>
      <c r="AA190" s="28">
        <v>3.1271735442865911E-3</v>
      </c>
      <c r="AB190" s="28">
        <v>2.422732529067532E-4</v>
      </c>
      <c r="AC190" s="28">
        <v>1.4676569916982529E-4</v>
      </c>
      <c r="AD190" s="28">
        <v>1.486491478835875E-4</v>
      </c>
      <c r="AE190" s="28">
        <v>9.3519976039321637E-3</v>
      </c>
      <c r="AF190" s="28">
        <v>1.3016859248178921E-2</v>
      </c>
      <c r="AG190" s="30">
        <v>0</v>
      </c>
      <c r="AH190" s="30">
        <v>1.6491053126472278E-5</v>
      </c>
      <c r="AI190" s="30">
        <v>5.5356904822114297E-4</v>
      </c>
      <c r="AJ190" s="30">
        <v>3.5655142669197291E-4</v>
      </c>
      <c r="AK190" s="30">
        <v>1.9726634294848491E-4</v>
      </c>
      <c r="AL190" s="30">
        <v>2.6169038215186489E-2</v>
      </c>
      <c r="AM190" s="30">
        <v>2.7292916086174561E-2</v>
      </c>
      <c r="AN190" s="32">
        <v>0</v>
      </c>
      <c r="AO190" s="32">
        <v>1.179775095002105E-5</v>
      </c>
      <c r="AP190" s="32">
        <v>6.9799632797501057E-7</v>
      </c>
      <c r="AQ190" s="32">
        <v>7.095552302506223E-7</v>
      </c>
      <c r="AR190" s="32">
        <v>8.0058061226315808E-7</v>
      </c>
      <c r="AS190" s="32">
        <v>2.2628354772369259E-5</v>
      </c>
      <c r="AT190" s="32">
        <v>3.6634237892879104E-5</v>
      </c>
      <c r="AU190" s="34">
        <v>0</v>
      </c>
      <c r="AV190" s="34">
        <v>0</v>
      </c>
      <c r="AW190" s="34">
        <v>0.36525731774146686</v>
      </c>
      <c r="AX190" s="34">
        <v>0.16775969480322017</v>
      </c>
      <c r="AY190" s="34">
        <v>0.16909374899772653</v>
      </c>
      <c r="AZ190" s="34">
        <v>1.1794801664521959</v>
      </c>
      <c r="BA190" s="34">
        <v>1.8815909279946095</v>
      </c>
      <c r="BB190" s="6"/>
      <c r="BC190" s="6"/>
      <c r="BD190" t="s">
        <v>699</v>
      </c>
      <c r="BF190" s="5">
        <v>8.9262224000000001E-2</v>
      </c>
      <c r="BG190" s="5">
        <f t="shared" si="6"/>
        <v>-1.630526837871768E-2</v>
      </c>
      <c r="BH190" s="2">
        <v>270.63082000000003</v>
      </c>
    </row>
    <row r="191" spans="1:60" x14ac:dyDescent="0.2">
      <c r="A191" t="str">
        <f t="shared" si="8"/>
        <v>Motorbike, electric, &gt;35kW - 2020 - NMC - CH</v>
      </c>
      <c r="B191" t="s">
        <v>270</v>
      </c>
      <c r="D191" s="18">
        <v>2020</v>
      </c>
      <c r="E191" t="s">
        <v>37</v>
      </c>
      <c r="F191" t="s">
        <v>138</v>
      </c>
      <c r="G191" t="s">
        <v>39</v>
      </c>
      <c r="H191" t="s">
        <v>32</v>
      </c>
      <c r="I191" t="s">
        <v>43</v>
      </c>
      <c r="J191" t="s">
        <v>138</v>
      </c>
      <c r="L191" s="24">
        <v>0</v>
      </c>
      <c r="M191" s="24">
        <v>0</v>
      </c>
      <c r="N191" s="24">
        <v>8.710249309141712E-3</v>
      </c>
      <c r="O191" s="24">
        <v>1.2306591692257861E-2</v>
      </c>
      <c r="P191" s="24">
        <v>5.2439946696746179E-3</v>
      </c>
      <c r="Q191" s="24">
        <v>9.3549221229405455E-2</v>
      </c>
      <c r="R191" s="24">
        <v>0.11981005690047965</v>
      </c>
      <c r="S191" s="26">
        <v>0</v>
      </c>
      <c r="T191" s="26">
        <v>0</v>
      </c>
      <c r="U191" s="26">
        <v>9.2192268862119461E-4</v>
      </c>
      <c r="V191" s="26">
        <v>4.722191823356421E-4</v>
      </c>
      <c r="W191" s="26">
        <v>3.5830130516049491E-4</v>
      </c>
      <c r="X191" s="26">
        <v>0.13974324927312981</v>
      </c>
      <c r="Y191" s="26">
        <v>0.14149569244924715</v>
      </c>
      <c r="Z191" s="28">
        <v>0</v>
      </c>
      <c r="AA191" s="28">
        <v>3.1271735442865911E-3</v>
      </c>
      <c r="AB191" s="28">
        <v>2.7017903449822622E-4</v>
      </c>
      <c r="AC191" s="28">
        <v>1.5438989133449149E-4</v>
      </c>
      <c r="AD191" s="28">
        <v>1.6019178859891651E-4</v>
      </c>
      <c r="AE191" s="28">
        <v>1.1422930737701731E-2</v>
      </c>
      <c r="AF191" s="28">
        <v>1.5134864996419957E-2</v>
      </c>
      <c r="AG191" s="30">
        <v>0</v>
      </c>
      <c r="AH191" s="30">
        <v>1.6491053126472278E-5</v>
      </c>
      <c r="AI191" s="30">
        <v>6.1733084103202476E-4</v>
      </c>
      <c r="AJ191" s="30">
        <v>3.7507357872791961E-4</v>
      </c>
      <c r="AK191" s="30">
        <v>2.0803879472186621E-4</v>
      </c>
      <c r="AL191" s="30">
        <v>3.1439545680802601E-2</v>
      </c>
      <c r="AM191" s="30">
        <v>3.2656479948410887E-2</v>
      </c>
      <c r="AN191" s="32">
        <v>0</v>
      </c>
      <c r="AO191" s="32">
        <v>1.179775095002105E-5</v>
      </c>
      <c r="AP191" s="32">
        <v>7.7839370096780042E-7</v>
      </c>
      <c r="AQ191" s="32">
        <v>7.4641524221169363E-7</v>
      </c>
      <c r="AR191" s="32">
        <v>8.4311578507742115E-7</v>
      </c>
      <c r="AS191" s="32">
        <v>2.8455953069981901E-5</v>
      </c>
      <c r="AT191" s="32">
        <v>4.2621628748259868E-5</v>
      </c>
      <c r="AU191" s="34">
        <v>0</v>
      </c>
      <c r="AV191" s="34">
        <v>0</v>
      </c>
      <c r="AW191" s="34">
        <v>0.40732878378771509</v>
      </c>
      <c r="AX191" s="34">
        <v>0.17647448414364728</v>
      </c>
      <c r="AY191" s="34">
        <v>0.18225846509190186</v>
      </c>
      <c r="AZ191" s="34">
        <v>1.3945357778305667</v>
      </c>
      <c r="BA191" s="34">
        <v>2.1605975108538309</v>
      </c>
      <c r="BB191" s="6"/>
      <c r="BC191" s="6"/>
      <c r="BD191" t="s">
        <v>930</v>
      </c>
      <c r="BF191" s="5">
        <v>0.10250206000000001</v>
      </c>
      <c r="BG191" s="5">
        <f t="shared" si="6"/>
        <v>-1.7307996900479641E-2</v>
      </c>
      <c r="BH191" s="2">
        <v>330.59537999999998</v>
      </c>
    </row>
    <row r="192" spans="1:60" x14ac:dyDescent="0.2">
      <c r="A192" t="str">
        <f t="shared" si="8"/>
        <v>Motorbike, electric, &gt;35kW - 2030 - NMC - CH</v>
      </c>
      <c r="B192" t="s">
        <v>270</v>
      </c>
      <c r="D192" s="18">
        <v>2030</v>
      </c>
      <c r="E192" t="s">
        <v>37</v>
      </c>
      <c r="F192" t="s">
        <v>138</v>
      </c>
      <c r="G192" t="s">
        <v>39</v>
      </c>
      <c r="H192" t="s">
        <v>32</v>
      </c>
      <c r="I192" t="s">
        <v>43</v>
      </c>
      <c r="J192" t="s">
        <v>138</v>
      </c>
      <c r="L192" s="24">
        <v>0</v>
      </c>
      <c r="M192" s="24">
        <v>0</v>
      </c>
      <c r="N192" s="24">
        <v>8.710249309141712E-3</v>
      </c>
      <c r="O192" s="24">
        <v>1.2306591692257861E-2</v>
      </c>
      <c r="P192" s="24">
        <v>5.2456030862136592E-3</v>
      </c>
      <c r="Q192" s="24">
        <v>8.7888747837589959E-2</v>
      </c>
      <c r="R192" s="24">
        <v>0.11415119192520319</v>
      </c>
      <c r="S192" s="26">
        <v>0</v>
      </c>
      <c r="T192" s="26">
        <v>0</v>
      </c>
      <c r="U192" s="26">
        <v>9.2192268862119461E-4</v>
      </c>
      <c r="V192" s="26">
        <v>4.722191823356421E-4</v>
      </c>
      <c r="W192" s="26">
        <v>3.5840293720659718E-4</v>
      </c>
      <c r="X192" s="26">
        <v>0.1236173950741264</v>
      </c>
      <c r="Y192" s="26">
        <v>0.12536993988228984</v>
      </c>
      <c r="Z192" s="28">
        <v>0</v>
      </c>
      <c r="AA192" s="28">
        <v>3.1271735442865911E-3</v>
      </c>
      <c r="AB192" s="28">
        <v>2.7017903449822622E-4</v>
      </c>
      <c r="AC192" s="28">
        <v>1.5438989133449149E-4</v>
      </c>
      <c r="AD192" s="28">
        <v>1.6023798705518531E-4</v>
      </c>
      <c r="AE192" s="28">
        <v>1.0247226366538621E-2</v>
      </c>
      <c r="AF192" s="28">
        <v>1.3959206823713113E-2</v>
      </c>
      <c r="AG192" s="30">
        <v>0</v>
      </c>
      <c r="AH192" s="30">
        <v>1.6491053126472278E-5</v>
      </c>
      <c r="AI192" s="30">
        <v>6.1733084103202476E-4</v>
      </c>
      <c r="AJ192" s="30">
        <v>3.7507357872791961E-4</v>
      </c>
      <c r="AK192" s="30">
        <v>2.080819105611646E-4</v>
      </c>
      <c r="AL192" s="30">
        <v>2.8572910874845901E-2</v>
      </c>
      <c r="AM192" s="30">
        <v>2.9789888258293481E-2</v>
      </c>
      <c r="AN192" s="32">
        <v>0</v>
      </c>
      <c r="AO192" s="32">
        <v>1.179775095002105E-5</v>
      </c>
      <c r="AP192" s="32">
        <v>7.7839370096780042E-7</v>
      </c>
      <c r="AQ192" s="32">
        <v>7.4641524221169363E-7</v>
      </c>
      <c r="AR192" s="32">
        <v>8.4328602855719433E-7</v>
      </c>
      <c r="AS192" s="32">
        <v>2.5577196355962291E-5</v>
      </c>
      <c r="AT192" s="32">
        <v>3.974304227772003E-5</v>
      </c>
      <c r="AU192" s="34">
        <v>0</v>
      </c>
      <c r="AV192" s="34">
        <v>0</v>
      </c>
      <c r="AW192" s="34">
        <v>0.40732878378771509</v>
      </c>
      <c r="AX192" s="34">
        <v>0.17647448414364728</v>
      </c>
      <c r="AY192" s="34">
        <v>0.18231115576951787</v>
      </c>
      <c r="AZ192" s="34">
        <v>1.292956185038838</v>
      </c>
      <c r="BA192" s="34">
        <v>2.0590706087397184</v>
      </c>
      <c r="BB192" s="6"/>
      <c r="BC192" s="6"/>
      <c r="BD192" t="s">
        <v>700</v>
      </c>
      <c r="BF192" s="5">
        <v>9.8470921000000003E-2</v>
      </c>
      <c r="BG192" s="5">
        <f t="shared" si="6"/>
        <v>-1.5680270925203188E-2</v>
      </c>
      <c r="BH192" s="2">
        <v>300.71695</v>
      </c>
    </row>
    <row r="193" spans="1:60" x14ac:dyDescent="0.2">
      <c r="A193" t="str">
        <f t="shared" si="8"/>
        <v>Motorbike, electric, &gt;35kW - 2040 - NMC - CH</v>
      </c>
      <c r="B193" t="s">
        <v>270</v>
      </c>
      <c r="D193" s="18">
        <v>2040</v>
      </c>
      <c r="E193" t="s">
        <v>37</v>
      </c>
      <c r="F193" t="s">
        <v>138</v>
      </c>
      <c r="G193" t="s">
        <v>39</v>
      </c>
      <c r="H193" t="s">
        <v>32</v>
      </c>
      <c r="I193" t="s">
        <v>43</v>
      </c>
      <c r="J193" t="s">
        <v>138</v>
      </c>
      <c r="L193" s="24">
        <v>0</v>
      </c>
      <c r="M193" s="24">
        <v>0</v>
      </c>
      <c r="N193" s="24">
        <v>8.710249309141712E-3</v>
      </c>
      <c r="O193" s="24">
        <v>1.2306591692257861E-2</v>
      </c>
      <c r="P193" s="24">
        <v>5.2483191858409056E-3</v>
      </c>
      <c r="Q193" s="24">
        <v>8.0275243539084731E-2</v>
      </c>
      <c r="R193" s="24">
        <v>0.10654040372632521</v>
      </c>
      <c r="S193" s="26">
        <v>0</v>
      </c>
      <c r="T193" s="26">
        <v>0</v>
      </c>
      <c r="U193" s="26">
        <v>9.2192268862119461E-4</v>
      </c>
      <c r="V193" s="26">
        <v>4.722191823356421E-4</v>
      </c>
      <c r="W193" s="26">
        <v>3.5857456113350578E-4</v>
      </c>
      <c r="X193" s="26">
        <v>0.1052993504565712</v>
      </c>
      <c r="Y193" s="26">
        <v>0.10705206688866153</v>
      </c>
      <c r="Z193" s="28">
        <v>0</v>
      </c>
      <c r="AA193" s="28">
        <v>3.1271735442865911E-3</v>
      </c>
      <c r="AB193" s="28">
        <v>2.7017903449822622E-4</v>
      </c>
      <c r="AC193" s="28">
        <v>1.5438989133449149E-4</v>
      </c>
      <c r="AD193" s="28">
        <v>1.6031600142945069E-4</v>
      </c>
      <c r="AE193" s="28">
        <v>8.8560991363717499E-3</v>
      </c>
      <c r="AF193" s="28">
        <v>1.2568157607920509E-2</v>
      </c>
      <c r="AG193" s="30">
        <v>0</v>
      </c>
      <c r="AH193" s="30">
        <v>1.6491053126472278E-5</v>
      </c>
      <c r="AI193" s="30">
        <v>6.1733084103202476E-4</v>
      </c>
      <c r="AJ193" s="30">
        <v>3.7507357872791961E-4</v>
      </c>
      <c r="AK193" s="30">
        <v>2.081547193841308E-4</v>
      </c>
      <c r="AL193" s="30">
        <v>2.511793462766259E-2</v>
      </c>
      <c r="AM193" s="30">
        <v>2.6334984819933138E-2</v>
      </c>
      <c r="AN193" s="32">
        <v>0</v>
      </c>
      <c r="AO193" s="32">
        <v>1.179775095002105E-5</v>
      </c>
      <c r="AP193" s="32">
        <v>7.7839370096780042E-7</v>
      </c>
      <c r="AQ193" s="32">
        <v>7.4641524221169363E-7</v>
      </c>
      <c r="AR193" s="32">
        <v>8.4357351518813197E-7</v>
      </c>
      <c r="AS193" s="32">
        <v>2.228878710164987E-5</v>
      </c>
      <c r="AT193" s="32">
        <v>3.6454920510038541E-5</v>
      </c>
      <c r="AU193" s="34">
        <v>0</v>
      </c>
      <c r="AV193" s="34">
        <v>0</v>
      </c>
      <c r="AW193" s="34">
        <v>0.40732878378771509</v>
      </c>
      <c r="AX193" s="34">
        <v>0.17647448414364728</v>
      </c>
      <c r="AY193" s="34">
        <v>0.18240013342322792</v>
      </c>
      <c r="AZ193" s="34">
        <v>1.1654975603178257</v>
      </c>
      <c r="BA193" s="34">
        <v>1.9317009616724161</v>
      </c>
      <c r="BB193" s="6"/>
      <c r="BC193" s="6"/>
      <c r="BD193" t="s">
        <v>701</v>
      </c>
      <c r="BF193" s="5">
        <v>9.3453467999999998E-2</v>
      </c>
      <c r="BG193" s="5">
        <f t="shared" si="6"/>
        <v>-1.3086935726325216E-2</v>
      </c>
      <c r="BH193" s="2">
        <v>266.90017</v>
      </c>
    </row>
    <row r="194" spans="1:60" x14ac:dyDescent="0.2">
      <c r="A194" t="str">
        <f t="shared" si="8"/>
        <v>Motorbike, electric, &gt;35kW - 2050 - NMC - CH</v>
      </c>
      <c r="B194" t="s">
        <v>270</v>
      </c>
      <c r="D194" s="18">
        <v>2050</v>
      </c>
      <c r="E194" t="s">
        <v>37</v>
      </c>
      <c r="F194" t="s">
        <v>138</v>
      </c>
      <c r="G194" t="s">
        <v>39</v>
      </c>
      <c r="H194" t="s">
        <v>32</v>
      </c>
      <c r="I194" t="s">
        <v>43</v>
      </c>
      <c r="J194" t="s">
        <v>138</v>
      </c>
      <c r="L194" s="24">
        <v>0</v>
      </c>
      <c r="M194" s="24">
        <v>0</v>
      </c>
      <c r="N194" s="24">
        <v>8.710249309141712E-3</v>
      </c>
      <c r="O194" s="24">
        <v>1.9936678541457739E-2</v>
      </c>
      <c r="P194" s="24">
        <v>5.2470901128252243E-3</v>
      </c>
      <c r="Q194" s="24">
        <v>0.1234468118432987</v>
      </c>
      <c r="R194" s="24">
        <v>0.15734082980672337</v>
      </c>
      <c r="S194" s="26">
        <v>0</v>
      </c>
      <c r="T194" s="26">
        <v>0</v>
      </c>
      <c r="U194" s="26">
        <v>9.2192268862119461E-4</v>
      </c>
      <c r="V194" s="26">
        <v>7.6499507538374024E-4</v>
      </c>
      <c r="W194" s="26">
        <v>3.5849689890959751E-4</v>
      </c>
      <c r="X194" s="26">
        <v>0.19307896003544581</v>
      </c>
      <c r="Y194" s="26">
        <v>0.19512437469836033</v>
      </c>
      <c r="Z194" s="28">
        <v>0</v>
      </c>
      <c r="AA194" s="28">
        <v>3.1271735442865911E-3</v>
      </c>
      <c r="AB194" s="28">
        <v>2.7017903449822622E-4</v>
      </c>
      <c r="AC194" s="28">
        <v>2.5011162396187633E-4</v>
      </c>
      <c r="AD194" s="28">
        <v>1.602806988355094E-4</v>
      </c>
      <c r="AE194" s="28">
        <v>1.5837063038951899E-2</v>
      </c>
      <c r="AF194" s="28">
        <v>1.9644807940534102E-2</v>
      </c>
      <c r="AG194" s="30">
        <v>0</v>
      </c>
      <c r="AH194" s="30">
        <v>1.6491053126472278E-5</v>
      </c>
      <c r="AI194" s="30">
        <v>6.1733084103202476E-4</v>
      </c>
      <c r="AJ194" s="30">
        <v>6.0761919753922976E-4</v>
      </c>
      <c r="AK194" s="30">
        <v>2.0812177237485561E-4</v>
      </c>
      <c r="AL194" s="30">
        <v>4.2792539587781897E-2</v>
      </c>
      <c r="AM194" s="30">
        <v>4.4242102451854483E-2</v>
      </c>
      <c r="AN194" s="32">
        <v>0</v>
      </c>
      <c r="AO194" s="32">
        <v>1.179775095002105E-5</v>
      </c>
      <c r="AP194" s="32">
        <v>7.7839370096780042E-7</v>
      </c>
      <c r="AQ194" s="32">
        <v>1.209192692382944E-6</v>
      </c>
      <c r="AR194" s="32">
        <v>8.4344342347245625E-7</v>
      </c>
      <c r="AS194" s="32">
        <v>3.8156199186523163E-5</v>
      </c>
      <c r="AT194" s="32">
        <v>5.278497995336741E-5</v>
      </c>
      <c r="AU194" s="34">
        <v>0</v>
      </c>
      <c r="AV194" s="34">
        <v>0</v>
      </c>
      <c r="AW194" s="34">
        <v>0.40732878378771509</v>
      </c>
      <c r="AX194" s="34">
        <v>0.28588866431270848</v>
      </c>
      <c r="AY194" s="34">
        <v>0.18235986979221949</v>
      </c>
      <c r="AZ194" s="34">
        <v>1.8445987931752665</v>
      </c>
      <c r="BA194" s="34">
        <v>2.7201761110679099</v>
      </c>
      <c r="BB194" s="6"/>
      <c r="BC194" s="6"/>
      <c r="BD194" t="s">
        <v>702</v>
      </c>
      <c r="BF194" s="5">
        <v>0.1258591</v>
      </c>
      <c r="BG194" s="5">
        <f t="shared" si="6"/>
        <v>-3.1481729806723369E-2</v>
      </c>
      <c r="BH194" s="2">
        <v>434.02947</v>
      </c>
    </row>
    <row r="195" spans="1:60" x14ac:dyDescent="0.2">
      <c r="A195" t="str">
        <f t="shared" si="8"/>
        <v>Motorbike, electric, &lt;4kW - 2020 - LFP - CH</v>
      </c>
      <c r="B195" t="s">
        <v>267</v>
      </c>
      <c r="D195" s="18">
        <v>2020</v>
      </c>
      <c r="E195" t="s">
        <v>37</v>
      </c>
      <c r="F195" t="s">
        <v>138</v>
      </c>
      <c r="G195" t="s">
        <v>39</v>
      </c>
      <c r="H195" t="s">
        <v>32</v>
      </c>
      <c r="I195" t="s">
        <v>44</v>
      </c>
      <c r="J195" t="s">
        <v>138</v>
      </c>
      <c r="L195" s="24">
        <v>0</v>
      </c>
      <c r="M195" s="24">
        <v>0</v>
      </c>
      <c r="N195" s="24">
        <v>3.836250793656903E-3</v>
      </c>
      <c r="O195" s="24">
        <v>1.2306591692257861E-2</v>
      </c>
      <c r="P195" s="24">
        <v>4.4861118312269459E-3</v>
      </c>
      <c r="Q195" s="24">
        <v>4.1110912438960361E-2</v>
      </c>
      <c r="R195" s="24">
        <v>6.1739866756102074E-2</v>
      </c>
      <c r="S195" s="26">
        <v>0</v>
      </c>
      <c r="T195" s="26">
        <v>0</v>
      </c>
      <c r="U195" s="26">
        <v>4.0604195360992079E-4</v>
      </c>
      <c r="V195" s="26">
        <v>4.722191823356421E-4</v>
      </c>
      <c r="W195" s="26">
        <v>3.1041247679566478E-4</v>
      </c>
      <c r="X195" s="26">
        <v>2.664028343289539E-2</v>
      </c>
      <c r="Y195" s="26">
        <v>2.7828957045636617E-2</v>
      </c>
      <c r="Z195" s="28">
        <v>0</v>
      </c>
      <c r="AA195" s="28">
        <v>3.1271735442865911E-3</v>
      </c>
      <c r="AB195" s="28">
        <v>1.1899481848762461E-4</v>
      </c>
      <c r="AC195" s="28">
        <v>1.5438989133449149E-4</v>
      </c>
      <c r="AD195" s="28">
        <v>1.3842316317192141E-4</v>
      </c>
      <c r="AE195" s="28">
        <v>2.9716248226964118E-3</v>
      </c>
      <c r="AF195" s="28">
        <v>6.5106062399770404E-3</v>
      </c>
      <c r="AG195" s="30">
        <v>0</v>
      </c>
      <c r="AH195" s="30">
        <v>1.6491053126472278E-5</v>
      </c>
      <c r="AI195" s="30">
        <v>2.7189071687907281E-4</v>
      </c>
      <c r="AJ195" s="30">
        <v>3.7507357872791961E-4</v>
      </c>
      <c r="AK195" s="30">
        <v>1.877226925951076E-4</v>
      </c>
      <c r="AL195" s="30">
        <v>1.036701087183492E-2</v>
      </c>
      <c r="AM195" s="30">
        <v>1.1218188913163491E-2</v>
      </c>
      <c r="AN195" s="32">
        <v>0</v>
      </c>
      <c r="AO195" s="32">
        <v>1.179775095002105E-5</v>
      </c>
      <c r="AP195" s="32">
        <v>3.4282755259154613E-7</v>
      </c>
      <c r="AQ195" s="32">
        <v>7.4641524221169363E-7</v>
      </c>
      <c r="AR195" s="32">
        <v>7.628973786224294E-7</v>
      </c>
      <c r="AS195" s="32">
        <v>7.6231375717449163E-6</v>
      </c>
      <c r="AT195" s="32">
        <v>2.1273028695191633E-5</v>
      </c>
      <c r="AU195" s="34">
        <v>0</v>
      </c>
      <c r="AV195" s="34">
        <v>0</v>
      </c>
      <c r="AW195" s="34">
        <v>0.17939961470963908</v>
      </c>
      <c r="AX195" s="34">
        <v>0.17647448414364728</v>
      </c>
      <c r="AY195" s="34">
        <v>0.15743071721560767</v>
      </c>
      <c r="AZ195" s="34">
        <v>0.55980468962999508</v>
      </c>
      <c r="BA195" s="34">
        <v>1.0731095056988891</v>
      </c>
      <c r="BB195" s="6"/>
      <c r="BC195" s="6"/>
      <c r="BD195" t="s">
        <v>931</v>
      </c>
      <c r="BF195" s="5">
        <v>6.2386150000000008E-2</v>
      </c>
      <c r="BG195" s="5">
        <f t="shared" si="6"/>
        <v>6.4628324389793407E-4</v>
      </c>
      <c r="BH195" s="2">
        <v>139.80157</v>
      </c>
    </row>
    <row r="196" spans="1:60" x14ac:dyDescent="0.2">
      <c r="A196" t="str">
        <f t="shared" si="8"/>
        <v>Motorbike, electric, &lt;4kW - 2030 - LFP - CH</v>
      </c>
      <c r="B196" t="s">
        <v>267</v>
      </c>
      <c r="D196" s="18">
        <v>2030</v>
      </c>
      <c r="E196" t="s">
        <v>37</v>
      </c>
      <c r="F196" t="s">
        <v>138</v>
      </c>
      <c r="G196" t="s">
        <v>39</v>
      </c>
      <c r="H196" t="s">
        <v>32</v>
      </c>
      <c r="I196" t="s">
        <v>44</v>
      </c>
      <c r="J196" t="s">
        <v>138</v>
      </c>
      <c r="L196" s="24">
        <v>0</v>
      </c>
      <c r="M196" s="24">
        <v>0</v>
      </c>
      <c r="N196" s="24">
        <v>3.836250793656903E-3</v>
      </c>
      <c r="O196" s="24">
        <v>1.2306591692257861E-2</v>
      </c>
      <c r="P196" s="24">
        <v>4.5301612011593474E-3</v>
      </c>
      <c r="Q196" s="24">
        <v>4.75079303803492E-2</v>
      </c>
      <c r="R196" s="24">
        <v>6.8180934067423316E-2</v>
      </c>
      <c r="S196" s="26">
        <v>0</v>
      </c>
      <c r="T196" s="26">
        <v>0</v>
      </c>
      <c r="U196" s="26">
        <v>4.0604195360992079E-4</v>
      </c>
      <c r="V196" s="26">
        <v>4.722191823356421E-4</v>
      </c>
      <c r="W196" s="26">
        <v>3.1319585254882521E-4</v>
      </c>
      <c r="X196" s="26">
        <v>2.9825723640247982E-2</v>
      </c>
      <c r="Y196" s="26">
        <v>3.1017180628742369E-2</v>
      </c>
      <c r="Z196" s="28">
        <v>0</v>
      </c>
      <c r="AA196" s="28">
        <v>3.1271735442865911E-3</v>
      </c>
      <c r="AB196" s="28">
        <v>1.1899481848762461E-4</v>
      </c>
      <c r="AC196" s="28">
        <v>1.5438989133449149E-4</v>
      </c>
      <c r="AD196" s="28">
        <v>1.3968839070539819E-4</v>
      </c>
      <c r="AE196" s="28">
        <v>3.506841290186575E-3</v>
      </c>
      <c r="AF196" s="28">
        <v>7.0470879350006807E-3</v>
      </c>
      <c r="AG196" s="30">
        <v>0</v>
      </c>
      <c r="AH196" s="30">
        <v>1.6491053126472278E-5</v>
      </c>
      <c r="AI196" s="30">
        <v>2.7189071687907281E-4</v>
      </c>
      <c r="AJ196" s="30">
        <v>3.7507357872791961E-4</v>
      </c>
      <c r="AK196" s="30">
        <v>1.88903497137402E-4</v>
      </c>
      <c r="AL196" s="30">
        <v>1.2071364092082201E-2</v>
      </c>
      <c r="AM196" s="30">
        <v>1.2923722937953068E-2</v>
      </c>
      <c r="AN196" s="32">
        <v>0</v>
      </c>
      <c r="AO196" s="32">
        <v>1.179775095002105E-5</v>
      </c>
      <c r="AP196" s="32">
        <v>3.4282755259154613E-7</v>
      </c>
      <c r="AQ196" s="32">
        <v>7.4641524221169363E-7</v>
      </c>
      <c r="AR196" s="32">
        <v>7.6755980146942412E-7</v>
      </c>
      <c r="AS196" s="32">
        <v>8.4200885191706454E-6</v>
      </c>
      <c r="AT196" s="32">
        <v>2.207464206546436E-5</v>
      </c>
      <c r="AU196" s="34">
        <v>0</v>
      </c>
      <c r="AV196" s="34">
        <v>0</v>
      </c>
      <c r="AW196" s="34">
        <v>0.17939961470963908</v>
      </c>
      <c r="AX196" s="34">
        <v>0.17647448414364728</v>
      </c>
      <c r="AY196" s="34">
        <v>0.1588737458676765</v>
      </c>
      <c r="AZ196" s="34">
        <v>0.64026126088712587</v>
      </c>
      <c r="BA196" s="34">
        <v>1.1550091056080887</v>
      </c>
      <c r="BB196" s="6"/>
      <c r="BC196" s="6"/>
      <c r="BD196" t="s">
        <v>703</v>
      </c>
      <c r="BF196" s="5">
        <v>6.647777299999999E-2</v>
      </c>
      <c r="BG196" s="5">
        <f t="shared" ref="BG196:BG259" si="9">BF196-R196</f>
        <v>-1.7031610674233255E-3</v>
      </c>
      <c r="BH196" s="2">
        <v>154.17625000000001</v>
      </c>
    </row>
    <row r="197" spans="1:60" x14ac:dyDescent="0.2">
      <c r="A197" t="str">
        <f t="shared" si="8"/>
        <v>Motorbike, electric, &lt;4kW - 2040 - LFP - CH</v>
      </c>
      <c r="B197" t="s">
        <v>267</v>
      </c>
      <c r="D197" s="18">
        <v>2040</v>
      </c>
      <c r="E197" t="s">
        <v>37</v>
      </c>
      <c r="F197" t="s">
        <v>138</v>
      </c>
      <c r="G197" t="s">
        <v>39</v>
      </c>
      <c r="H197" t="s">
        <v>32</v>
      </c>
      <c r="I197" t="s">
        <v>44</v>
      </c>
      <c r="J197" t="s">
        <v>138</v>
      </c>
      <c r="L197" s="24">
        <v>0</v>
      </c>
      <c r="M197" s="24">
        <v>0</v>
      </c>
      <c r="N197" s="24">
        <v>3.836250793656903E-3</v>
      </c>
      <c r="O197" s="24">
        <v>1.2306591692257861E-2</v>
      </c>
      <c r="P197" s="24">
        <v>4.5450618147568718E-3</v>
      </c>
      <c r="Q197" s="24">
        <v>4.6796864547578199E-2</v>
      </c>
      <c r="R197" s="24">
        <v>6.7484768848249832E-2</v>
      </c>
      <c r="S197" s="26">
        <v>0</v>
      </c>
      <c r="T197" s="26">
        <v>0</v>
      </c>
      <c r="U197" s="26">
        <v>4.0604195360992079E-4</v>
      </c>
      <c r="V197" s="26">
        <v>4.722191823356421E-4</v>
      </c>
      <c r="W197" s="26">
        <v>3.141373871646032E-4</v>
      </c>
      <c r="X197" s="26">
        <v>2.8608445790044072E-2</v>
      </c>
      <c r="Y197" s="26">
        <v>2.9800844313154239E-2</v>
      </c>
      <c r="Z197" s="28">
        <v>0</v>
      </c>
      <c r="AA197" s="28">
        <v>3.1271735442865911E-3</v>
      </c>
      <c r="AB197" s="28">
        <v>1.1899481848762461E-4</v>
      </c>
      <c r="AC197" s="28">
        <v>1.5438989133449149E-4</v>
      </c>
      <c r="AD197" s="28">
        <v>1.40116380177625E-4</v>
      </c>
      <c r="AE197" s="28">
        <v>3.377910878294295E-3</v>
      </c>
      <c r="AF197" s="28">
        <v>6.9185855125806269E-3</v>
      </c>
      <c r="AG197" s="30">
        <v>0</v>
      </c>
      <c r="AH197" s="30">
        <v>1.6491053126472278E-5</v>
      </c>
      <c r="AI197" s="30">
        <v>2.7189071687907281E-4</v>
      </c>
      <c r="AJ197" s="30">
        <v>3.7507357872791961E-4</v>
      </c>
      <c r="AK197" s="30">
        <v>1.893029287807135E-4</v>
      </c>
      <c r="AL197" s="30">
        <v>1.165886053324375E-2</v>
      </c>
      <c r="AM197" s="30">
        <v>1.2511618810757928E-2</v>
      </c>
      <c r="AN197" s="32">
        <v>0</v>
      </c>
      <c r="AO197" s="32">
        <v>1.179775095002105E-5</v>
      </c>
      <c r="AP197" s="32">
        <v>3.4282755259154613E-7</v>
      </c>
      <c r="AQ197" s="32">
        <v>7.4641524221169363E-7</v>
      </c>
      <c r="AR197" s="32">
        <v>7.6913696276317151E-7</v>
      </c>
      <c r="AS197" s="32">
        <v>8.1443370266732239E-6</v>
      </c>
      <c r="AT197" s="32">
        <v>2.1800467734260687E-5</v>
      </c>
      <c r="AU197" s="34">
        <v>0</v>
      </c>
      <c r="AV197" s="34">
        <v>0</v>
      </c>
      <c r="AW197" s="34">
        <v>0.17939961470963908</v>
      </c>
      <c r="AX197" s="34">
        <v>0.17647448414364728</v>
      </c>
      <c r="AY197" s="34">
        <v>0.1593618802584211</v>
      </c>
      <c r="AZ197" s="34">
        <v>0.62669710475579521</v>
      </c>
      <c r="BA197" s="34">
        <v>1.1419330838675026</v>
      </c>
      <c r="BB197" s="6"/>
      <c r="BC197" s="6"/>
      <c r="BD197" t="s">
        <v>704</v>
      </c>
      <c r="BF197" s="5">
        <v>6.5515749999999998E-2</v>
      </c>
      <c r="BG197" s="5">
        <f t="shared" si="9"/>
        <v>-1.9690188482498344E-3</v>
      </c>
      <c r="BH197" s="2">
        <v>147.53152</v>
      </c>
    </row>
    <row r="198" spans="1:60" x14ac:dyDescent="0.2">
      <c r="A198" t="str">
        <f t="shared" si="8"/>
        <v>Motorbike, electric, &lt;4kW - 2050 - LFP - CH</v>
      </c>
      <c r="B198" t="s">
        <v>267</v>
      </c>
      <c r="D198" s="18">
        <v>2050</v>
      </c>
      <c r="E198" t="s">
        <v>37</v>
      </c>
      <c r="F198" t="s">
        <v>138</v>
      </c>
      <c r="G198" t="s">
        <v>39</v>
      </c>
      <c r="H198" t="s">
        <v>32</v>
      </c>
      <c r="I198" t="s">
        <v>44</v>
      </c>
      <c r="J198" t="s">
        <v>138</v>
      </c>
      <c r="L198" s="24">
        <v>0</v>
      </c>
      <c r="M198" s="24">
        <v>0</v>
      </c>
      <c r="N198" s="24">
        <v>3.836250793656903E-3</v>
      </c>
      <c r="O198" s="24">
        <v>1.2306591692257861E-2</v>
      </c>
      <c r="P198" s="24">
        <v>4.5402365651397514E-3</v>
      </c>
      <c r="Q198" s="24">
        <v>6.9008180263948865E-2</v>
      </c>
      <c r="R198" s="24">
        <v>8.969125931500338E-2</v>
      </c>
      <c r="S198" s="26">
        <v>0</v>
      </c>
      <c r="T198" s="26">
        <v>0</v>
      </c>
      <c r="U198" s="26">
        <v>4.0604195360992079E-4</v>
      </c>
      <c r="V198" s="26">
        <v>4.722191823356421E-4</v>
      </c>
      <c r="W198" s="26">
        <v>3.1383249102629628E-4</v>
      </c>
      <c r="X198" s="26">
        <v>4.2336184318943468E-2</v>
      </c>
      <c r="Y198" s="26">
        <v>4.3528277945915329E-2</v>
      </c>
      <c r="Z198" s="28">
        <v>0</v>
      </c>
      <c r="AA198" s="28">
        <v>3.1271735442865911E-3</v>
      </c>
      <c r="AB198" s="28">
        <v>1.1899481848762461E-4</v>
      </c>
      <c r="AC198" s="28">
        <v>1.5438989133449149E-4</v>
      </c>
      <c r="AD198" s="28">
        <v>1.3997778480881839E-4</v>
      </c>
      <c r="AE198" s="28">
        <v>5.4447083172171054E-3</v>
      </c>
      <c r="AF198" s="28">
        <v>8.9852443561346321E-3</v>
      </c>
      <c r="AG198" s="30">
        <v>0</v>
      </c>
      <c r="AH198" s="30">
        <v>1.6491053126472278E-5</v>
      </c>
      <c r="AI198" s="30">
        <v>2.7189071687907281E-4</v>
      </c>
      <c r="AJ198" s="30">
        <v>3.7507357872791961E-4</v>
      </c>
      <c r="AK198" s="30">
        <v>1.8917358126281831E-4</v>
      </c>
      <c r="AL198" s="30">
        <v>1.8299791000723119E-2</v>
      </c>
      <c r="AM198" s="30">
        <v>1.9152419930719401E-2</v>
      </c>
      <c r="AN198" s="32">
        <v>0</v>
      </c>
      <c r="AO198" s="32">
        <v>1.179775095002105E-5</v>
      </c>
      <c r="AP198" s="32">
        <v>3.4282755259154613E-7</v>
      </c>
      <c r="AQ198" s="32">
        <v>7.4641524221169363E-7</v>
      </c>
      <c r="AR198" s="32">
        <v>7.6862623232385205E-7</v>
      </c>
      <c r="AS198" s="32">
        <v>1.1430833375483671E-5</v>
      </c>
      <c r="AT198" s="32">
        <v>2.5086453352631813E-5</v>
      </c>
      <c r="AU198" s="34">
        <v>0</v>
      </c>
      <c r="AV198" s="34">
        <v>0</v>
      </c>
      <c r="AW198" s="34">
        <v>0.17939961470963908</v>
      </c>
      <c r="AX198" s="34">
        <v>0.17647448414364728</v>
      </c>
      <c r="AY198" s="34">
        <v>0.15920380822557306</v>
      </c>
      <c r="AZ198" s="34">
        <v>0.91912155040929444</v>
      </c>
      <c r="BA198" s="34">
        <v>1.4341994574881538</v>
      </c>
      <c r="BB198" s="6"/>
      <c r="BC198" s="6"/>
      <c r="BD198" t="s">
        <v>705</v>
      </c>
      <c r="BF198" s="5">
        <v>8.0933736000000006E-2</v>
      </c>
      <c r="BG198" s="5">
        <f t="shared" si="9"/>
        <v>-8.7575233150033738E-3</v>
      </c>
      <c r="BH198" s="2">
        <v>212.02798000000001</v>
      </c>
    </row>
    <row r="199" spans="1:60" x14ac:dyDescent="0.2">
      <c r="A199" t="str">
        <f t="shared" si="8"/>
        <v>Motorbike, electric, 4-11kW - 2020 - LFP - CH</v>
      </c>
      <c r="B199" t="s">
        <v>268</v>
      </c>
      <c r="D199" s="18">
        <v>2020</v>
      </c>
      <c r="E199" t="s">
        <v>37</v>
      </c>
      <c r="F199" t="s">
        <v>138</v>
      </c>
      <c r="G199" t="s">
        <v>39</v>
      </c>
      <c r="H199" t="s">
        <v>32</v>
      </c>
      <c r="I199" t="s">
        <v>44</v>
      </c>
      <c r="J199" t="s">
        <v>138</v>
      </c>
      <c r="L199" s="24">
        <v>0</v>
      </c>
      <c r="M199" s="24">
        <v>0</v>
      </c>
      <c r="N199" s="24">
        <v>5.7702284664922004E-3</v>
      </c>
      <c r="O199" s="24">
        <v>1.2306591692257861E-2</v>
      </c>
      <c r="P199" s="24">
        <v>4.6478661566374943E-3</v>
      </c>
      <c r="Q199" s="24">
        <v>6.0166914792213623E-2</v>
      </c>
      <c r="R199" s="24">
        <v>8.2891601107601187E-2</v>
      </c>
      <c r="S199" s="26">
        <v>0</v>
      </c>
      <c r="T199" s="26">
        <v>0</v>
      </c>
      <c r="U199" s="26">
        <v>6.1074078972731883E-4</v>
      </c>
      <c r="V199" s="26">
        <v>4.722191823356421E-4</v>
      </c>
      <c r="W199" s="26">
        <v>3.2063335096497683E-4</v>
      </c>
      <c r="X199" s="26">
        <v>3.9490957233663602E-2</v>
      </c>
      <c r="Y199" s="26">
        <v>4.0894550556691542E-2</v>
      </c>
      <c r="Z199" s="28">
        <v>0</v>
      </c>
      <c r="AA199" s="28">
        <v>3.1271735442865911E-3</v>
      </c>
      <c r="AB199" s="28">
        <v>1.789839418574189E-4</v>
      </c>
      <c r="AC199" s="28">
        <v>1.5438989133449149E-4</v>
      </c>
      <c r="AD199" s="28">
        <v>1.430692234102964E-4</v>
      </c>
      <c r="AE199" s="28">
        <v>4.4948481190346338E-3</v>
      </c>
      <c r="AF199" s="28">
        <v>8.0984647199234313E-3</v>
      </c>
      <c r="AG199" s="30">
        <v>0</v>
      </c>
      <c r="AH199" s="30">
        <v>1.6491053126472278E-5</v>
      </c>
      <c r="AI199" s="30">
        <v>4.0895959067761362E-4</v>
      </c>
      <c r="AJ199" s="30">
        <v>3.7507357872791961E-4</v>
      </c>
      <c r="AK199" s="30">
        <v>1.9205874195230989E-4</v>
      </c>
      <c r="AL199" s="30">
        <v>1.5668035078712901E-2</v>
      </c>
      <c r="AM199" s="30">
        <v>1.6660618043197215E-2</v>
      </c>
      <c r="AN199" s="32">
        <v>0</v>
      </c>
      <c r="AO199" s="32">
        <v>1.179775095002105E-5</v>
      </c>
      <c r="AP199" s="32">
        <v>5.1565797166662308E-7</v>
      </c>
      <c r="AQ199" s="32">
        <v>7.4641524221169363E-7</v>
      </c>
      <c r="AR199" s="32">
        <v>7.8001832867351342E-7</v>
      </c>
      <c r="AS199" s="32">
        <v>1.0964793461513329E-5</v>
      </c>
      <c r="AT199" s="32">
        <v>2.4804635954086208E-5</v>
      </c>
      <c r="AU199" s="34">
        <v>0</v>
      </c>
      <c r="AV199" s="34">
        <v>0</v>
      </c>
      <c r="AW199" s="34">
        <v>0.2698407427863993</v>
      </c>
      <c r="AX199" s="34">
        <v>0.17647448414364728</v>
      </c>
      <c r="AY199" s="34">
        <v>0.16272968350097558</v>
      </c>
      <c r="AZ199" s="34">
        <v>0.81809342477055513</v>
      </c>
      <c r="BA199" s="34">
        <v>1.4271383352015774</v>
      </c>
      <c r="BB199" s="6"/>
      <c r="BC199" s="6"/>
      <c r="BD199" t="s">
        <v>932</v>
      </c>
      <c r="BF199" s="5">
        <v>8.0712766999999991E-2</v>
      </c>
      <c r="BG199" s="5">
        <f t="shared" si="9"/>
        <v>-2.1788341076011963E-3</v>
      </c>
      <c r="BH199" s="2">
        <v>192.73079000000001</v>
      </c>
    </row>
    <row r="200" spans="1:60" x14ac:dyDescent="0.2">
      <c r="A200" t="str">
        <f t="shared" si="8"/>
        <v>Motorbike, electric, 4-11kW - 2030 - LFP - CH</v>
      </c>
      <c r="B200" t="s">
        <v>268</v>
      </c>
      <c r="D200" s="18">
        <v>2030</v>
      </c>
      <c r="E200" t="s">
        <v>37</v>
      </c>
      <c r="F200" t="s">
        <v>138</v>
      </c>
      <c r="G200" t="s">
        <v>39</v>
      </c>
      <c r="H200" t="s">
        <v>32</v>
      </c>
      <c r="I200" t="s">
        <v>44</v>
      </c>
      <c r="J200" t="s">
        <v>138</v>
      </c>
      <c r="L200" s="24">
        <v>0</v>
      </c>
      <c r="M200" s="24">
        <v>0</v>
      </c>
      <c r="N200" s="24">
        <v>5.7702284664922004E-3</v>
      </c>
      <c r="O200" s="24">
        <v>1.2306591692257861E-2</v>
      </c>
      <c r="P200" s="24">
        <v>4.7138885534054042E-3</v>
      </c>
      <c r="Q200" s="24">
        <v>6.8592959457134478E-2</v>
      </c>
      <c r="R200" s="24">
        <v>9.1383668169289944E-2</v>
      </c>
      <c r="S200" s="26">
        <v>0</v>
      </c>
      <c r="T200" s="26">
        <v>0</v>
      </c>
      <c r="U200" s="26">
        <v>6.1074078972731883E-4</v>
      </c>
      <c r="V200" s="26">
        <v>4.722191823356421E-4</v>
      </c>
      <c r="W200" s="26">
        <v>3.2480515043932452E-4</v>
      </c>
      <c r="X200" s="26">
        <v>4.3762123079620782E-2</v>
      </c>
      <c r="Y200" s="26">
        <v>4.5169888202123067E-2</v>
      </c>
      <c r="Z200" s="28">
        <v>0</v>
      </c>
      <c r="AA200" s="28">
        <v>3.1271735442865911E-3</v>
      </c>
      <c r="AB200" s="28">
        <v>1.789839418574189E-4</v>
      </c>
      <c r="AC200" s="28">
        <v>1.5438989133449149E-4</v>
      </c>
      <c r="AD200" s="28">
        <v>1.4496558093697801E-4</v>
      </c>
      <c r="AE200" s="28">
        <v>5.206504781361798E-3</v>
      </c>
      <c r="AF200" s="28">
        <v>8.8120177397772777E-3</v>
      </c>
      <c r="AG200" s="30">
        <v>0</v>
      </c>
      <c r="AH200" s="30">
        <v>1.6491053126472278E-5</v>
      </c>
      <c r="AI200" s="30">
        <v>4.0895959067761362E-4</v>
      </c>
      <c r="AJ200" s="30">
        <v>3.7507357872791961E-4</v>
      </c>
      <c r="AK200" s="30">
        <v>1.938285639978091E-4</v>
      </c>
      <c r="AL200" s="30">
        <v>1.7929034225557239E-2</v>
      </c>
      <c r="AM200" s="30">
        <v>1.8923387012087053E-2</v>
      </c>
      <c r="AN200" s="32">
        <v>0</v>
      </c>
      <c r="AO200" s="32">
        <v>1.179775095002105E-5</v>
      </c>
      <c r="AP200" s="32">
        <v>5.1565797166662308E-7</v>
      </c>
      <c r="AQ200" s="32">
        <v>7.4641524221169363E-7</v>
      </c>
      <c r="AR200" s="32">
        <v>7.8700649516889011E-7</v>
      </c>
      <c r="AS200" s="32">
        <v>1.2036811311451539E-5</v>
      </c>
      <c r="AT200" s="32">
        <v>2.5883641970519796E-5</v>
      </c>
      <c r="AU200" s="34">
        <v>0</v>
      </c>
      <c r="AV200" s="34">
        <v>0</v>
      </c>
      <c r="AW200" s="34">
        <v>0.2698407427863993</v>
      </c>
      <c r="AX200" s="34">
        <v>0.17647448414364728</v>
      </c>
      <c r="AY200" s="34">
        <v>0.16489253419238295</v>
      </c>
      <c r="AZ200" s="34">
        <v>0.92459491856329112</v>
      </c>
      <c r="BA200" s="34">
        <v>1.5358026796857205</v>
      </c>
      <c r="BB200" s="6"/>
      <c r="BC200" s="6"/>
      <c r="BD200" t="s">
        <v>706</v>
      </c>
      <c r="BF200" s="5">
        <v>8.6189918000000004E-2</v>
      </c>
      <c r="BG200" s="5">
        <f t="shared" si="9"/>
        <v>-5.1937501692899402E-3</v>
      </c>
      <c r="BH200" s="2">
        <v>212.22203999999999</v>
      </c>
    </row>
    <row r="201" spans="1:60" x14ac:dyDescent="0.2">
      <c r="A201" t="str">
        <f t="shared" si="8"/>
        <v>Motorbike, electric, 4-11kW - 2040 - LFP - CH</v>
      </c>
      <c r="B201" t="s">
        <v>268</v>
      </c>
      <c r="D201" s="18">
        <v>2040</v>
      </c>
      <c r="E201" t="s">
        <v>37</v>
      </c>
      <c r="F201" t="s">
        <v>138</v>
      </c>
      <c r="G201" t="s">
        <v>39</v>
      </c>
      <c r="H201" t="s">
        <v>32</v>
      </c>
      <c r="I201" t="s">
        <v>44</v>
      </c>
      <c r="J201" t="s">
        <v>138</v>
      </c>
      <c r="L201" s="24">
        <v>0</v>
      </c>
      <c r="M201" s="24">
        <v>0</v>
      </c>
      <c r="N201" s="24">
        <v>5.7702284664922004E-3</v>
      </c>
      <c r="O201" s="24">
        <v>1.2306591692257861E-2</v>
      </c>
      <c r="P201" s="24">
        <v>4.7375200925955426E-3</v>
      </c>
      <c r="Q201" s="24">
        <v>6.687707536082832E-2</v>
      </c>
      <c r="R201" s="24">
        <v>8.9691415612173919E-2</v>
      </c>
      <c r="S201" s="26">
        <v>0</v>
      </c>
      <c r="T201" s="26">
        <v>0</v>
      </c>
      <c r="U201" s="26">
        <v>6.1074078972731883E-4</v>
      </c>
      <c r="V201" s="26">
        <v>4.722191823356421E-4</v>
      </c>
      <c r="W201" s="26">
        <v>3.2629837164300189E-4</v>
      </c>
      <c r="X201" s="26">
        <v>4.1684236209189512E-2</v>
      </c>
      <c r="Y201" s="26">
        <v>4.3093494552895475E-2</v>
      </c>
      <c r="Z201" s="28">
        <v>0</v>
      </c>
      <c r="AA201" s="28">
        <v>3.1271735442865911E-3</v>
      </c>
      <c r="AB201" s="28">
        <v>1.789839418574189E-4</v>
      </c>
      <c r="AC201" s="28">
        <v>1.5438989133449149E-4</v>
      </c>
      <c r="AD201" s="28">
        <v>1.45644348285698E-4</v>
      </c>
      <c r="AE201" s="28">
        <v>4.9649931298987376E-3</v>
      </c>
      <c r="AF201" s="28">
        <v>8.5711848556629371E-3</v>
      </c>
      <c r="AG201" s="30">
        <v>0</v>
      </c>
      <c r="AH201" s="30">
        <v>1.6491053126472278E-5</v>
      </c>
      <c r="AI201" s="30">
        <v>4.0895959067761362E-4</v>
      </c>
      <c r="AJ201" s="30">
        <v>3.7507357872791961E-4</v>
      </c>
      <c r="AK201" s="30">
        <v>1.944620402282285E-4</v>
      </c>
      <c r="AL201" s="30">
        <v>1.7153130356584612E-2</v>
      </c>
      <c r="AM201" s="30">
        <v>1.8148116619344845E-2</v>
      </c>
      <c r="AN201" s="32">
        <v>0</v>
      </c>
      <c r="AO201" s="32">
        <v>1.179775095002105E-5</v>
      </c>
      <c r="AP201" s="32">
        <v>5.1565797166662308E-7</v>
      </c>
      <c r="AQ201" s="32">
        <v>7.4641524221169363E-7</v>
      </c>
      <c r="AR201" s="32">
        <v>7.8950778470830546E-7</v>
      </c>
      <c r="AS201" s="32">
        <v>1.156228107659039E-5</v>
      </c>
      <c r="AT201" s="32">
        <v>2.5411613025198063E-5</v>
      </c>
      <c r="AU201" s="34">
        <v>0</v>
      </c>
      <c r="AV201" s="34">
        <v>0</v>
      </c>
      <c r="AW201" s="34">
        <v>0.2698407427863993</v>
      </c>
      <c r="AX201" s="34">
        <v>0.17647448414364728</v>
      </c>
      <c r="AY201" s="34">
        <v>0.1656666880156088</v>
      </c>
      <c r="AZ201" s="34">
        <v>0.89655709371977155</v>
      </c>
      <c r="BA201" s="34">
        <v>1.5085390086654269</v>
      </c>
      <c r="BB201" s="6"/>
      <c r="BC201" s="6"/>
      <c r="BD201" t="s">
        <v>707</v>
      </c>
      <c r="BF201" s="5">
        <v>8.4405950999999993E-2</v>
      </c>
      <c r="BG201" s="5">
        <f t="shared" si="9"/>
        <v>-5.2854646121739263E-3</v>
      </c>
      <c r="BH201" s="2">
        <v>201.29917</v>
      </c>
    </row>
    <row r="202" spans="1:60" x14ac:dyDescent="0.2">
      <c r="A202" t="str">
        <f t="shared" si="8"/>
        <v>Motorbike, electric, 4-11kW - 2050 - LFP - CH</v>
      </c>
      <c r="B202" t="s">
        <v>268</v>
      </c>
      <c r="D202" s="18">
        <v>2050</v>
      </c>
      <c r="E202" t="s">
        <v>37</v>
      </c>
      <c r="F202" t="s">
        <v>138</v>
      </c>
      <c r="G202" t="s">
        <v>39</v>
      </c>
      <c r="H202" t="s">
        <v>32</v>
      </c>
      <c r="I202" t="s">
        <v>44</v>
      </c>
      <c r="J202" t="s">
        <v>138</v>
      </c>
      <c r="L202" s="24">
        <v>0</v>
      </c>
      <c r="M202" s="24">
        <v>0</v>
      </c>
      <c r="N202" s="24">
        <v>5.7702284664922004E-3</v>
      </c>
      <c r="O202" s="24">
        <v>7.9912933066609501E-3</v>
      </c>
      <c r="P202" s="24">
        <v>4.7364943027673728E-3</v>
      </c>
      <c r="Q202" s="24">
        <v>0.1017170859595791</v>
      </c>
      <c r="R202" s="24">
        <v>0.12021510203549962</v>
      </c>
      <c r="S202" s="26">
        <v>0</v>
      </c>
      <c r="T202" s="26">
        <v>0</v>
      </c>
      <c r="U202" s="26">
        <v>6.1074078972731883E-4</v>
      </c>
      <c r="V202" s="26">
        <v>3.0663583268548191E-4</v>
      </c>
      <c r="W202" s="26">
        <v>3.2623355440407321E-4</v>
      </c>
      <c r="X202" s="26">
        <v>6.3629859579012252E-2</v>
      </c>
      <c r="Y202" s="26">
        <v>6.4873469755829125E-2</v>
      </c>
      <c r="Z202" s="28">
        <v>0</v>
      </c>
      <c r="AA202" s="28">
        <v>3.1271735442865911E-3</v>
      </c>
      <c r="AB202" s="28">
        <v>1.789839418574189E-4</v>
      </c>
      <c r="AC202" s="28">
        <v>1.002531761912283E-4</v>
      </c>
      <c r="AD202" s="28">
        <v>1.456148845831262E-4</v>
      </c>
      <c r="AE202" s="28">
        <v>8.2411244600989631E-3</v>
      </c>
      <c r="AF202" s="28">
        <v>1.1793150007017328E-2</v>
      </c>
      <c r="AG202" s="30">
        <v>0</v>
      </c>
      <c r="AH202" s="30">
        <v>1.6491053126472278E-5</v>
      </c>
      <c r="AI202" s="30">
        <v>4.0895959067761362E-4</v>
      </c>
      <c r="AJ202" s="30">
        <v>2.4355427190124649E-4</v>
      </c>
      <c r="AK202" s="30">
        <v>1.9443454250713961E-4</v>
      </c>
      <c r="AL202" s="30">
        <v>2.767092933666445E-2</v>
      </c>
      <c r="AM202" s="30">
        <v>2.8534368794876922E-2</v>
      </c>
      <c r="AN202" s="32">
        <v>0</v>
      </c>
      <c r="AO202" s="32">
        <v>1.179775095002105E-5</v>
      </c>
      <c r="AP202" s="32">
        <v>5.1565797166662308E-7</v>
      </c>
      <c r="AQ202" s="32">
        <v>4.8468522221538551E-7</v>
      </c>
      <c r="AR202" s="32">
        <v>7.8939920958138722E-7</v>
      </c>
      <c r="AS202" s="32">
        <v>1.6816639145392912E-5</v>
      </c>
      <c r="AT202" s="32">
        <v>3.0404132498877358E-5</v>
      </c>
      <c r="AU202" s="34">
        <v>0</v>
      </c>
      <c r="AV202" s="34">
        <v>0</v>
      </c>
      <c r="AW202" s="34">
        <v>0.2698407427863993</v>
      </c>
      <c r="AX202" s="34">
        <v>0.1145938208724982</v>
      </c>
      <c r="AY202" s="34">
        <v>0.16563308380934377</v>
      </c>
      <c r="AZ202" s="34">
        <v>1.3576554164716295</v>
      </c>
      <c r="BA202" s="34">
        <v>1.9077230639398708</v>
      </c>
      <c r="BB202" s="6"/>
      <c r="BC202" s="6"/>
      <c r="BD202" t="s">
        <v>708</v>
      </c>
      <c r="BF202" s="5">
        <v>0.10549116</v>
      </c>
      <c r="BG202" s="5">
        <f t="shared" si="9"/>
        <v>-1.4723942035499621E-2</v>
      </c>
      <c r="BH202" s="2">
        <v>301.55876000000001</v>
      </c>
    </row>
    <row r="203" spans="1:60" x14ac:dyDescent="0.2">
      <c r="A203" t="str">
        <f t="shared" si="8"/>
        <v>Motorbike, electric, 11-35kW - 2020 - LFP - CH</v>
      </c>
      <c r="B203" t="s">
        <v>269</v>
      </c>
      <c r="D203" s="18">
        <v>2020</v>
      </c>
      <c r="E203" t="s">
        <v>37</v>
      </c>
      <c r="F203" t="s">
        <v>138</v>
      </c>
      <c r="G203" t="s">
        <v>39</v>
      </c>
      <c r="H203" t="s">
        <v>32</v>
      </c>
      <c r="I203" t="s">
        <v>44</v>
      </c>
      <c r="J203" t="s">
        <v>138</v>
      </c>
      <c r="L203" s="24">
        <v>0</v>
      </c>
      <c r="M203" s="24">
        <v>0</v>
      </c>
      <c r="N203" s="24">
        <v>7.8106002476236447E-3</v>
      </c>
      <c r="O203" s="24">
        <v>1.2306591692257861E-2</v>
      </c>
      <c r="P203" s="24">
        <v>5.0774325154383246E-3</v>
      </c>
      <c r="Q203" s="24">
        <v>7.8967146486972686E-2</v>
      </c>
      <c r="R203" s="24">
        <v>0.10416177094229251</v>
      </c>
      <c r="S203" s="26">
        <v>0</v>
      </c>
      <c r="T203" s="26">
        <v>0</v>
      </c>
      <c r="U203" s="26">
        <v>8.2670074351110705E-4</v>
      </c>
      <c r="V203" s="26">
        <v>4.722191823356421E-4</v>
      </c>
      <c r="W203" s="26">
        <v>3.4777663563157938E-4</v>
      </c>
      <c r="X203" s="26">
        <v>5.2084956482867491E-2</v>
      </c>
      <c r="Y203" s="26">
        <v>5.3731653044345816E-2</v>
      </c>
      <c r="Z203" s="28">
        <v>0</v>
      </c>
      <c r="AA203" s="28">
        <v>3.1271735442865911E-3</v>
      </c>
      <c r="AB203" s="28">
        <v>2.422732529067532E-4</v>
      </c>
      <c r="AC203" s="28">
        <v>1.5438989133449149E-4</v>
      </c>
      <c r="AD203" s="28">
        <v>1.554076333681293E-4</v>
      </c>
      <c r="AE203" s="28">
        <v>6.542119057818362E-3</v>
      </c>
      <c r="AF203" s="28">
        <v>1.0221363379714327E-2</v>
      </c>
      <c r="AG203" s="30">
        <v>0</v>
      </c>
      <c r="AH203" s="30">
        <v>1.6491053126472278E-5</v>
      </c>
      <c r="AI203" s="30">
        <v>5.5356904822114297E-4</v>
      </c>
      <c r="AJ203" s="30">
        <v>3.7507357872791961E-4</v>
      </c>
      <c r="AK203" s="30">
        <v>2.0357386483527791E-4</v>
      </c>
      <c r="AL203" s="30">
        <v>2.2010172648530679E-2</v>
      </c>
      <c r="AM203" s="30">
        <v>2.3158880193441492E-2</v>
      </c>
      <c r="AN203" s="32">
        <v>0</v>
      </c>
      <c r="AO203" s="32">
        <v>1.179775095002105E-5</v>
      </c>
      <c r="AP203" s="32">
        <v>6.9799632797501057E-7</v>
      </c>
      <c r="AQ203" s="32">
        <v>7.4641524221169363E-7</v>
      </c>
      <c r="AR203" s="32">
        <v>8.2548594849751754E-7</v>
      </c>
      <c r="AS203" s="32">
        <v>1.384164295195637E-5</v>
      </c>
      <c r="AT203" s="32">
        <v>2.7909291420661643E-5</v>
      </c>
      <c r="AU203" s="34">
        <v>0</v>
      </c>
      <c r="AV203" s="34">
        <v>0</v>
      </c>
      <c r="AW203" s="34">
        <v>0.36525731774146686</v>
      </c>
      <c r="AX203" s="34">
        <v>0.17647448414364728</v>
      </c>
      <c r="AY203" s="34">
        <v>0.17680199746745828</v>
      </c>
      <c r="AZ203" s="34">
        <v>1.0710949563184369</v>
      </c>
      <c r="BA203" s="34">
        <v>1.7896287556710093</v>
      </c>
      <c r="BB203" s="6"/>
      <c r="BC203" s="6"/>
      <c r="BD203" t="s">
        <v>933</v>
      </c>
      <c r="BF203" s="5">
        <v>9.6879242000000004E-2</v>
      </c>
      <c r="BG203" s="5">
        <f t="shared" si="9"/>
        <v>-7.2825289422925044E-3</v>
      </c>
      <c r="BH203" s="2">
        <v>268.19369999999998</v>
      </c>
    </row>
    <row r="204" spans="1:60" x14ac:dyDescent="0.2">
      <c r="A204" t="str">
        <f t="shared" si="8"/>
        <v>Motorbike, electric, 11-35kW - 2030 - LFP - CH</v>
      </c>
      <c r="B204" t="s">
        <v>269</v>
      </c>
      <c r="D204" s="18">
        <v>2030</v>
      </c>
      <c r="E204" t="s">
        <v>37</v>
      </c>
      <c r="F204" t="s">
        <v>138</v>
      </c>
      <c r="G204" t="s">
        <v>39</v>
      </c>
      <c r="H204" t="s">
        <v>32</v>
      </c>
      <c r="I204" t="s">
        <v>44</v>
      </c>
      <c r="J204" t="s">
        <v>138</v>
      </c>
      <c r="L204" s="24">
        <v>0</v>
      </c>
      <c r="M204" s="24">
        <v>0</v>
      </c>
      <c r="N204" s="24">
        <v>7.8106002476236447E-3</v>
      </c>
      <c r="O204" s="24">
        <v>1.2306591692257861E-2</v>
      </c>
      <c r="P204" s="24">
        <v>5.2182600050499706E-3</v>
      </c>
      <c r="Q204" s="24">
        <v>8.6347492782024776E-2</v>
      </c>
      <c r="R204" s="24">
        <v>0.11168294472695625</v>
      </c>
      <c r="S204" s="26">
        <v>0</v>
      </c>
      <c r="T204" s="26">
        <v>0</v>
      </c>
      <c r="U204" s="26">
        <v>8.2670074351110705E-4</v>
      </c>
      <c r="V204" s="26">
        <v>4.722191823356421E-4</v>
      </c>
      <c r="W204" s="26">
        <v>3.5667519242285801E-4</v>
      </c>
      <c r="X204" s="26">
        <v>5.5866949265579051E-2</v>
      </c>
      <c r="Y204" s="26">
        <v>5.7522544383848656E-2</v>
      </c>
      <c r="Z204" s="28">
        <v>0</v>
      </c>
      <c r="AA204" s="28">
        <v>3.1271735442865911E-3</v>
      </c>
      <c r="AB204" s="28">
        <v>2.422732529067532E-4</v>
      </c>
      <c r="AC204" s="28">
        <v>1.5438989133449149E-4</v>
      </c>
      <c r="AD204" s="28">
        <v>1.5945261329861451E-4</v>
      </c>
      <c r="AE204" s="28">
        <v>7.1709361070833276E-3</v>
      </c>
      <c r="AF204" s="28">
        <v>1.0854225408909778E-2</v>
      </c>
      <c r="AG204" s="30">
        <v>0</v>
      </c>
      <c r="AH204" s="30">
        <v>1.6491053126472278E-5</v>
      </c>
      <c r="AI204" s="30">
        <v>5.5356904822114297E-4</v>
      </c>
      <c r="AJ204" s="30">
        <v>3.7507357872791961E-4</v>
      </c>
      <c r="AK204" s="30">
        <v>2.073489412930921E-4</v>
      </c>
      <c r="AL204" s="30">
        <v>2.398899846098413E-2</v>
      </c>
      <c r="AM204" s="30">
        <v>2.5141481082352757E-2</v>
      </c>
      <c r="AN204" s="32">
        <v>0</v>
      </c>
      <c r="AO204" s="32">
        <v>1.179775095002105E-5</v>
      </c>
      <c r="AP204" s="32">
        <v>6.9799632797501057E-7</v>
      </c>
      <c r="AQ204" s="32">
        <v>7.4641524221169363E-7</v>
      </c>
      <c r="AR204" s="32">
        <v>8.4039188940105098E-7</v>
      </c>
      <c r="AS204" s="32">
        <v>1.481061050017246E-5</v>
      </c>
      <c r="AT204" s="32">
        <v>2.8893164909781265E-5</v>
      </c>
      <c r="AU204" s="34">
        <v>0</v>
      </c>
      <c r="AV204" s="34">
        <v>0</v>
      </c>
      <c r="AW204" s="34">
        <v>0.36525731774146686</v>
      </c>
      <c r="AX204" s="34">
        <v>0.17647448414364728</v>
      </c>
      <c r="AY204" s="34">
        <v>0.18141541425004556</v>
      </c>
      <c r="AZ204" s="34">
        <v>1.1650316173815727</v>
      </c>
      <c r="BA204" s="34">
        <v>1.8881788335167324</v>
      </c>
      <c r="BB204" s="6"/>
      <c r="BC204" s="6"/>
      <c r="BD204" t="s">
        <v>709</v>
      </c>
      <c r="BF204" s="5">
        <v>0.10189909</v>
      </c>
      <c r="BG204" s="5">
        <f t="shared" si="9"/>
        <v>-9.7838547269562537E-3</v>
      </c>
      <c r="BH204" s="2">
        <v>285.96847000000002</v>
      </c>
    </row>
    <row r="205" spans="1:60" x14ac:dyDescent="0.2">
      <c r="A205" t="str">
        <f t="shared" si="8"/>
        <v>Motorbike, electric, 11-35kW - 2040 - LFP - CH</v>
      </c>
      <c r="B205" t="s">
        <v>269</v>
      </c>
      <c r="D205" s="18">
        <v>2040</v>
      </c>
      <c r="E205" t="s">
        <v>37</v>
      </c>
      <c r="F205" t="s">
        <v>138</v>
      </c>
      <c r="G205" t="s">
        <v>39</v>
      </c>
      <c r="H205" t="s">
        <v>32</v>
      </c>
      <c r="I205" t="s">
        <v>44</v>
      </c>
      <c r="J205" t="s">
        <v>138</v>
      </c>
      <c r="L205" s="24">
        <v>0</v>
      </c>
      <c r="M205" s="24">
        <v>0</v>
      </c>
      <c r="N205" s="24">
        <v>7.8106002476236447E-3</v>
      </c>
      <c r="O205" s="24">
        <v>1.2306591692257861E-2</v>
      </c>
      <c r="P205" s="24">
        <v>5.2818986745286093E-3</v>
      </c>
      <c r="Q205" s="24">
        <v>8.1642883107063025E-2</v>
      </c>
      <c r="R205" s="24">
        <v>0.10704197372147314</v>
      </c>
      <c r="S205" s="26">
        <v>0</v>
      </c>
      <c r="T205" s="26">
        <v>0</v>
      </c>
      <c r="U205" s="26">
        <v>8.2670074351110705E-4</v>
      </c>
      <c r="V205" s="26">
        <v>4.722191823356421E-4</v>
      </c>
      <c r="W205" s="26">
        <v>3.6069636979411338E-4</v>
      </c>
      <c r="X205" s="26">
        <v>5.1912344210703731E-2</v>
      </c>
      <c r="Y205" s="26">
        <v>5.3571960506344593E-2</v>
      </c>
      <c r="Z205" s="28">
        <v>0</v>
      </c>
      <c r="AA205" s="28">
        <v>3.1271735442865911E-3</v>
      </c>
      <c r="AB205" s="28">
        <v>2.422732529067532E-4</v>
      </c>
      <c r="AC205" s="28">
        <v>1.5438989133449149E-4</v>
      </c>
      <c r="AD205" s="28">
        <v>1.612805031626867E-4</v>
      </c>
      <c r="AE205" s="28">
        <v>6.6499799372623288E-3</v>
      </c>
      <c r="AF205" s="28">
        <v>1.0335097128952852E-2</v>
      </c>
      <c r="AG205" s="30">
        <v>0</v>
      </c>
      <c r="AH205" s="30">
        <v>1.6491053126472278E-5</v>
      </c>
      <c r="AI205" s="30">
        <v>5.5356904822114297E-4</v>
      </c>
      <c r="AJ205" s="30">
        <v>3.7507357872791961E-4</v>
      </c>
      <c r="AK205" s="30">
        <v>2.0905486421778481E-4</v>
      </c>
      <c r="AL205" s="30">
        <v>2.2306111618354049E-2</v>
      </c>
      <c r="AM205" s="30">
        <v>2.3460300162647368E-2</v>
      </c>
      <c r="AN205" s="32">
        <v>0</v>
      </c>
      <c r="AO205" s="32">
        <v>1.179775095002105E-5</v>
      </c>
      <c r="AP205" s="32">
        <v>6.9799632797501057E-7</v>
      </c>
      <c r="AQ205" s="32">
        <v>7.4641524221169363E-7</v>
      </c>
      <c r="AR205" s="32">
        <v>8.4712774934603729E-7</v>
      </c>
      <c r="AS205" s="32">
        <v>1.3897460589459601E-5</v>
      </c>
      <c r="AT205" s="32">
        <v>2.7986750859013392E-5</v>
      </c>
      <c r="AU205" s="34">
        <v>0</v>
      </c>
      <c r="AV205" s="34">
        <v>0</v>
      </c>
      <c r="AW205" s="34">
        <v>0.36525731774146686</v>
      </c>
      <c r="AX205" s="34">
        <v>0.17647448414364728</v>
      </c>
      <c r="AY205" s="34">
        <v>0.18350017558892837</v>
      </c>
      <c r="AZ205" s="34">
        <v>1.0976927569590764</v>
      </c>
      <c r="BA205" s="34">
        <v>1.822924734433119</v>
      </c>
      <c r="BB205" s="6"/>
      <c r="BC205" s="6"/>
      <c r="BD205" t="s">
        <v>710</v>
      </c>
      <c r="BF205" s="5">
        <v>9.8140874000000003E-2</v>
      </c>
      <c r="BG205" s="5">
        <f t="shared" si="9"/>
        <v>-8.9010997214731408E-3</v>
      </c>
      <c r="BH205" s="2">
        <v>266.51056999999997</v>
      </c>
    </row>
    <row r="206" spans="1:60" x14ac:dyDescent="0.2">
      <c r="A206" t="str">
        <f t="shared" si="8"/>
        <v>Motorbike, electric, 11-35kW - 2050 - LFP - CH</v>
      </c>
      <c r="B206" t="s">
        <v>269</v>
      </c>
      <c r="D206" s="18">
        <v>2050</v>
      </c>
      <c r="E206" t="s">
        <v>37</v>
      </c>
      <c r="F206" t="s">
        <v>138</v>
      </c>
      <c r="G206" t="s">
        <v>39</v>
      </c>
      <c r="H206" t="s">
        <v>32</v>
      </c>
      <c r="I206" t="s">
        <v>44</v>
      </c>
      <c r="J206" t="s">
        <v>138</v>
      </c>
      <c r="L206" s="24">
        <v>0</v>
      </c>
      <c r="M206" s="24">
        <v>0</v>
      </c>
      <c r="N206" s="24">
        <v>7.8106002476236447E-3</v>
      </c>
      <c r="O206" s="24">
        <v>1.16988587691834E-2</v>
      </c>
      <c r="P206" s="24">
        <v>5.2469080279340134E-3</v>
      </c>
      <c r="Q206" s="24">
        <v>0.1312707064103128</v>
      </c>
      <c r="R206" s="24">
        <v>0.15602707345505384</v>
      </c>
      <c r="S206" s="26">
        <v>0</v>
      </c>
      <c r="T206" s="26">
        <v>0</v>
      </c>
      <c r="U206" s="26">
        <v>8.2670074351110705E-4</v>
      </c>
      <c r="V206" s="26">
        <v>4.4889971654128941E-4</v>
      </c>
      <c r="W206" s="26">
        <v>3.5848539339494441E-4</v>
      </c>
      <c r="X206" s="26">
        <v>8.3879698628234439E-2</v>
      </c>
      <c r="Y206" s="26">
        <v>8.5513784481681773E-2</v>
      </c>
      <c r="Z206" s="28">
        <v>0</v>
      </c>
      <c r="AA206" s="28">
        <v>3.1271735442865911E-3</v>
      </c>
      <c r="AB206" s="28">
        <v>2.422732529067532E-4</v>
      </c>
      <c r="AC206" s="28">
        <v>1.4676569916982529E-4</v>
      </c>
      <c r="AD206" s="28">
        <v>1.602754688215921E-4</v>
      </c>
      <c r="AE206" s="28">
        <v>1.137321068335082E-2</v>
      </c>
      <c r="AF206" s="28">
        <v>1.5049698648535583E-2</v>
      </c>
      <c r="AG206" s="30">
        <v>0</v>
      </c>
      <c r="AH206" s="30">
        <v>1.6491053126472278E-5</v>
      </c>
      <c r="AI206" s="30">
        <v>5.5356904822114297E-4</v>
      </c>
      <c r="AJ206" s="30">
        <v>3.5655142669197291E-4</v>
      </c>
      <c r="AK206" s="30">
        <v>2.081168913364444E-4</v>
      </c>
      <c r="AL206" s="30">
        <v>3.7472638859565532E-2</v>
      </c>
      <c r="AM206" s="30">
        <v>3.8607367278941568E-2</v>
      </c>
      <c r="AN206" s="32">
        <v>0</v>
      </c>
      <c r="AO206" s="32">
        <v>1.179775095002105E-5</v>
      </c>
      <c r="AP206" s="32">
        <v>6.9799632797501057E-7</v>
      </c>
      <c r="AQ206" s="32">
        <v>7.095552302506223E-7</v>
      </c>
      <c r="AR206" s="32">
        <v>8.4342415062568946E-7</v>
      </c>
      <c r="AS206" s="32">
        <v>2.153221439947024E-5</v>
      </c>
      <c r="AT206" s="32">
        <v>3.5580941058342615E-5</v>
      </c>
      <c r="AU206" s="34">
        <v>0</v>
      </c>
      <c r="AV206" s="34">
        <v>0</v>
      </c>
      <c r="AW206" s="34">
        <v>0.36525731774146686</v>
      </c>
      <c r="AX206" s="34">
        <v>0.16775969480322017</v>
      </c>
      <c r="AY206" s="34">
        <v>0.18235390480984784</v>
      </c>
      <c r="AZ206" s="34">
        <v>1.7582249094146232</v>
      </c>
      <c r="BA206" s="34">
        <v>2.473595826769158</v>
      </c>
      <c r="BB206" s="6"/>
      <c r="BC206" s="6"/>
      <c r="BD206" t="s">
        <v>711</v>
      </c>
      <c r="BF206" s="5">
        <v>0.13288534999999999</v>
      </c>
      <c r="BG206" s="5">
        <f t="shared" si="9"/>
        <v>-2.3141723455053859E-2</v>
      </c>
      <c r="BH206" s="2">
        <v>417.77733999999998</v>
      </c>
    </row>
    <row r="207" spans="1:60" x14ac:dyDescent="0.2">
      <c r="A207" t="str">
        <f t="shared" si="8"/>
        <v>Motorbike, electric, &gt;35kW - 2020 - LFP - CH</v>
      </c>
      <c r="B207" t="s">
        <v>270</v>
      </c>
      <c r="D207" s="18">
        <v>2020</v>
      </c>
      <c r="E207" t="s">
        <v>37</v>
      </c>
      <c r="F207" t="s">
        <v>138</v>
      </c>
      <c r="G207" t="s">
        <v>39</v>
      </c>
      <c r="H207" t="s">
        <v>32</v>
      </c>
      <c r="I207" t="s">
        <v>44</v>
      </c>
      <c r="J207" t="s">
        <v>138</v>
      </c>
      <c r="L207" s="24">
        <v>0</v>
      </c>
      <c r="M207" s="24">
        <v>0</v>
      </c>
      <c r="N207" s="24">
        <v>8.710249309141712E-3</v>
      </c>
      <c r="O207" s="24">
        <v>1.2306591692257861E-2</v>
      </c>
      <c r="P207" s="24">
        <v>5.7322097842371321E-3</v>
      </c>
      <c r="Q207" s="24">
        <v>0.1330489585066062</v>
      </c>
      <c r="R207" s="24">
        <v>0.15979800929224292</v>
      </c>
      <c r="S207" s="26">
        <v>0</v>
      </c>
      <c r="T207" s="26">
        <v>0</v>
      </c>
      <c r="U207" s="26">
        <v>9.2192268862119461E-4</v>
      </c>
      <c r="V207" s="26">
        <v>4.722191823356421E-4</v>
      </c>
      <c r="W207" s="26">
        <v>3.8915046632409652E-4</v>
      </c>
      <c r="X207" s="26">
        <v>8.6893962416245196E-2</v>
      </c>
      <c r="Y207" s="26">
        <v>8.8677254753526127E-2</v>
      </c>
      <c r="Z207" s="28">
        <v>0</v>
      </c>
      <c r="AA207" s="28">
        <v>3.1271735442865911E-3</v>
      </c>
      <c r="AB207" s="28">
        <v>2.7017903449822622E-4</v>
      </c>
      <c r="AC207" s="28">
        <v>1.5438989133449149E-4</v>
      </c>
      <c r="AD207" s="28">
        <v>1.742147634144923E-4</v>
      </c>
      <c r="AE207" s="28">
        <v>1.1580690453615769E-2</v>
      </c>
      <c r="AF207" s="28">
        <v>1.5306647687149569E-2</v>
      </c>
      <c r="AG207" s="30">
        <v>0</v>
      </c>
      <c r="AH207" s="30">
        <v>1.6491053126472278E-5</v>
      </c>
      <c r="AI207" s="30">
        <v>6.1733084103202476E-4</v>
      </c>
      <c r="AJ207" s="30">
        <v>3.7507357872791961E-4</v>
      </c>
      <c r="AK207" s="30">
        <v>2.2112607896172969E-4</v>
      </c>
      <c r="AL207" s="30">
        <v>3.8191506964006042E-2</v>
      </c>
      <c r="AM207" s="30">
        <v>3.942152851585419E-2</v>
      </c>
      <c r="AN207" s="32">
        <v>0</v>
      </c>
      <c r="AO207" s="32">
        <v>1.179775095002105E-5</v>
      </c>
      <c r="AP207" s="32">
        <v>7.7839370096780042E-7</v>
      </c>
      <c r="AQ207" s="32">
        <v>7.4641524221169363E-7</v>
      </c>
      <c r="AR207" s="32">
        <v>8.947911054708254E-7</v>
      </c>
      <c r="AS207" s="32">
        <v>2.298482768960763E-5</v>
      </c>
      <c r="AT207" s="32">
        <v>3.7202178688278997E-5</v>
      </c>
      <c r="AU207" s="34">
        <v>0</v>
      </c>
      <c r="AV207" s="34">
        <v>0</v>
      </c>
      <c r="AW207" s="34">
        <v>0.40732878378771509</v>
      </c>
      <c r="AX207" s="34">
        <v>0.17647448414364728</v>
      </c>
      <c r="AY207" s="34">
        <v>0.1982520740758201</v>
      </c>
      <c r="AZ207" s="34">
        <v>1.8026418530543371</v>
      </c>
      <c r="BA207" s="34">
        <v>2.5846971950615196</v>
      </c>
      <c r="BB207" s="6"/>
      <c r="BC207" s="6"/>
      <c r="BD207" t="s">
        <v>934</v>
      </c>
      <c r="BF207" s="5">
        <v>0.14028905999999999</v>
      </c>
      <c r="BG207" s="5">
        <f t="shared" si="9"/>
        <v>-1.9508949292242922E-2</v>
      </c>
      <c r="BH207" s="2">
        <v>438.60674999999998</v>
      </c>
    </row>
    <row r="208" spans="1:60" x14ac:dyDescent="0.2">
      <c r="A208" t="str">
        <f t="shared" si="8"/>
        <v>Motorbike, electric, &gt;35kW - 2030 - LFP - CH</v>
      </c>
      <c r="B208" t="s">
        <v>270</v>
      </c>
      <c r="D208" s="18">
        <v>2030</v>
      </c>
      <c r="E208" t="s">
        <v>37</v>
      </c>
      <c r="F208" t="s">
        <v>138</v>
      </c>
      <c r="G208" t="s">
        <v>39</v>
      </c>
      <c r="H208" t="s">
        <v>32</v>
      </c>
      <c r="I208" t="s">
        <v>44</v>
      </c>
      <c r="J208" t="s">
        <v>138</v>
      </c>
      <c r="L208" s="24">
        <v>0</v>
      </c>
      <c r="M208" s="24">
        <v>0</v>
      </c>
      <c r="N208" s="24">
        <v>8.710249309141712E-3</v>
      </c>
      <c r="O208" s="24">
        <v>1.2306591692257861E-2</v>
      </c>
      <c r="P208" s="24">
        <v>6.0030762336561044E-3</v>
      </c>
      <c r="Q208" s="24">
        <v>0.14397240586620499</v>
      </c>
      <c r="R208" s="24">
        <v>0.17099232310126067</v>
      </c>
      <c r="S208" s="26">
        <v>0</v>
      </c>
      <c r="T208" s="26">
        <v>0</v>
      </c>
      <c r="U208" s="26">
        <v>9.2192268862119461E-4</v>
      </c>
      <c r="V208" s="26">
        <v>4.722191823356421E-4</v>
      </c>
      <c r="W208" s="26">
        <v>4.0626587816345781E-4</v>
      </c>
      <c r="X208" s="26">
        <v>9.2628351819699223E-2</v>
      </c>
      <c r="Y208" s="26">
        <v>9.442875956881952E-2</v>
      </c>
      <c r="Z208" s="28">
        <v>0</v>
      </c>
      <c r="AA208" s="28">
        <v>3.1271735442865911E-3</v>
      </c>
      <c r="AB208" s="28">
        <v>2.7017903449822622E-4</v>
      </c>
      <c r="AC208" s="28">
        <v>1.5438989133449149E-4</v>
      </c>
      <c r="AD208" s="28">
        <v>1.8199484495086659E-4</v>
      </c>
      <c r="AE208" s="28">
        <v>1.2524604404161629E-2</v>
      </c>
      <c r="AF208" s="28">
        <v>1.6258341719231805E-2</v>
      </c>
      <c r="AG208" s="30">
        <v>0</v>
      </c>
      <c r="AH208" s="30">
        <v>1.6491053126472278E-5</v>
      </c>
      <c r="AI208" s="30">
        <v>6.1733084103202476E-4</v>
      </c>
      <c r="AJ208" s="30">
        <v>3.7507357872791961E-4</v>
      </c>
      <c r="AK208" s="30">
        <v>2.283870303514982E-4</v>
      </c>
      <c r="AL208" s="30">
        <v>4.1143357581012688E-2</v>
      </c>
      <c r="AM208" s="30">
        <v>4.2380640084250604E-2</v>
      </c>
      <c r="AN208" s="32">
        <v>0</v>
      </c>
      <c r="AO208" s="32">
        <v>1.179775095002105E-5</v>
      </c>
      <c r="AP208" s="32">
        <v>7.7839370096780042E-7</v>
      </c>
      <c r="AQ208" s="32">
        <v>7.4641524221169363E-7</v>
      </c>
      <c r="AR208" s="32">
        <v>9.2346107110696084E-7</v>
      </c>
      <c r="AS208" s="32">
        <v>2.4470014700998951E-5</v>
      </c>
      <c r="AT208" s="32">
        <v>3.8716035665306456E-5</v>
      </c>
      <c r="AU208" s="34">
        <v>0</v>
      </c>
      <c r="AV208" s="34">
        <v>0</v>
      </c>
      <c r="AW208" s="34">
        <v>0.40732878378771509</v>
      </c>
      <c r="AX208" s="34">
        <v>0.17647448414364728</v>
      </c>
      <c r="AY208" s="34">
        <v>0.20712548243547596</v>
      </c>
      <c r="AZ208" s="34">
        <v>1.9428459549765458</v>
      </c>
      <c r="BA208" s="34">
        <v>2.7337747053433841</v>
      </c>
      <c r="BB208" s="6"/>
      <c r="BC208" s="6"/>
      <c r="BD208" t="s">
        <v>712</v>
      </c>
      <c r="BF208" s="5">
        <v>0.14800218000000001</v>
      </c>
      <c r="BG208" s="5">
        <f t="shared" si="9"/>
        <v>-2.2990143101260657E-2</v>
      </c>
      <c r="BH208" s="2">
        <v>466.27882</v>
      </c>
    </row>
    <row r="209" spans="1:60" x14ac:dyDescent="0.2">
      <c r="A209" t="str">
        <f t="shared" si="8"/>
        <v>Motorbike, electric, &gt;35kW - 2040 - LFP - CH</v>
      </c>
      <c r="B209" t="s">
        <v>270</v>
      </c>
      <c r="D209" s="18">
        <v>2040</v>
      </c>
      <c r="E209" t="s">
        <v>37</v>
      </c>
      <c r="F209" t="s">
        <v>138</v>
      </c>
      <c r="G209" t="s">
        <v>39</v>
      </c>
      <c r="H209" t="s">
        <v>32</v>
      </c>
      <c r="I209" t="s">
        <v>44</v>
      </c>
      <c r="J209" t="s">
        <v>138</v>
      </c>
      <c r="L209" s="24">
        <v>0</v>
      </c>
      <c r="M209" s="24">
        <v>0</v>
      </c>
      <c r="N209" s="24">
        <v>8.710249309141712E-3</v>
      </c>
      <c r="O209" s="24">
        <v>1.2306591692257861E-2</v>
      </c>
      <c r="P209" s="24">
        <v>6.1113257014817129E-3</v>
      </c>
      <c r="Q209" s="24">
        <v>0.13253405494445991</v>
      </c>
      <c r="R209" s="24">
        <v>0.1596622216473412</v>
      </c>
      <c r="S209" s="26">
        <v>0</v>
      </c>
      <c r="T209" s="26">
        <v>0</v>
      </c>
      <c r="U209" s="26">
        <v>9.2192268862119461E-4</v>
      </c>
      <c r="V209" s="26">
        <v>4.722191823356421E-4</v>
      </c>
      <c r="W209" s="26">
        <v>4.131059066247207E-4</v>
      </c>
      <c r="X209" s="26">
        <v>8.3865754159344025E-2</v>
      </c>
      <c r="Y209" s="26">
        <v>8.5673001936925577E-2</v>
      </c>
      <c r="Z209" s="28">
        <v>0</v>
      </c>
      <c r="AA209" s="28">
        <v>3.1271735442865911E-3</v>
      </c>
      <c r="AB209" s="28">
        <v>2.7017903449822622E-4</v>
      </c>
      <c r="AC209" s="28">
        <v>1.5438989133449149E-4</v>
      </c>
      <c r="AD209" s="28">
        <v>1.851040882246605E-4</v>
      </c>
      <c r="AE209" s="28">
        <v>1.1325664435950089E-2</v>
      </c>
      <c r="AF209" s="28">
        <v>1.5062510994294058E-2</v>
      </c>
      <c r="AG209" s="30">
        <v>0</v>
      </c>
      <c r="AH209" s="30">
        <v>1.6491053126472278E-5</v>
      </c>
      <c r="AI209" s="30">
        <v>6.1733084103202476E-4</v>
      </c>
      <c r="AJ209" s="30">
        <v>3.7507357872791961E-4</v>
      </c>
      <c r="AK209" s="30">
        <v>2.3128880768691969E-4</v>
      </c>
      <c r="AL209" s="30">
        <v>3.7276927745773153E-2</v>
      </c>
      <c r="AM209" s="30">
        <v>3.8517112026346487E-2</v>
      </c>
      <c r="AN209" s="32">
        <v>0</v>
      </c>
      <c r="AO209" s="32">
        <v>1.179775095002105E-5</v>
      </c>
      <c r="AP209" s="32">
        <v>7.7839370096780042E-7</v>
      </c>
      <c r="AQ209" s="32">
        <v>7.4641524221169363E-7</v>
      </c>
      <c r="AR209" s="32">
        <v>9.3491877850980613E-7</v>
      </c>
      <c r="AS209" s="32">
        <v>2.2426039524605921E-5</v>
      </c>
      <c r="AT209" s="32">
        <v>3.6683518196316268E-5</v>
      </c>
      <c r="AU209" s="34">
        <v>0</v>
      </c>
      <c r="AV209" s="34">
        <v>0</v>
      </c>
      <c r="AW209" s="34">
        <v>0.40732878378771509</v>
      </c>
      <c r="AX209" s="34">
        <v>0.17647448414364728</v>
      </c>
      <c r="AY209" s="34">
        <v>0.21067166445540664</v>
      </c>
      <c r="AZ209" s="34">
        <v>1.7835099942552901</v>
      </c>
      <c r="BA209" s="34">
        <v>2.5779849266420589</v>
      </c>
      <c r="BB209" s="6"/>
      <c r="BC209" s="6"/>
      <c r="BD209" t="s">
        <v>713</v>
      </c>
      <c r="BF209" s="5">
        <v>0.13923536</v>
      </c>
      <c r="BG209" s="5">
        <f t="shared" si="9"/>
        <v>-2.0426861647341199E-2</v>
      </c>
      <c r="BH209" s="2">
        <v>423.48725999999999</v>
      </c>
    </row>
    <row r="210" spans="1:60" x14ac:dyDescent="0.2">
      <c r="A210" t="str">
        <f t="shared" si="8"/>
        <v>Motorbike, electric, &gt;35kW - 2050 - LFP - CH</v>
      </c>
      <c r="B210" t="s">
        <v>270</v>
      </c>
      <c r="D210" s="18">
        <v>2050</v>
      </c>
      <c r="E210" t="s">
        <v>37</v>
      </c>
      <c r="F210" t="s">
        <v>138</v>
      </c>
      <c r="G210" t="s">
        <v>39</v>
      </c>
      <c r="H210" t="s">
        <v>32</v>
      </c>
      <c r="I210" t="s">
        <v>44</v>
      </c>
      <c r="J210" t="s">
        <v>138</v>
      </c>
      <c r="L210" s="24">
        <v>0</v>
      </c>
      <c r="M210" s="24">
        <v>0</v>
      </c>
      <c r="N210" s="24">
        <v>8.710249309141712E-3</v>
      </c>
      <c r="O210" s="24">
        <v>1.9936678541457739E-2</v>
      </c>
      <c r="P210" s="24">
        <v>6.0371109345718366E-3</v>
      </c>
      <c r="Q210" s="24">
        <v>0.21631706785528021</v>
      </c>
      <c r="R210" s="24">
        <v>0.2510011066404515</v>
      </c>
      <c r="S210" s="26">
        <v>0</v>
      </c>
      <c r="T210" s="26">
        <v>0</v>
      </c>
      <c r="U210" s="26">
        <v>9.2192268862119461E-4</v>
      </c>
      <c r="V210" s="26">
        <v>7.6499507538374024E-4</v>
      </c>
      <c r="W210" s="26">
        <v>4.0841645061069821E-4</v>
      </c>
      <c r="X210" s="26">
        <v>0.14135138537870459</v>
      </c>
      <c r="Y210" s="26">
        <v>0.14344671959332023</v>
      </c>
      <c r="Z210" s="28">
        <v>0</v>
      </c>
      <c r="AA210" s="28">
        <v>3.1271735442865911E-3</v>
      </c>
      <c r="AB210" s="28">
        <v>2.7017903449822622E-4</v>
      </c>
      <c r="AC210" s="28">
        <v>2.5011162396187633E-4</v>
      </c>
      <c r="AD210" s="28">
        <v>1.8297242171889569E-4</v>
      </c>
      <c r="AE210" s="28">
        <v>1.9587163637120739E-2</v>
      </c>
      <c r="AF210" s="28">
        <v>2.3417600261586329E-2</v>
      </c>
      <c r="AG210" s="30">
        <v>0</v>
      </c>
      <c r="AH210" s="30">
        <v>1.6491053126472278E-5</v>
      </c>
      <c r="AI210" s="30">
        <v>6.1733084103202476E-4</v>
      </c>
      <c r="AJ210" s="30">
        <v>6.0761919753922976E-4</v>
      </c>
      <c r="AK210" s="30">
        <v>2.2929937778118001E-4</v>
      </c>
      <c r="AL210" s="30">
        <v>6.3764916319348358E-2</v>
      </c>
      <c r="AM210" s="30">
        <v>6.523565678882727E-2</v>
      </c>
      <c r="AN210" s="32">
        <v>0</v>
      </c>
      <c r="AO210" s="32">
        <v>1.179775095002105E-5</v>
      </c>
      <c r="AP210" s="32">
        <v>7.7839370096780042E-7</v>
      </c>
      <c r="AQ210" s="32">
        <v>1.209192692382944E-6</v>
      </c>
      <c r="AR210" s="32">
        <v>9.2706348738178315E-7</v>
      </c>
      <c r="AS210" s="32">
        <v>3.6122450707167833E-5</v>
      </c>
      <c r="AT210" s="32">
        <v>5.0834851537921408E-5</v>
      </c>
      <c r="AU210" s="34">
        <v>0</v>
      </c>
      <c r="AV210" s="34">
        <v>0</v>
      </c>
      <c r="AW210" s="34">
        <v>0.40732878378771509</v>
      </c>
      <c r="AX210" s="34">
        <v>0.28588866431270848</v>
      </c>
      <c r="AY210" s="34">
        <v>0.20824043705710535</v>
      </c>
      <c r="AZ210" s="34">
        <v>2.9183852236892727</v>
      </c>
      <c r="BA210" s="34">
        <v>3.8198431088468014</v>
      </c>
      <c r="BB210" s="6"/>
      <c r="BC210" s="6"/>
      <c r="BD210" t="s">
        <v>714</v>
      </c>
      <c r="BF210" s="5">
        <v>0.20685503</v>
      </c>
      <c r="BG210" s="5">
        <f t="shared" si="9"/>
        <v>-4.4146076640451504E-2</v>
      </c>
      <c r="BH210" s="2">
        <v>707.16159000000005</v>
      </c>
    </row>
    <row r="211" spans="1:60" x14ac:dyDescent="0.2">
      <c r="A211" t="str">
        <f t="shared" si="8"/>
        <v>Motorbike, electric, &lt;4kW - 2020 - NCA - CH</v>
      </c>
      <c r="B211" t="s">
        <v>267</v>
      </c>
      <c r="D211" s="18">
        <v>2020</v>
      </c>
      <c r="E211" t="s">
        <v>37</v>
      </c>
      <c r="F211" t="s">
        <v>138</v>
      </c>
      <c r="G211" t="s">
        <v>39</v>
      </c>
      <c r="H211" t="s">
        <v>32</v>
      </c>
      <c r="I211" t="s">
        <v>45</v>
      </c>
      <c r="J211" t="s">
        <v>138</v>
      </c>
      <c r="L211" s="24">
        <v>0</v>
      </c>
      <c r="M211" s="24">
        <v>0</v>
      </c>
      <c r="N211" s="24">
        <v>3.836250793656903E-3</v>
      </c>
      <c r="O211" s="24">
        <v>1.2306591692257861E-2</v>
      </c>
      <c r="P211" s="24">
        <v>4.425905066110937E-3</v>
      </c>
      <c r="Q211" s="24">
        <v>3.3902437426259507E-2</v>
      </c>
      <c r="R211" s="24">
        <v>5.4471184978285209E-2</v>
      </c>
      <c r="S211" s="26">
        <v>0</v>
      </c>
      <c r="T211" s="26">
        <v>0</v>
      </c>
      <c r="U211" s="26">
        <v>4.0604195360992079E-4</v>
      </c>
      <c r="V211" s="26">
        <v>4.722191823356421E-4</v>
      </c>
      <c r="W211" s="26">
        <v>3.0660815336363168E-4</v>
      </c>
      <c r="X211" s="26">
        <v>2.47414493231328E-2</v>
      </c>
      <c r="Y211" s="26">
        <v>2.5926318612441997E-2</v>
      </c>
      <c r="Z211" s="28">
        <v>0</v>
      </c>
      <c r="AA211" s="28">
        <v>3.1271735442865911E-3</v>
      </c>
      <c r="AB211" s="28">
        <v>1.1899481848762461E-4</v>
      </c>
      <c r="AC211" s="28">
        <v>1.5438989133449149E-4</v>
      </c>
      <c r="AD211" s="28">
        <v>1.3669384770059349E-4</v>
      </c>
      <c r="AE211" s="28">
        <v>2.475333254355087E-3</v>
      </c>
      <c r="AF211" s="28">
        <v>6.0125853561643879E-3</v>
      </c>
      <c r="AG211" s="30">
        <v>0</v>
      </c>
      <c r="AH211" s="30">
        <v>1.6491053126472278E-5</v>
      </c>
      <c r="AI211" s="30">
        <v>2.7189071687907281E-4</v>
      </c>
      <c r="AJ211" s="30">
        <v>3.7507357872791961E-4</v>
      </c>
      <c r="AK211" s="30">
        <v>1.8610876663351179E-4</v>
      </c>
      <c r="AL211" s="30">
        <v>8.5929110963679396E-3</v>
      </c>
      <c r="AM211" s="30">
        <v>9.4424752117349166E-3</v>
      </c>
      <c r="AN211" s="32">
        <v>0</v>
      </c>
      <c r="AO211" s="32">
        <v>1.179775095002105E-5</v>
      </c>
      <c r="AP211" s="32">
        <v>3.4282755259154613E-7</v>
      </c>
      <c r="AQ211" s="32">
        <v>7.4641524221169363E-7</v>
      </c>
      <c r="AR211" s="32">
        <v>7.5652476994150374E-7</v>
      </c>
      <c r="AS211" s="32">
        <v>7.2500144535867421E-6</v>
      </c>
      <c r="AT211" s="32">
        <v>2.0893532968352534E-5</v>
      </c>
      <c r="AU211" s="34">
        <v>0</v>
      </c>
      <c r="AV211" s="34">
        <v>0</v>
      </c>
      <c r="AW211" s="34">
        <v>0.17939961470963908</v>
      </c>
      <c r="AX211" s="34">
        <v>0.17647448414364728</v>
      </c>
      <c r="AY211" s="34">
        <v>0.15545838282707702</v>
      </c>
      <c r="AZ211" s="34">
        <v>0.47060080427472312</v>
      </c>
      <c r="BA211" s="34">
        <v>0.98193328595508644</v>
      </c>
      <c r="BB211" s="6"/>
      <c r="BC211" s="6"/>
      <c r="BD211" t="s">
        <v>935</v>
      </c>
      <c r="BF211" s="5">
        <v>5.7712445000000001E-2</v>
      </c>
      <c r="BG211" s="5">
        <f t="shared" si="9"/>
        <v>3.2412600217147924E-3</v>
      </c>
      <c r="BH211" s="2">
        <v>126.37596000000001</v>
      </c>
    </row>
    <row r="212" spans="1:60" x14ac:dyDescent="0.2">
      <c r="A212" t="str">
        <f t="shared" si="8"/>
        <v>Motorbike, electric, &lt;4kW - 2030 - NCA - CH</v>
      </c>
      <c r="B212" t="s">
        <v>267</v>
      </c>
      <c r="D212" s="18">
        <v>2030</v>
      </c>
      <c r="E212" t="s">
        <v>37</v>
      </c>
      <c r="F212" t="s">
        <v>138</v>
      </c>
      <c r="G212" t="s">
        <v>39</v>
      </c>
      <c r="H212" t="s">
        <v>32</v>
      </c>
      <c r="I212" t="s">
        <v>45</v>
      </c>
      <c r="J212" t="s">
        <v>138</v>
      </c>
      <c r="L212" s="24">
        <v>0</v>
      </c>
      <c r="M212" s="24">
        <v>0</v>
      </c>
      <c r="N212" s="24">
        <v>3.836250793656903E-3</v>
      </c>
      <c r="O212" s="24">
        <v>1.2306591692257861E-2</v>
      </c>
      <c r="P212" s="24">
        <v>4.4354770577290396E-3</v>
      </c>
      <c r="Q212" s="24">
        <v>3.6309068769588608E-2</v>
      </c>
      <c r="R212" s="24">
        <v>5.6887388313232409E-2</v>
      </c>
      <c r="S212" s="26">
        <v>0</v>
      </c>
      <c r="T212" s="26">
        <v>0</v>
      </c>
      <c r="U212" s="26">
        <v>4.0604195360992079E-4</v>
      </c>
      <c r="V212" s="26">
        <v>4.722191823356421E-4</v>
      </c>
      <c r="W212" s="26">
        <v>3.0721298492921762E-4</v>
      </c>
      <c r="X212" s="26">
        <v>2.5348429635311379E-2</v>
      </c>
      <c r="Y212" s="26">
        <v>2.653390375618616E-2</v>
      </c>
      <c r="Z212" s="28">
        <v>0</v>
      </c>
      <c r="AA212" s="28">
        <v>3.1271735442865911E-3</v>
      </c>
      <c r="AB212" s="28">
        <v>1.1899481848762461E-4</v>
      </c>
      <c r="AC212" s="28">
        <v>1.5438989133449149E-4</v>
      </c>
      <c r="AD212" s="28">
        <v>1.3696878346843811E-4</v>
      </c>
      <c r="AE212" s="28">
        <v>2.6271210559094798E-3</v>
      </c>
      <c r="AF212" s="28">
        <v>6.1646480934866247E-3</v>
      </c>
      <c r="AG212" s="30">
        <v>0</v>
      </c>
      <c r="AH212" s="30">
        <v>1.6491053126472278E-5</v>
      </c>
      <c r="AI212" s="30">
        <v>2.7189071687907281E-4</v>
      </c>
      <c r="AJ212" s="30">
        <v>3.7507357872791961E-4</v>
      </c>
      <c r="AK212" s="30">
        <v>1.863653571636104E-4</v>
      </c>
      <c r="AL212" s="30">
        <v>9.0822750147208746E-3</v>
      </c>
      <c r="AM212" s="30">
        <v>9.9320957206179492E-3</v>
      </c>
      <c r="AN212" s="32">
        <v>0</v>
      </c>
      <c r="AO212" s="32">
        <v>1.179775095002105E-5</v>
      </c>
      <c r="AP212" s="32">
        <v>3.4282755259154613E-7</v>
      </c>
      <c r="AQ212" s="32">
        <v>7.4641524221169363E-7</v>
      </c>
      <c r="AR212" s="32">
        <v>7.5753792115070333E-7</v>
      </c>
      <c r="AS212" s="32">
        <v>7.4121647405551788E-6</v>
      </c>
      <c r="AT212" s="32">
        <v>2.1056696406530173E-5</v>
      </c>
      <c r="AU212" s="34">
        <v>0</v>
      </c>
      <c r="AV212" s="34">
        <v>0</v>
      </c>
      <c r="AW212" s="34">
        <v>0.17939961470963908</v>
      </c>
      <c r="AX212" s="34">
        <v>0.17647448414364728</v>
      </c>
      <c r="AY212" s="34">
        <v>0.15577195503443175</v>
      </c>
      <c r="AZ212" s="34">
        <v>0.49726894951311434</v>
      </c>
      <c r="BA212" s="34">
        <v>1.0089150034008325</v>
      </c>
      <c r="BB212" s="6"/>
      <c r="BC212" s="6"/>
      <c r="BD212" t="s">
        <v>715</v>
      </c>
      <c r="BF212" s="5">
        <v>5.8793456000000001E-2</v>
      </c>
      <c r="BG212" s="5">
        <f t="shared" si="9"/>
        <v>1.9060676867675916E-3</v>
      </c>
      <c r="BH212" s="2">
        <v>127.93600000000001</v>
      </c>
    </row>
    <row r="213" spans="1:60" x14ac:dyDescent="0.2">
      <c r="A213" t="str">
        <f t="shared" si="8"/>
        <v>Motorbike, electric, &lt;4kW - 2040 - NCA - CH</v>
      </c>
      <c r="B213" t="s">
        <v>267</v>
      </c>
      <c r="D213" s="18">
        <v>2040</v>
      </c>
      <c r="E213" t="s">
        <v>37</v>
      </c>
      <c r="F213" t="s">
        <v>138</v>
      </c>
      <c r="G213" t="s">
        <v>39</v>
      </c>
      <c r="H213" t="s">
        <v>32</v>
      </c>
      <c r="I213" t="s">
        <v>45</v>
      </c>
      <c r="J213" t="s">
        <v>138</v>
      </c>
      <c r="L213" s="24">
        <v>0</v>
      </c>
      <c r="M213" s="24">
        <v>0</v>
      </c>
      <c r="N213" s="24">
        <v>3.836250793656903E-3</v>
      </c>
      <c r="O213" s="24">
        <v>1.2306591692257861E-2</v>
      </c>
      <c r="P213" s="24">
        <v>4.434103834174483E-3</v>
      </c>
      <c r="Q213" s="24">
        <v>3.6426180899513397E-2</v>
      </c>
      <c r="R213" s="24">
        <v>5.7003127219602642E-2</v>
      </c>
      <c r="S213" s="26">
        <v>0</v>
      </c>
      <c r="T213" s="26">
        <v>0</v>
      </c>
      <c r="U213" s="26">
        <v>4.0604195360992079E-4</v>
      </c>
      <c r="V213" s="26">
        <v>4.722191823356421E-4</v>
      </c>
      <c r="W213" s="26">
        <v>3.0712621417287557E-4</v>
      </c>
      <c r="X213" s="26">
        <v>2.436109907006942E-2</v>
      </c>
      <c r="Y213" s="26">
        <v>2.5546486420187857E-2</v>
      </c>
      <c r="Z213" s="28">
        <v>0</v>
      </c>
      <c r="AA213" s="28">
        <v>3.1271735442865911E-3</v>
      </c>
      <c r="AB213" s="28">
        <v>1.1899481848762461E-4</v>
      </c>
      <c r="AC213" s="28">
        <v>1.5438989133449149E-4</v>
      </c>
      <c r="AD213" s="28">
        <v>1.3692934044681231E-4</v>
      </c>
      <c r="AE213" s="28">
        <v>2.5549809065749198E-3</v>
      </c>
      <c r="AF213" s="28">
        <v>6.0924685011304394E-3</v>
      </c>
      <c r="AG213" s="30">
        <v>0</v>
      </c>
      <c r="AH213" s="30">
        <v>1.6491053126472278E-5</v>
      </c>
      <c r="AI213" s="30">
        <v>2.7189071687907281E-4</v>
      </c>
      <c r="AJ213" s="30">
        <v>3.7507357872791961E-4</v>
      </c>
      <c r="AK213" s="30">
        <v>1.8632854599892639E-4</v>
      </c>
      <c r="AL213" s="30">
        <v>8.8871934464291071E-3</v>
      </c>
      <c r="AM213" s="30">
        <v>9.7369773411614974E-3</v>
      </c>
      <c r="AN213" s="32">
        <v>0</v>
      </c>
      <c r="AO213" s="32">
        <v>1.179775095002105E-5</v>
      </c>
      <c r="AP213" s="32">
        <v>3.4282755259154613E-7</v>
      </c>
      <c r="AQ213" s="32">
        <v>7.4641524221169363E-7</v>
      </c>
      <c r="AR213" s="32">
        <v>7.5739257176467052E-7</v>
      </c>
      <c r="AS213" s="32">
        <v>7.1665713461865727E-6</v>
      </c>
      <c r="AT213" s="32">
        <v>2.0810957662775533E-5</v>
      </c>
      <c r="AU213" s="34">
        <v>0</v>
      </c>
      <c r="AV213" s="34">
        <v>0</v>
      </c>
      <c r="AW213" s="34">
        <v>0.17939961470963908</v>
      </c>
      <c r="AX213" s="34">
        <v>0.17647448414364728</v>
      </c>
      <c r="AY213" s="34">
        <v>0.15572696912571241</v>
      </c>
      <c r="AZ213" s="34">
        <v>0.4937996919474914</v>
      </c>
      <c r="BA213" s="34">
        <v>1.00540075992649</v>
      </c>
      <c r="BB213" s="6"/>
      <c r="BC213" s="6"/>
      <c r="BD213" t="s">
        <v>716</v>
      </c>
      <c r="BF213" s="5">
        <v>5.8287747000000001E-2</v>
      </c>
      <c r="BG213" s="5">
        <f t="shared" si="9"/>
        <v>1.2846197803973586E-3</v>
      </c>
      <c r="BH213" s="2">
        <v>122.69869</v>
      </c>
    </row>
    <row r="214" spans="1:60" x14ac:dyDescent="0.2">
      <c r="A214" t="str">
        <f t="shared" si="8"/>
        <v>Motorbike, electric, &lt;4kW - 2050 - NCA - CH</v>
      </c>
      <c r="B214" t="s">
        <v>267</v>
      </c>
      <c r="D214" s="18">
        <v>2050</v>
      </c>
      <c r="E214" t="s">
        <v>37</v>
      </c>
      <c r="F214" t="s">
        <v>138</v>
      </c>
      <c r="G214" t="s">
        <v>39</v>
      </c>
      <c r="H214" t="s">
        <v>32</v>
      </c>
      <c r="I214" t="s">
        <v>45</v>
      </c>
      <c r="J214" t="s">
        <v>138</v>
      </c>
      <c r="L214" s="24">
        <v>0</v>
      </c>
      <c r="M214" s="24">
        <v>0</v>
      </c>
      <c r="N214" s="24">
        <v>3.836250793656903E-3</v>
      </c>
      <c r="O214" s="24">
        <v>1.2306591692257861E-2</v>
      </c>
      <c r="P214" s="24">
        <v>4.433716903780657E-3</v>
      </c>
      <c r="Q214" s="24">
        <v>3.6461117411092113E-2</v>
      </c>
      <c r="R214" s="24">
        <v>5.7037676800787536E-2</v>
      </c>
      <c r="S214" s="26">
        <v>0</v>
      </c>
      <c r="T214" s="26">
        <v>0</v>
      </c>
      <c r="U214" s="26">
        <v>4.0604195360992079E-4</v>
      </c>
      <c r="V214" s="26">
        <v>4.722191823356421E-4</v>
      </c>
      <c r="W214" s="26">
        <v>3.0710176495423781E-4</v>
      </c>
      <c r="X214" s="26">
        <v>2.3293633872741179E-2</v>
      </c>
      <c r="Y214" s="26">
        <v>2.4478996773640981E-2</v>
      </c>
      <c r="Z214" s="28">
        <v>0</v>
      </c>
      <c r="AA214" s="28">
        <v>3.1271735442865911E-3</v>
      </c>
      <c r="AB214" s="28">
        <v>1.1899481848762461E-4</v>
      </c>
      <c r="AC214" s="28">
        <v>1.5438989133449149E-4</v>
      </c>
      <c r="AD214" s="28">
        <v>1.3691822666723821E-4</v>
      </c>
      <c r="AE214" s="28">
        <v>2.473099587364041E-3</v>
      </c>
      <c r="AF214" s="28">
        <v>6.0105760681399868E-3</v>
      </c>
      <c r="AG214" s="30">
        <v>0</v>
      </c>
      <c r="AH214" s="30">
        <v>1.6491053126472278E-5</v>
      </c>
      <c r="AI214" s="30">
        <v>2.7189071687907281E-4</v>
      </c>
      <c r="AJ214" s="30">
        <v>3.7507357872791961E-4</v>
      </c>
      <c r="AK214" s="30">
        <v>1.8631817379230269E-4</v>
      </c>
      <c r="AL214" s="30">
        <v>8.6620954539759192E-3</v>
      </c>
      <c r="AM214" s="30">
        <v>9.5118689765016865E-3</v>
      </c>
      <c r="AN214" s="32">
        <v>0</v>
      </c>
      <c r="AO214" s="32">
        <v>1.179775095002105E-5</v>
      </c>
      <c r="AP214" s="32">
        <v>3.4282755259154613E-7</v>
      </c>
      <c r="AQ214" s="32">
        <v>7.4641524221169363E-7</v>
      </c>
      <c r="AR214" s="32">
        <v>7.5735161696529122E-7</v>
      </c>
      <c r="AS214" s="32">
        <v>6.9015097879473733E-6</v>
      </c>
      <c r="AT214" s="32">
        <v>2.0545855149736956E-5</v>
      </c>
      <c r="AU214" s="34">
        <v>0</v>
      </c>
      <c r="AV214" s="34">
        <v>0</v>
      </c>
      <c r="AW214" s="34">
        <v>0.17939961470963908</v>
      </c>
      <c r="AX214" s="34">
        <v>0.17647448414364728</v>
      </c>
      <c r="AY214" s="34">
        <v>0.15571429353817273</v>
      </c>
      <c r="AZ214" s="34">
        <v>0.48915861261981258</v>
      </c>
      <c r="BA214" s="34">
        <v>1.0007470050112717</v>
      </c>
      <c r="BB214" s="6"/>
      <c r="BC214" s="6"/>
      <c r="BD214" t="s">
        <v>717</v>
      </c>
      <c r="BF214" s="5">
        <v>5.7721350999999997E-2</v>
      </c>
      <c r="BG214" s="5">
        <f t="shared" si="9"/>
        <v>6.836741992124612E-4</v>
      </c>
      <c r="BH214" s="2">
        <v>117.12768</v>
      </c>
    </row>
    <row r="215" spans="1:60" x14ac:dyDescent="0.2">
      <c r="A215" t="str">
        <f t="shared" si="8"/>
        <v>Motorbike, electric, 4-11kW - 2020 - NCA - CH</v>
      </c>
      <c r="B215" t="s">
        <v>268</v>
      </c>
      <c r="D215" s="18">
        <v>2020</v>
      </c>
      <c r="E215" t="s">
        <v>37</v>
      </c>
      <c r="F215" t="s">
        <v>138</v>
      </c>
      <c r="G215" t="s">
        <v>39</v>
      </c>
      <c r="H215" t="s">
        <v>32</v>
      </c>
      <c r="I215" t="s">
        <v>45</v>
      </c>
      <c r="J215" t="s">
        <v>138</v>
      </c>
      <c r="L215" s="24">
        <v>0</v>
      </c>
      <c r="M215" s="24">
        <v>0</v>
      </c>
      <c r="N215" s="24">
        <v>5.7702284664922004E-3</v>
      </c>
      <c r="O215" s="24">
        <v>1.2306591692257861E-2</v>
      </c>
      <c r="P215" s="24">
        <v>4.5508663683950347E-3</v>
      </c>
      <c r="Q215" s="24">
        <v>4.8553261164789127E-2</v>
      </c>
      <c r="R215" s="24">
        <v>7.1180947691934227E-2</v>
      </c>
      <c r="S215" s="26">
        <v>0</v>
      </c>
      <c r="T215" s="26">
        <v>0</v>
      </c>
      <c r="U215" s="26">
        <v>6.1074078972731883E-4</v>
      </c>
      <c r="V215" s="26">
        <v>4.722191823356421E-4</v>
      </c>
      <c r="W215" s="26">
        <v>3.1450416321336791E-4</v>
      </c>
      <c r="X215" s="26">
        <v>3.6431725005103548E-2</v>
      </c>
      <c r="Y215" s="26">
        <v>3.7829189140379874E-2</v>
      </c>
      <c r="Z215" s="28">
        <v>0</v>
      </c>
      <c r="AA215" s="28">
        <v>3.1271735442865911E-3</v>
      </c>
      <c r="AB215" s="28">
        <v>1.789839418574189E-4</v>
      </c>
      <c r="AC215" s="28">
        <v>1.5438989133449149E-4</v>
      </c>
      <c r="AD215" s="28">
        <v>1.402831040398236E-4</v>
      </c>
      <c r="AE215" s="28">
        <v>3.6952673073236482E-3</v>
      </c>
      <c r="AF215" s="28">
        <v>7.296097788841974E-3</v>
      </c>
      <c r="AG215" s="30">
        <v>0</v>
      </c>
      <c r="AH215" s="30">
        <v>1.6491053126472278E-5</v>
      </c>
      <c r="AI215" s="30">
        <v>4.0895959067761362E-4</v>
      </c>
      <c r="AJ215" s="30">
        <v>3.7507357872791961E-4</v>
      </c>
      <c r="AK215" s="30">
        <v>1.8945852790307221E-4</v>
      </c>
      <c r="AL215" s="30">
        <v>1.2809763384019179E-2</v>
      </c>
      <c r="AM215" s="30">
        <v>1.3799746134454257E-2</v>
      </c>
      <c r="AN215" s="32">
        <v>0</v>
      </c>
      <c r="AO215" s="32">
        <v>1.179775095002105E-5</v>
      </c>
      <c r="AP215" s="32">
        <v>5.1565797166662308E-7</v>
      </c>
      <c r="AQ215" s="32">
        <v>7.4641524221169363E-7</v>
      </c>
      <c r="AR215" s="32">
        <v>7.6975134802091085E-7</v>
      </c>
      <c r="AS215" s="32">
        <v>1.0363650731582819E-5</v>
      </c>
      <c r="AT215" s="32">
        <v>2.4193226243503096E-5</v>
      </c>
      <c r="AU215" s="34">
        <v>0</v>
      </c>
      <c r="AV215" s="34">
        <v>0</v>
      </c>
      <c r="AW215" s="34">
        <v>0.2698407427863993</v>
      </c>
      <c r="AX215" s="34">
        <v>0.17647448414364728</v>
      </c>
      <c r="AY215" s="34">
        <v>0.15955203365278733</v>
      </c>
      <c r="AZ215" s="34">
        <v>0.67437606148485696</v>
      </c>
      <c r="BA215" s="34">
        <v>1.2802433220676908</v>
      </c>
      <c r="BB215" s="6"/>
      <c r="BC215" s="6"/>
      <c r="BD215" t="s">
        <v>936</v>
      </c>
      <c r="BF215" s="5">
        <v>7.3185236000000001E-2</v>
      </c>
      <c r="BG215" s="5">
        <f t="shared" si="9"/>
        <v>2.0042883080657742E-3</v>
      </c>
      <c r="BH215" s="2">
        <v>171.11628999999999</v>
      </c>
    </row>
    <row r="216" spans="1:60" x14ac:dyDescent="0.2">
      <c r="A216" t="str">
        <f t="shared" si="8"/>
        <v>Motorbike, electric, 4-11kW - 2030 - NCA - CH</v>
      </c>
      <c r="B216" t="s">
        <v>268</v>
      </c>
      <c r="D216" s="18">
        <v>2030</v>
      </c>
      <c r="E216" t="s">
        <v>37</v>
      </c>
      <c r="F216" t="s">
        <v>138</v>
      </c>
      <c r="G216" t="s">
        <v>39</v>
      </c>
      <c r="H216" t="s">
        <v>32</v>
      </c>
      <c r="I216" t="s">
        <v>45</v>
      </c>
      <c r="J216" t="s">
        <v>138</v>
      </c>
      <c r="L216" s="24">
        <v>0</v>
      </c>
      <c r="M216" s="24">
        <v>0</v>
      </c>
      <c r="N216" s="24">
        <v>5.7702284664922004E-3</v>
      </c>
      <c r="O216" s="24">
        <v>1.2306591692257861E-2</v>
      </c>
      <c r="P216" s="24">
        <v>4.5659445792955522E-3</v>
      </c>
      <c r="Q216" s="24">
        <v>5.1094737487802327E-2</v>
      </c>
      <c r="R216" s="24">
        <v>7.3737502225847934E-2</v>
      </c>
      <c r="S216" s="26">
        <v>0</v>
      </c>
      <c r="T216" s="26">
        <v>0</v>
      </c>
      <c r="U216" s="26">
        <v>6.1074078972731883E-4</v>
      </c>
      <c r="V216" s="26">
        <v>4.722191823356421E-4</v>
      </c>
      <c r="W216" s="26">
        <v>3.1545691978368762E-4</v>
      </c>
      <c r="X216" s="26">
        <v>3.6766350851257339E-2</v>
      </c>
      <c r="Y216" s="26">
        <v>3.816476774310399E-2</v>
      </c>
      <c r="Z216" s="28">
        <v>0</v>
      </c>
      <c r="AA216" s="28">
        <v>3.1271735442865911E-3</v>
      </c>
      <c r="AB216" s="28">
        <v>1.789839418574189E-4</v>
      </c>
      <c r="AC216" s="28">
        <v>1.5438989133449149E-4</v>
      </c>
      <c r="AD216" s="28">
        <v>1.4071619462922781E-4</v>
      </c>
      <c r="AE216" s="28">
        <v>3.831941856794318E-3</v>
      </c>
      <c r="AF216" s="28">
        <v>7.4332054289020476E-3</v>
      </c>
      <c r="AG216" s="30">
        <v>0</v>
      </c>
      <c r="AH216" s="30">
        <v>1.6491053126472278E-5</v>
      </c>
      <c r="AI216" s="30">
        <v>4.0895959067761362E-4</v>
      </c>
      <c r="AJ216" s="30">
        <v>3.7507357872791961E-4</v>
      </c>
      <c r="AK216" s="30">
        <v>1.8986272028875961E-4</v>
      </c>
      <c r="AL216" s="30">
        <v>1.325858238507989E-2</v>
      </c>
      <c r="AM216" s="30">
        <v>1.4248969327900655E-2</v>
      </c>
      <c r="AN216" s="32">
        <v>0</v>
      </c>
      <c r="AO216" s="32">
        <v>1.179775095002105E-5</v>
      </c>
      <c r="AP216" s="32">
        <v>5.1565797166662308E-7</v>
      </c>
      <c r="AQ216" s="32">
        <v>7.4641524221169363E-7</v>
      </c>
      <c r="AR216" s="32">
        <v>7.713473071708888E-7</v>
      </c>
      <c r="AS216" s="32">
        <v>1.04619302838531E-5</v>
      </c>
      <c r="AT216" s="32">
        <v>2.4293101754923355E-5</v>
      </c>
      <c r="AU216" s="34">
        <v>0</v>
      </c>
      <c r="AV216" s="34">
        <v>0</v>
      </c>
      <c r="AW216" s="34">
        <v>0.2698407427863993</v>
      </c>
      <c r="AX216" s="34">
        <v>0.17647448414364728</v>
      </c>
      <c r="AY216" s="34">
        <v>0.16004598601543801</v>
      </c>
      <c r="AZ216" s="34">
        <v>0.70116942273056115</v>
      </c>
      <c r="BA216" s="34">
        <v>1.3075306356760457</v>
      </c>
      <c r="BB216" s="6"/>
      <c r="BC216" s="6"/>
      <c r="BD216" t="s">
        <v>718</v>
      </c>
      <c r="BF216" s="5">
        <v>7.417971000000001E-2</v>
      </c>
      <c r="BG216" s="5">
        <f t="shared" si="9"/>
        <v>4.4220777415207579E-4</v>
      </c>
      <c r="BH216" s="2">
        <v>171.21178</v>
      </c>
    </row>
    <row r="217" spans="1:60" x14ac:dyDescent="0.2">
      <c r="A217" t="str">
        <f t="shared" si="8"/>
        <v>Motorbike, electric, 4-11kW - 2040 - NCA - CH</v>
      </c>
      <c r="B217" t="s">
        <v>268</v>
      </c>
      <c r="D217" s="18">
        <v>2040</v>
      </c>
      <c r="E217" t="s">
        <v>37</v>
      </c>
      <c r="F217" t="s">
        <v>138</v>
      </c>
      <c r="G217" t="s">
        <v>39</v>
      </c>
      <c r="H217" t="s">
        <v>32</v>
      </c>
      <c r="I217" t="s">
        <v>45</v>
      </c>
      <c r="J217" t="s">
        <v>138</v>
      </c>
      <c r="L217" s="24">
        <v>0</v>
      </c>
      <c r="M217" s="24">
        <v>0</v>
      </c>
      <c r="N217" s="24">
        <v>5.7702284664922004E-3</v>
      </c>
      <c r="O217" s="24">
        <v>1.2306591692257861E-2</v>
      </c>
      <c r="P217" s="24">
        <v>4.5649187894673806E-3</v>
      </c>
      <c r="Q217" s="24">
        <v>5.074490019026609E-2</v>
      </c>
      <c r="R217" s="24">
        <v>7.3386639138483534E-2</v>
      </c>
      <c r="S217" s="26">
        <v>0</v>
      </c>
      <c r="T217" s="26">
        <v>0</v>
      </c>
      <c r="U217" s="26">
        <v>6.1074078972731883E-4</v>
      </c>
      <c r="V217" s="26">
        <v>4.722191823356421E-4</v>
      </c>
      <c r="W217" s="26">
        <v>3.1539210254475888E-4</v>
      </c>
      <c r="X217" s="26">
        <v>3.5077251963654868E-2</v>
      </c>
      <c r="Y217" s="26">
        <v>3.6475604038262589E-2</v>
      </c>
      <c r="Z217" s="28">
        <v>0</v>
      </c>
      <c r="AA217" s="28">
        <v>3.1271735442865911E-3</v>
      </c>
      <c r="AB217" s="28">
        <v>1.789839418574189E-4</v>
      </c>
      <c r="AC217" s="28">
        <v>1.5438989133449149E-4</v>
      </c>
      <c r="AD217" s="28">
        <v>1.4068673092665601E-4</v>
      </c>
      <c r="AE217" s="28">
        <v>3.684879772258432E-3</v>
      </c>
      <c r="AF217" s="28">
        <v>7.2861138806635892E-3</v>
      </c>
      <c r="AG217" s="30">
        <v>0</v>
      </c>
      <c r="AH217" s="30">
        <v>1.6491053126472278E-5</v>
      </c>
      <c r="AI217" s="30">
        <v>4.0895959067761362E-4</v>
      </c>
      <c r="AJ217" s="30">
        <v>3.7507357872791961E-4</v>
      </c>
      <c r="AK217" s="30">
        <v>1.8983522256767069E-4</v>
      </c>
      <c r="AL217" s="30">
        <v>1.284164798792508E-2</v>
      </c>
      <c r="AM217" s="30">
        <v>1.3832007433024755E-2</v>
      </c>
      <c r="AN217" s="32">
        <v>0</v>
      </c>
      <c r="AO217" s="32">
        <v>1.179775095002105E-5</v>
      </c>
      <c r="AP217" s="32">
        <v>5.1565797166662308E-7</v>
      </c>
      <c r="AQ217" s="32">
        <v>7.4641524221169363E-7</v>
      </c>
      <c r="AR217" s="32">
        <v>7.7123873204397056E-7</v>
      </c>
      <c r="AS217" s="32">
        <v>1.0041312134937471E-5</v>
      </c>
      <c r="AT217" s="32">
        <v>2.3872375030880806E-5</v>
      </c>
      <c r="AU217" s="34">
        <v>0</v>
      </c>
      <c r="AV217" s="34">
        <v>0</v>
      </c>
      <c r="AW217" s="34">
        <v>0.2698407427863993</v>
      </c>
      <c r="AX217" s="34">
        <v>0.17647448414364728</v>
      </c>
      <c r="AY217" s="34">
        <v>0.16001238180917302</v>
      </c>
      <c r="AZ217" s="34">
        <v>0.68982777645569626</v>
      </c>
      <c r="BA217" s="34">
        <v>1.2961553851949157</v>
      </c>
      <c r="BB217" s="6"/>
      <c r="BC217" s="6"/>
      <c r="BD217" t="s">
        <v>719</v>
      </c>
      <c r="BF217" s="5">
        <v>7.3162528000000004E-2</v>
      </c>
      <c r="BG217" s="5">
        <f t="shared" si="9"/>
        <v>-2.2411113848352926E-4</v>
      </c>
      <c r="BH217" s="2">
        <v>162.68235000000001</v>
      </c>
    </row>
    <row r="218" spans="1:60" x14ac:dyDescent="0.2">
      <c r="A218" t="str">
        <f t="shared" si="8"/>
        <v>Motorbike, electric, 4-11kW - 2050 - NCA - CH</v>
      </c>
      <c r="B218" t="s">
        <v>268</v>
      </c>
      <c r="D218" s="18">
        <v>2050</v>
      </c>
      <c r="E218" t="s">
        <v>37</v>
      </c>
      <c r="F218" t="s">
        <v>138</v>
      </c>
      <c r="G218" t="s">
        <v>39</v>
      </c>
      <c r="H218" t="s">
        <v>32</v>
      </c>
      <c r="I218" t="s">
        <v>45</v>
      </c>
      <c r="J218" t="s">
        <v>138</v>
      </c>
      <c r="L218" s="24">
        <v>0</v>
      </c>
      <c r="M218" s="24">
        <v>0</v>
      </c>
      <c r="N218" s="24">
        <v>5.7702284664922004E-3</v>
      </c>
      <c r="O218" s="24">
        <v>1.2306591692257861E-2</v>
      </c>
      <c r="P218" s="24">
        <v>4.5678381722821411E-3</v>
      </c>
      <c r="Q218" s="24">
        <v>5.0573962850989043E-2</v>
      </c>
      <c r="R218" s="24">
        <v>7.3218621182021243E-2</v>
      </c>
      <c r="S218" s="26">
        <v>0</v>
      </c>
      <c r="T218" s="26">
        <v>0</v>
      </c>
      <c r="U218" s="26">
        <v>6.1074078972731883E-4</v>
      </c>
      <c r="V218" s="26">
        <v>4.722191823356421E-4</v>
      </c>
      <c r="W218" s="26">
        <v>3.1557657145664722E-4</v>
      </c>
      <c r="X218" s="26">
        <v>3.3548717791256621E-2</v>
      </c>
      <c r="Y218" s="26">
        <v>3.4947254334776232E-2</v>
      </c>
      <c r="Z218" s="28">
        <v>0</v>
      </c>
      <c r="AA218" s="28">
        <v>3.1271735442865911E-3</v>
      </c>
      <c r="AB218" s="28">
        <v>1.789839418574189E-4</v>
      </c>
      <c r="AC218" s="28">
        <v>1.5438989133449149E-4</v>
      </c>
      <c r="AD218" s="28">
        <v>1.4077058419229089E-4</v>
      </c>
      <c r="AE218" s="28">
        <v>3.5583168130120541E-3</v>
      </c>
      <c r="AF218" s="28">
        <v>7.1596347746828472E-3</v>
      </c>
      <c r="AG218" s="30">
        <v>0</v>
      </c>
      <c r="AH218" s="30">
        <v>1.6491053126472278E-5</v>
      </c>
      <c r="AI218" s="30">
        <v>4.0895959067761362E-4</v>
      </c>
      <c r="AJ218" s="30">
        <v>3.7507357872791961E-4</v>
      </c>
      <c r="AK218" s="30">
        <v>1.899134806788231E-4</v>
      </c>
      <c r="AL218" s="30">
        <v>1.248483860956842E-2</v>
      </c>
      <c r="AM218" s="30">
        <v>1.3475276312779248E-2</v>
      </c>
      <c r="AN218" s="32">
        <v>0</v>
      </c>
      <c r="AO218" s="32">
        <v>1.179775095002105E-5</v>
      </c>
      <c r="AP218" s="32">
        <v>5.1565797166662308E-7</v>
      </c>
      <c r="AQ218" s="32">
        <v>7.4641524221169363E-7</v>
      </c>
      <c r="AR218" s="32">
        <v>7.7154773526366578E-7</v>
      </c>
      <c r="AS218" s="32">
        <v>9.6633949398180357E-6</v>
      </c>
      <c r="AT218" s="32">
        <v>2.349476683898107E-5</v>
      </c>
      <c r="AU218" s="34">
        <v>0</v>
      </c>
      <c r="AV218" s="34">
        <v>0</v>
      </c>
      <c r="AW218" s="34">
        <v>0.2698407427863993</v>
      </c>
      <c r="AX218" s="34">
        <v>0.17647448414364728</v>
      </c>
      <c r="AY218" s="34">
        <v>0.16010801888762657</v>
      </c>
      <c r="AZ218" s="34">
        <v>0.68104652589301906</v>
      </c>
      <c r="BA218" s="34">
        <v>1.2874697717106922</v>
      </c>
      <c r="BB218" s="6"/>
      <c r="BC218" s="6"/>
      <c r="BD218" t="s">
        <v>720</v>
      </c>
      <c r="BF218" s="5">
        <v>7.2295390000000001E-2</v>
      </c>
      <c r="BG218" s="5">
        <f t="shared" si="9"/>
        <v>-9.2323118202124188E-4</v>
      </c>
      <c r="BH218" s="2">
        <v>154.87563</v>
      </c>
    </row>
    <row r="219" spans="1:60" x14ac:dyDescent="0.2">
      <c r="A219" t="str">
        <f t="shared" si="8"/>
        <v>Motorbike, electric, 11-35kW - 2020 - NCA - CH</v>
      </c>
      <c r="B219" t="s">
        <v>269</v>
      </c>
      <c r="D219" s="18">
        <v>2020</v>
      </c>
      <c r="E219" t="s">
        <v>37</v>
      </c>
      <c r="F219" t="s">
        <v>138</v>
      </c>
      <c r="G219" t="s">
        <v>39</v>
      </c>
      <c r="H219" t="s">
        <v>32</v>
      </c>
      <c r="I219" t="s">
        <v>45</v>
      </c>
      <c r="J219" t="s">
        <v>138</v>
      </c>
      <c r="L219" s="24">
        <v>0</v>
      </c>
      <c r="M219" s="24">
        <v>0</v>
      </c>
      <c r="N219" s="24">
        <v>7.8106002476236447E-3</v>
      </c>
      <c r="O219" s="24">
        <v>1.2306591692257861E-2</v>
      </c>
      <c r="P219" s="24">
        <v>4.8065020724162829E-3</v>
      </c>
      <c r="Q219" s="24">
        <v>5.790342132339036E-2</v>
      </c>
      <c r="R219" s="24">
        <v>8.2827115335688151E-2</v>
      </c>
      <c r="S219" s="26">
        <v>0</v>
      </c>
      <c r="T219" s="26">
        <v>0</v>
      </c>
      <c r="U219" s="26">
        <v>8.2670074351110705E-4</v>
      </c>
      <c r="V219" s="26">
        <v>4.722191823356421E-4</v>
      </c>
      <c r="W219" s="26">
        <v>3.3065718018743061E-4</v>
      </c>
      <c r="X219" s="26">
        <v>4.6536415758903452E-2</v>
      </c>
      <c r="Y219" s="26">
        <v>4.8165992864937633E-2</v>
      </c>
      <c r="Z219" s="28">
        <v>0</v>
      </c>
      <c r="AA219" s="28">
        <v>3.1271735442865911E-3</v>
      </c>
      <c r="AB219" s="28">
        <v>2.422732529067532E-4</v>
      </c>
      <c r="AC219" s="28">
        <v>1.5438989133449149E-4</v>
      </c>
      <c r="AD219" s="28">
        <v>1.4762571374715369E-4</v>
      </c>
      <c r="AE219" s="28">
        <v>5.0919164744505554E-3</v>
      </c>
      <c r="AF219" s="28">
        <v>8.7633788767255451E-3</v>
      </c>
      <c r="AG219" s="30">
        <v>0</v>
      </c>
      <c r="AH219" s="30">
        <v>1.6491053126472278E-5</v>
      </c>
      <c r="AI219" s="30">
        <v>5.5356904822114297E-4</v>
      </c>
      <c r="AJ219" s="30">
        <v>3.7507357872791961E-4</v>
      </c>
      <c r="AK219" s="30">
        <v>1.9631119800809669E-4</v>
      </c>
      <c r="AL219" s="30">
        <v>1.6826115035017911E-2</v>
      </c>
      <c r="AM219" s="30">
        <v>1.7967559913101543E-2</v>
      </c>
      <c r="AN219" s="32">
        <v>0</v>
      </c>
      <c r="AO219" s="32">
        <v>1.179775095002105E-5</v>
      </c>
      <c r="AP219" s="32">
        <v>6.9799632797501057E-7</v>
      </c>
      <c r="AQ219" s="32">
        <v>7.4641524221169363E-7</v>
      </c>
      <c r="AR219" s="32">
        <v>7.9680920943335179E-7</v>
      </c>
      <c r="AS219" s="32">
        <v>1.2751348205433231E-5</v>
      </c>
      <c r="AT219" s="32">
        <v>2.6790319935074336E-5</v>
      </c>
      <c r="AU219" s="34">
        <v>0</v>
      </c>
      <c r="AV219" s="34">
        <v>0</v>
      </c>
      <c r="AW219" s="34">
        <v>0.36525731774146686</v>
      </c>
      <c r="AX219" s="34">
        <v>0.17647448414364728</v>
      </c>
      <c r="AY219" s="34">
        <v>0.16792649271907048</v>
      </c>
      <c r="AZ219" s="34">
        <v>0.8104342597733819</v>
      </c>
      <c r="BA219" s="34">
        <v>1.5200925543775665</v>
      </c>
      <c r="BB219" s="6"/>
      <c r="BC219" s="6"/>
      <c r="BD219" t="s">
        <v>937</v>
      </c>
      <c r="BF219" s="5">
        <v>8.3109875E-2</v>
      </c>
      <c r="BG219" s="5">
        <f t="shared" si="9"/>
        <v>2.8275966431184907E-4</v>
      </c>
      <c r="BH219" s="2">
        <v>228.76056</v>
      </c>
    </row>
    <row r="220" spans="1:60" x14ac:dyDescent="0.2">
      <c r="A220" t="str">
        <f t="shared" si="8"/>
        <v>Motorbike, electric, 11-35kW - 2030 - NCA - CH</v>
      </c>
      <c r="B220" t="s">
        <v>269</v>
      </c>
      <c r="D220" s="18">
        <v>2030</v>
      </c>
      <c r="E220" t="s">
        <v>37</v>
      </c>
      <c r="F220" t="s">
        <v>138</v>
      </c>
      <c r="G220" t="s">
        <v>39</v>
      </c>
      <c r="H220" t="s">
        <v>32</v>
      </c>
      <c r="I220" t="s">
        <v>45</v>
      </c>
      <c r="J220" t="s">
        <v>138</v>
      </c>
      <c r="L220" s="24">
        <v>0</v>
      </c>
      <c r="M220" s="24">
        <v>0</v>
      </c>
      <c r="N220" s="24">
        <v>7.8106002476236447E-3</v>
      </c>
      <c r="O220" s="24">
        <v>1.2306591692257861E-2</v>
      </c>
      <c r="P220" s="24">
        <v>4.8395234313287488E-3</v>
      </c>
      <c r="Q220" s="24">
        <v>5.7259540538852488E-2</v>
      </c>
      <c r="R220" s="24">
        <v>8.2216255910062735E-2</v>
      </c>
      <c r="S220" s="26">
        <v>0</v>
      </c>
      <c r="T220" s="26">
        <v>0</v>
      </c>
      <c r="U220" s="26">
        <v>8.2670074351110705E-4</v>
      </c>
      <c r="V220" s="26">
        <v>4.722191823356421E-4</v>
      </c>
      <c r="W220" s="26">
        <v>3.3274372194442772E-4</v>
      </c>
      <c r="X220" s="26">
        <v>4.4237614187522832E-2</v>
      </c>
      <c r="Y220" s="26">
        <v>4.5869277835314012E-2</v>
      </c>
      <c r="Z220" s="28">
        <v>0</v>
      </c>
      <c r="AA220" s="28">
        <v>3.1271735442865911E-3</v>
      </c>
      <c r="AB220" s="28">
        <v>2.422732529067532E-4</v>
      </c>
      <c r="AC220" s="28">
        <v>1.5438989133449149E-4</v>
      </c>
      <c r="AD220" s="28">
        <v>1.4857418435077391E-4</v>
      </c>
      <c r="AE220" s="28">
        <v>4.8859484923827476E-3</v>
      </c>
      <c r="AF220" s="28">
        <v>8.5583593652613574E-3</v>
      </c>
      <c r="AG220" s="30">
        <v>0</v>
      </c>
      <c r="AH220" s="30">
        <v>1.6491053126472278E-5</v>
      </c>
      <c r="AI220" s="30">
        <v>5.5356904822114297E-4</v>
      </c>
      <c r="AJ220" s="30">
        <v>3.7507357872791961E-4</v>
      </c>
      <c r="AK220" s="30">
        <v>1.971963813979253E-4</v>
      </c>
      <c r="AL220" s="30">
        <v>1.6225130727688001E-2</v>
      </c>
      <c r="AM220" s="30">
        <v>1.736746078916146E-2</v>
      </c>
      <c r="AN220" s="32">
        <v>0</v>
      </c>
      <c r="AO220" s="32">
        <v>1.179775095002105E-5</v>
      </c>
      <c r="AP220" s="32">
        <v>6.9799632797501057E-7</v>
      </c>
      <c r="AQ220" s="32">
        <v>7.4641524221169363E-7</v>
      </c>
      <c r="AR220" s="32">
        <v>8.0030436812616762E-7</v>
      </c>
      <c r="AS220" s="32">
        <v>1.21926266825028E-5</v>
      </c>
      <c r="AT220" s="32">
        <v>2.6235093570836723E-5</v>
      </c>
      <c r="AU220" s="34">
        <v>0</v>
      </c>
      <c r="AV220" s="34">
        <v>0</v>
      </c>
      <c r="AW220" s="34">
        <v>0.36525731774146686</v>
      </c>
      <c r="AX220" s="34">
        <v>0.17647448414364728</v>
      </c>
      <c r="AY220" s="34">
        <v>0.16900825091706656</v>
      </c>
      <c r="AZ220" s="34">
        <v>0.79362301645070976</v>
      </c>
      <c r="BA220" s="34">
        <v>1.5043630692528907</v>
      </c>
      <c r="BB220" s="6"/>
      <c r="BC220" s="6"/>
      <c r="BD220" t="s">
        <v>721</v>
      </c>
      <c r="BF220" s="5">
        <v>8.1781859999999998E-2</v>
      </c>
      <c r="BG220" s="5">
        <f t="shared" si="9"/>
        <v>-4.3439591006273759E-4</v>
      </c>
      <c r="BH220" s="2">
        <v>217.53666999999999</v>
      </c>
    </row>
    <row r="221" spans="1:60" x14ac:dyDescent="0.2">
      <c r="A221" t="str">
        <f t="shared" si="8"/>
        <v>Motorbike, electric, 11-35kW - 2040 - NCA - CH</v>
      </c>
      <c r="B221" t="s">
        <v>269</v>
      </c>
      <c r="D221" s="18">
        <v>2040</v>
      </c>
      <c r="E221" t="s">
        <v>37</v>
      </c>
      <c r="F221" t="s">
        <v>138</v>
      </c>
      <c r="G221" t="s">
        <v>39</v>
      </c>
      <c r="H221" t="s">
        <v>32</v>
      </c>
      <c r="I221" t="s">
        <v>45</v>
      </c>
      <c r="J221" t="s">
        <v>138</v>
      </c>
      <c r="L221" s="24">
        <v>0</v>
      </c>
      <c r="M221" s="24">
        <v>0</v>
      </c>
      <c r="N221" s="24">
        <v>7.8106002476236447E-3</v>
      </c>
      <c r="O221" s="24">
        <v>1.2306591692257861E-2</v>
      </c>
      <c r="P221" s="24">
        <v>4.8429982180027134E-3</v>
      </c>
      <c r="Q221" s="24">
        <v>5.5005342052566707E-2</v>
      </c>
      <c r="R221" s="24">
        <v>7.9965532210450926E-2</v>
      </c>
      <c r="S221" s="26">
        <v>0</v>
      </c>
      <c r="T221" s="26">
        <v>0</v>
      </c>
      <c r="U221" s="26">
        <v>8.2670074351110705E-4</v>
      </c>
      <c r="V221" s="26">
        <v>4.722191823356421E-4</v>
      </c>
      <c r="W221" s="26">
        <v>3.3296328551572421E-4</v>
      </c>
      <c r="X221" s="26">
        <v>4.1002854221061542E-2</v>
      </c>
      <c r="Y221" s="26">
        <v>4.2634737432424019E-2</v>
      </c>
      <c r="Z221" s="28">
        <v>0</v>
      </c>
      <c r="AA221" s="28">
        <v>3.1271735442865911E-3</v>
      </c>
      <c r="AB221" s="28">
        <v>2.422732529067532E-4</v>
      </c>
      <c r="AC221" s="28">
        <v>1.5438989133449149E-4</v>
      </c>
      <c r="AD221" s="28">
        <v>1.4867399044969431E-4</v>
      </c>
      <c r="AE221" s="28">
        <v>4.5362493918582594E-3</v>
      </c>
      <c r="AF221" s="28">
        <v>8.2087600708357893E-3</v>
      </c>
      <c r="AG221" s="30">
        <v>0</v>
      </c>
      <c r="AH221" s="30">
        <v>1.6491053126472278E-5</v>
      </c>
      <c r="AI221" s="30">
        <v>5.5356904822114297E-4</v>
      </c>
      <c r="AJ221" s="30">
        <v>3.7507357872791961E-4</v>
      </c>
      <c r="AK221" s="30">
        <v>1.9728952788093779E-4</v>
      </c>
      <c r="AL221" s="30">
        <v>1.51869670933979E-2</v>
      </c>
      <c r="AM221" s="30">
        <v>1.6329390301354371E-2</v>
      </c>
      <c r="AN221" s="32">
        <v>0</v>
      </c>
      <c r="AO221" s="32">
        <v>1.179775095002105E-5</v>
      </c>
      <c r="AP221" s="32">
        <v>6.9799632797501057E-7</v>
      </c>
      <c r="AQ221" s="32">
        <v>7.4641524221169363E-7</v>
      </c>
      <c r="AR221" s="32">
        <v>8.0067215828530021E-7</v>
      </c>
      <c r="AS221" s="32">
        <v>1.1386028012994291E-5</v>
      </c>
      <c r="AT221" s="32">
        <v>2.5428862691487346E-5</v>
      </c>
      <c r="AU221" s="34">
        <v>0</v>
      </c>
      <c r="AV221" s="34">
        <v>0</v>
      </c>
      <c r="AW221" s="34">
        <v>0.36525731774146686</v>
      </c>
      <c r="AX221" s="34">
        <v>0.17647448414364728</v>
      </c>
      <c r="AY221" s="34">
        <v>0.16912208266399173</v>
      </c>
      <c r="AZ221" s="34">
        <v>0.75634011283807412</v>
      </c>
      <c r="BA221" s="34">
        <v>1.4671939973871799</v>
      </c>
      <c r="BB221" s="6"/>
      <c r="BC221" s="6"/>
      <c r="BD221" t="s">
        <v>722</v>
      </c>
      <c r="BF221" s="5">
        <v>7.937733000000001E-2</v>
      </c>
      <c r="BG221" s="5">
        <f t="shared" si="9"/>
        <v>-5.8820221045091658E-4</v>
      </c>
      <c r="BH221" s="2">
        <v>202.34105</v>
      </c>
    </row>
    <row r="222" spans="1:60" x14ac:dyDescent="0.2">
      <c r="A222" t="str">
        <f t="shared" si="8"/>
        <v>Motorbike, electric, 11-35kW - 2050 - NCA - CH</v>
      </c>
      <c r="B222" t="s">
        <v>269</v>
      </c>
      <c r="D222" s="18">
        <v>2050</v>
      </c>
      <c r="E222" t="s">
        <v>37</v>
      </c>
      <c r="F222" t="s">
        <v>138</v>
      </c>
      <c r="G222" t="s">
        <v>39</v>
      </c>
      <c r="H222" t="s">
        <v>32</v>
      </c>
      <c r="I222" t="s">
        <v>45</v>
      </c>
      <c r="J222" t="s">
        <v>138</v>
      </c>
      <c r="L222" s="24">
        <v>0</v>
      </c>
      <c r="M222" s="24">
        <v>0</v>
      </c>
      <c r="N222" s="24">
        <v>7.8106002476236447E-3</v>
      </c>
      <c r="O222" s="24">
        <v>1.2306591692257861E-2</v>
      </c>
      <c r="P222" s="24">
        <v>4.8421333147694546E-3</v>
      </c>
      <c r="Q222" s="24">
        <v>5.2019069693802697E-2</v>
      </c>
      <c r="R222" s="24">
        <v>7.6978394948453654E-2</v>
      </c>
      <c r="S222" s="26">
        <v>0</v>
      </c>
      <c r="T222" s="26">
        <v>0</v>
      </c>
      <c r="U222" s="26">
        <v>8.2670074351110705E-4</v>
      </c>
      <c r="V222" s="26">
        <v>4.722191823356421E-4</v>
      </c>
      <c r="W222" s="26">
        <v>3.3290863432112197E-4</v>
      </c>
      <c r="X222" s="26">
        <v>3.7080662833818043E-2</v>
      </c>
      <c r="Y222" s="26">
        <v>3.8712491393985915E-2</v>
      </c>
      <c r="Z222" s="28">
        <v>0</v>
      </c>
      <c r="AA222" s="28">
        <v>3.1271735442865911E-3</v>
      </c>
      <c r="AB222" s="28">
        <v>2.422732529067532E-4</v>
      </c>
      <c r="AC222" s="28">
        <v>1.5438989133449149E-4</v>
      </c>
      <c r="AD222" s="28">
        <v>1.486491478835875E-4</v>
      </c>
      <c r="AE222" s="28">
        <v>4.1011178103285131E-3</v>
      </c>
      <c r="AF222" s="28">
        <v>7.7736036467399364E-3</v>
      </c>
      <c r="AG222" s="30">
        <v>0</v>
      </c>
      <c r="AH222" s="30">
        <v>1.6491053126472278E-5</v>
      </c>
      <c r="AI222" s="30">
        <v>5.5356904822114297E-4</v>
      </c>
      <c r="AJ222" s="30">
        <v>3.7507357872791961E-4</v>
      </c>
      <c r="AK222" s="30">
        <v>1.9726634294848491E-4</v>
      </c>
      <c r="AL222" s="30">
        <v>1.389134425749195E-2</v>
      </c>
      <c r="AM222" s="30">
        <v>1.503374428051597E-2</v>
      </c>
      <c r="AN222" s="32">
        <v>0</v>
      </c>
      <c r="AO222" s="32">
        <v>1.179775095002105E-5</v>
      </c>
      <c r="AP222" s="32">
        <v>6.9799632797501057E-7</v>
      </c>
      <c r="AQ222" s="32">
        <v>7.4641524221169363E-7</v>
      </c>
      <c r="AR222" s="32">
        <v>8.0058061226315808E-7</v>
      </c>
      <c r="AS222" s="32">
        <v>1.0405388561626171E-5</v>
      </c>
      <c r="AT222" s="32">
        <v>2.4448131694097082E-5</v>
      </c>
      <c r="AU222" s="34">
        <v>0</v>
      </c>
      <c r="AV222" s="34">
        <v>0</v>
      </c>
      <c r="AW222" s="34">
        <v>0.36525731774146686</v>
      </c>
      <c r="AX222" s="34">
        <v>0.17647448414364728</v>
      </c>
      <c r="AY222" s="34">
        <v>0.16909374899772653</v>
      </c>
      <c r="AZ222" s="34">
        <v>0.70860016296227279</v>
      </c>
      <c r="BA222" s="34">
        <v>1.4194257138451136</v>
      </c>
      <c r="BB222" s="6"/>
      <c r="BC222" s="6"/>
      <c r="BD222" t="s">
        <v>723</v>
      </c>
      <c r="BF222" s="5">
        <v>7.6373137000000008E-2</v>
      </c>
      <c r="BG222" s="5">
        <f t="shared" si="9"/>
        <v>-6.0525794845364689E-4</v>
      </c>
      <c r="BH222" s="2">
        <v>184.07173</v>
      </c>
    </row>
    <row r="223" spans="1:60" x14ac:dyDescent="0.2">
      <c r="A223" t="str">
        <f t="shared" si="8"/>
        <v>Motorbike, electric, &gt;35kW - 2020 - NCA - CH</v>
      </c>
      <c r="B223" t="s">
        <v>270</v>
      </c>
      <c r="D223" s="18">
        <v>2020</v>
      </c>
      <c r="E223" t="s">
        <v>37</v>
      </c>
      <c r="F223" t="s">
        <v>138</v>
      </c>
      <c r="G223" t="s">
        <v>39</v>
      </c>
      <c r="H223" t="s">
        <v>32</v>
      </c>
      <c r="I223" t="s">
        <v>45</v>
      </c>
      <c r="J223" t="s">
        <v>138</v>
      </c>
      <c r="L223" s="24">
        <v>0</v>
      </c>
      <c r="M223" s="24">
        <v>0</v>
      </c>
      <c r="N223" s="24">
        <v>8.710249309141712E-3</v>
      </c>
      <c r="O223" s="24">
        <v>1.2306591692257861E-2</v>
      </c>
      <c r="P223" s="24">
        <v>5.1803144373403784E-3</v>
      </c>
      <c r="Q223" s="24">
        <v>9.226026278512707E-2</v>
      </c>
      <c r="R223" s="24">
        <v>0.11845741822386702</v>
      </c>
      <c r="S223" s="26">
        <v>0</v>
      </c>
      <c r="T223" s="26">
        <v>0</v>
      </c>
      <c r="U223" s="26">
        <v>9.2192268862119461E-4</v>
      </c>
      <c r="V223" s="26">
        <v>4.722191823356421E-4</v>
      </c>
      <c r="W223" s="26">
        <v>3.5427750153045991E-4</v>
      </c>
      <c r="X223" s="26">
        <v>7.6149529955145595E-2</v>
      </c>
      <c r="Y223" s="26">
        <v>7.7897949327632887E-2</v>
      </c>
      <c r="Z223" s="28">
        <v>0</v>
      </c>
      <c r="AA223" s="28">
        <v>3.1271735442865911E-3</v>
      </c>
      <c r="AB223" s="28">
        <v>2.7017903449822622E-4</v>
      </c>
      <c r="AC223" s="28">
        <v>1.5438989133449149E-4</v>
      </c>
      <c r="AD223" s="28">
        <v>1.5836270492731959E-4</v>
      </c>
      <c r="AE223" s="28">
        <v>8.7724561373138318E-3</v>
      </c>
      <c r="AF223" s="28">
        <v>1.248256131236046E-2</v>
      </c>
      <c r="AG223" s="30">
        <v>0</v>
      </c>
      <c r="AH223" s="30">
        <v>1.6491053126472278E-5</v>
      </c>
      <c r="AI223" s="30">
        <v>6.1733084103202476E-4</v>
      </c>
      <c r="AJ223" s="30">
        <v>3.7507357872791961E-4</v>
      </c>
      <c r="AK223" s="30">
        <v>2.0633175764710139E-4</v>
      </c>
      <c r="AL223" s="30">
        <v>2.8152876096115151E-2</v>
      </c>
      <c r="AM223" s="30">
        <v>2.9368103326648669E-2</v>
      </c>
      <c r="AN223" s="32">
        <v>0</v>
      </c>
      <c r="AO223" s="32">
        <v>1.179775095002105E-5</v>
      </c>
      <c r="AP223" s="32">
        <v>7.7839370096780042E-7</v>
      </c>
      <c r="AQ223" s="32">
        <v>7.4641524221169363E-7</v>
      </c>
      <c r="AR223" s="32">
        <v>8.3637552589567275E-7</v>
      </c>
      <c r="AS223" s="32">
        <v>2.0873534009772648E-5</v>
      </c>
      <c r="AT223" s="32">
        <v>3.5032469428868864E-5</v>
      </c>
      <c r="AU223" s="34">
        <v>0</v>
      </c>
      <c r="AV223" s="34">
        <v>0</v>
      </c>
      <c r="AW223" s="34">
        <v>0.40732878378771509</v>
      </c>
      <c r="AX223" s="34">
        <v>0.17647448414364728</v>
      </c>
      <c r="AY223" s="34">
        <v>0.18017234218095599</v>
      </c>
      <c r="AZ223" s="34">
        <v>1.2978873569553775</v>
      </c>
      <c r="BA223" s="34">
        <v>2.0618629670676958</v>
      </c>
      <c r="BB223" s="6"/>
      <c r="BC223" s="6"/>
      <c r="BD223" t="s">
        <v>938</v>
      </c>
      <c r="BF223" s="5">
        <v>0.11359316000000001</v>
      </c>
      <c r="BG223" s="5">
        <f t="shared" si="9"/>
        <v>-4.8642582238670046E-3</v>
      </c>
      <c r="BH223" s="2">
        <v>362.22152</v>
      </c>
    </row>
    <row r="224" spans="1:60" x14ac:dyDescent="0.2">
      <c r="A224" t="str">
        <f t="shared" si="8"/>
        <v>Motorbike, electric, &gt;35kW - 2030 - NCA - CH</v>
      </c>
      <c r="B224" t="s">
        <v>270</v>
      </c>
      <c r="D224" s="18">
        <v>2030</v>
      </c>
      <c r="E224" t="s">
        <v>37</v>
      </c>
      <c r="F224" t="s">
        <v>138</v>
      </c>
      <c r="G224" t="s">
        <v>39</v>
      </c>
      <c r="H224" t="s">
        <v>32</v>
      </c>
      <c r="I224" t="s">
        <v>45</v>
      </c>
      <c r="J224" t="s">
        <v>138</v>
      </c>
      <c r="L224" s="24">
        <v>0</v>
      </c>
      <c r="M224" s="24">
        <v>0</v>
      </c>
      <c r="N224" s="24">
        <v>8.710249309141712E-3</v>
      </c>
      <c r="O224" s="24">
        <v>1.2306591692257861E-2</v>
      </c>
      <c r="P224" s="24">
        <v>5.2456030862136592E-3</v>
      </c>
      <c r="Q224" s="24">
        <v>8.8669385559089264E-2</v>
      </c>
      <c r="R224" s="24">
        <v>0.1149318296467025</v>
      </c>
      <c r="S224" s="26">
        <v>0</v>
      </c>
      <c r="T224" s="26">
        <v>0</v>
      </c>
      <c r="U224" s="26">
        <v>9.2192268862119461E-4</v>
      </c>
      <c r="V224" s="26">
        <v>4.722191823356421E-4</v>
      </c>
      <c r="W224" s="26">
        <v>3.5840293720659718E-4</v>
      </c>
      <c r="X224" s="26">
        <v>7.0518257967876377E-2</v>
      </c>
      <c r="Y224" s="26">
        <v>7.2270802776039811E-2</v>
      </c>
      <c r="Z224" s="28">
        <v>0</v>
      </c>
      <c r="AA224" s="28">
        <v>3.1271735442865911E-3</v>
      </c>
      <c r="AB224" s="28">
        <v>2.7017903449822622E-4</v>
      </c>
      <c r="AC224" s="28">
        <v>1.5438989133449149E-4</v>
      </c>
      <c r="AD224" s="28">
        <v>1.6023798705518531E-4</v>
      </c>
      <c r="AE224" s="28">
        <v>8.1803069574040623E-3</v>
      </c>
      <c r="AF224" s="28">
        <v>1.1892287414578557E-2</v>
      </c>
      <c r="AG224" s="30">
        <v>0</v>
      </c>
      <c r="AH224" s="30">
        <v>1.6491053126472278E-5</v>
      </c>
      <c r="AI224" s="30">
        <v>6.1733084103202476E-4</v>
      </c>
      <c r="AJ224" s="30">
        <v>3.7507357872791961E-4</v>
      </c>
      <c r="AK224" s="30">
        <v>2.080819105611646E-4</v>
      </c>
      <c r="AL224" s="30">
        <v>2.6382423865752638E-2</v>
      </c>
      <c r="AM224" s="30">
        <v>2.7599401249200219E-2</v>
      </c>
      <c r="AN224" s="32">
        <v>0</v>
      </c>
      <c r="AO224" s="32">
        <v>1.179775095002105E-5</v>
      </c>
      <c r="AP224" s="32">
        <v>7.7839370096780042E-7</v>
      </c>
      <c r="AQ224" s="32">
        <v>7.4641524221169363E-7</v>
      </c>
      <c r="AR224" s="32">
        <v>8.4328602855719433E-7</v>
      </c>
      <c r="AS224" s="32">
        <v>1.9492613346882631E-5</v>
      </c>
      <c r="AT224" s="32">
        <v>3.3658459268640366E-5</v>
      </c>
      <c r="AU224" s="34">
        <v>0</v>
      </c>
      <c r="AV224" s="34">
        <v>0</v>
      </c>
      <c r="AW224" s="34">
        <v>0.40732878378771509</v>
      </c>
      <c r="AX224" s="34">
        <v>0.17647448414364728</v>
      </c>
      <c r="AY224" s="34">
        <v>0.18231115576951787</v>
      </c>
      <c r="AZ224" s="34">
        <v>1.2367110840323652</v>
      </c>
      <c r="BA224" s="34">
        <v>2.0028255077332453</v>
      </c>
      <c r="BB224" s="6"/>
      <c r="BC224" s="6"/>
      <c r="BD224" t="s">
        <v>724</v>
      </c>
      <c r="BF224" s="5">
        <v>0.10968169</v>
      </c>
      <c r="BG224" s="5">
        <f t="shared" si="9"/>
        <v>-5.250139646702498E-3</v>
      </c>
      <c r="BH224" s="2">
        <v>335.95848000000001</v>
      </c>
    </row>
    <row r="225" spans="1:60" x14ac:dyDescent="0.2">
      <c r="A225" t="str">
        <f t="shared" si="8"/>
        <v>Motorbike, electric, &gt;35kW - 2040 - NCA - CH</v>
      </c>
      <c r="B225" t="s">
        <v>270</v>
      </c>
      <c r="D225" s="18">
        <v>2040</v>
      </c>
      <c r="E225" t="s">
        <v>37</v>
      </c>
      <c r="F225" t="s">
        <v>138</v>
      </c>
      <c r="G225" t="s">
        <v>39</v>
      </c>
      <c r="H225" t="s">
        <v>32</v>
      </c>
      <c r="I225" t="s">
        <v>45</v>
      </c>
      <c r="J225" t="s">
        <v>138</v>
      </c>
      <c r="L225" s="24">
        <v>0</v>
      </c>
      <c r="M225" s="24">
        <v>0</v>
      </c>
      <c r="N225" s="24">
        <v>8.710249309141712E-3</v>
      </c>
      <c r="O225" s="24">
        <v>1.2306591692257861E-2</v>
      </c>
      <c r="P225" s="24">
        <v>5.2483191858409056E-3</v>
      </c>
      <c r="Q225" s="24">
        <v>8.2743393760394676E-2</v>
      </c>
      <c r="R225" s="24">
        <v>0.10900855394763516</v>
      </c>
      <c r="S225" s="26">
        <v>0</v>
      </c>
      <c r="T225" s="26">
        <v>0</v>
      </c>
      <c r="U225" s="26">
        <v>9.2192268862119461E-4</v>
      </c>
      <c r="V225" s="26">
        <v>4.722191823356421E-4</v>
      </c>
      <c r="W225" s="26">
        <v>3.5857456113350578E-4</v>
      </c>
      <c r="X225" s="26">
        <v>6.3473830003672987E-2</v>
      </c>
      <c r="Y225" s="26">
        <v>6.5226546435763325E-2</v>
      </c>
      <c r="Z225" s="28">
        <v>0</v>
      </c>
      <c r="AA225" s="28">
        <v>3.1271735442865911E-3</v>
      </c>
      <c r="AB225" s="28">
        <v>2.7017903449822622E-4</v>
      </c>
      <c r="AC225" s="28">
        <v>1.5438989133449149E-4</v>
      </c>
      <c r="AD225" s="28">
        <v>1.6031600142945069E-4</v>
      </c>
      <c r="AE225" s="28">
        <v>7.3746976309239194E-3</v>
      </c>
      <c r="AF225" s="28">
        <v>1.1086756102472679E-2</v>
      </c>
      <c r="AG225" s="30">
        <v>0</v>
      </c>
      <c r="AH225" s="30">
        <v>1.6491053126472278E-5</v>
      </c>
      <c r="AI225" s="30">
        <v>6.1733084103202476E-4</v>
      </c>
      <c r="AJ225" s="30">
        <v>3.7507357872791961E-4</v>
      </c>
      <c r="AK225" s="30">
        <v>2.081547193841308E-4</v>
      </c>
      <c r="AL225" s="30">
        <v>2.3969884678922589E-2</v>
      </c>
      <c r="AM225" s="30">
        <v>2.5186934871193136E-2</v>
      </c>
      <c r="AN225" s="32">
        <v>0</v>
      </c>
      <c r="AO225" s="32">
        <v>1.179775095002105E-5</v>
      </c>
      <c r="AP225" s="32">
        <v>7.7839370096780042E-7</v>
      </c>
      <c r="AQ225" s="32">
        <v>7.4641524221169363E-7</v>
      </c>
      <c r="AR225" s="32">
        <v>8.4357351518813197E-7</v>
      </c>
      <c r="AS225" s="32">
        <v>1.7731691392513211E-5</v>
      </c>
      <c r="AT225" s="32">
        <v>3.189782480090189E-5</v>
      </c>
      <c r="AU225" s="34">
        <v>0</v>
      </c>
      <c r="AV225" s="34">
        <v>0</v>
      </c>
      <c r="AW225" s="34">
        <v>0.40732878378771509</v>
      </c>
      <c r="AX225" s="34">
        <v>0.17647448414364728</v>
      </c>
      <c r="AY225" s="34">
        <v>0.18240013342322792</v>
      </c>
      <c r="AZ225" s="34">
        <v>1.1454565874296407</v>
      </c>
      <c r="BA225" s="34">
        <v>1.9116599887842312</v>
      </c>
      <c r="BB225" s="6"/>
      <c r="BC225" s="6"/>
      <c r="BD225" t="s">
        <v>725</v>
      </c>
      <c r="BF225" s="5">
        <v>0.10413846</v>
      </c>
      <c r="BG225" s="5">
        <f t="shared" si="9"/>
        <v>-4.8700939476351568E-3</v>
      </c>
      <c r="BH225" s="2">
        <v>303.60194000000001</v>
      </c>
    </row>
    <row r="226" spans="1:60" x14ac:dyDescent="0.2">
      <c r="A226" t="str">
        <f t="shared" si="8"/>
        <v>Motorbike, electric, &gt;35kW - 2050 - NCA - CH</v>
      </c>
      <c r="B226" t="s">
        <v>270</v>
      </c>
      <c r="D226" s="18">
        <v>2050</v>
      </c>
      <c r="E226" t="s">
        <v>37</v>
      </c>
      <c r="F226" t="s">
        <v>138</v>
      </c>
      <c r="G226" t="s">
        <v>39</v>
      </c>
      <c r="H226" t="s">
        <v>32</v>
      </c>
      <c r="I226" t="s">
        <v>45</v>
      </c>
      <c r="J226" t="s">
        <v>138</v>
      </c>
      <c r="L226" s="24">
        <v>0</v>
      </c>
      <c r="M226" s="24">
        <v>0</v>
      </c>
      <c r="N226" s="24">
        <v>8.710249309141712E-3</v>
      </c>
      <c r="O226" s="24">
        <v>1.2306591692257861E-2</v>
      </c>
      <c r="P226" s="24">
        <v>5.2470901128252243E-3</v>
      </c>
      <c r="Q226" s="24">
        <v>7.6080301246672824E-2</v>
      </c>
      <c r="R226" s="24">
        <v>0.10234423236089762</v>
      </c>
      <c r="S226" s="26">
        <v>0</v>
      </c>
      <c r="T226" s="26">
        <v>0</v>
      </c>
      <c r="U226" s="26">
        <v>9.2192268862119461E-4</v>
      </c>
      <c r="V226" s="26">
        <v>4.722191823356421E-4</v>
      </c>
      <c r="W226" s="26">
        <v>3.5849689890959751E-4</v>
      </c>
      <c r="X226" s="26">
        <v>5.5736333721866087E-2</v>
      </c>
      <c r="Y226" s="26">
        <v>5.7488972491732522E-2</v>
      </c>
      <c r="Z226" s="28">
        <v>0</v>
      </c>
      <c r="AA226" s="28">
        <v>3.1271735442865911E-3</v>
      </c>
      <c r="AB226" s="28">
        <v>2.7017903449822622E-4</v>
      </c>
      <c r="AC226" s="28">
        <v>1.5438989133449149E-4</v>
      </c>
      <c r="AD226" s="28">
        <v>1.602806988355094E-4</v>
      </c>
      <c r="AE226" s="28">
        <v>6.4830224880350574E-3</v>
      </c>
      <c r="AF226" s="28">
        <v>1.0195045656989875E-2</v>
      </c>
      <c r="AG226" s="30">
        <v>0</v>
      </c>
      <c r="AH226" s="30">
        <v>1.6491053126472278E-5</v>
      </c>
      <c r="AI226" s="30">
        <v>6.1733084103202476E-4</v>
      </c>
      <c r="AJ226" s="30">
        <v>3.7507357872791961E-4</v>
      </c>
      <c r="AK226" s="30">
        <v>2.0812177237485561E-4</v>
      </c>
      <c r="AL226" s="30">
        <v>2.129777383274865E-2</v>
      </c>
      <c r="AM226" s="30">
        <v>2.2514791078009924E-2</v>
      </c>
      <c r="AN226" s="32">
        <v>0</v>
      </c>
      <c r="AO226" s="32">
        <v>1.179775095002105E-5</v>
      </c>
      <c r="AP226" s="32">
        <v>7.7839370096780042E-7</v>
      </c>
      <c r="AQ226" s="32">
        <v>7.4641524221169363E-7</v>
      </c>
      <c r="AR226" s="32">
        <v>8.4344342347245625E-7</v>
      </c>
      <c r="AS226" s="32">
        <v>1.5795554570516991E-5</v>
      </c>
      <c r="AT226" s="32">
        <v>2.996155788718999E-5</v>
      </c>
      <c r="AU226" s="34">
        <v>0</v>
      </c>
      <c r="AV226" s="34">
        <v>0</v>
      </c>
      <c r="AW226" s="34">
        <v>0.40732878378771509</v>
      </c>
      <c r="AX226" s="34">
        <v>0.17647448414364728</v>
      </c>
      <c r="AY226" s="34">
        <v>0.18235986979221949</v>
      </c>
      <c r="AZ226" s="34">
        <v>1.0436738540823072</v>
      </c>
      <c r="BA226" s="34">
        <v>1.8098369918058892</v>
      </c>
      <c r="BB226" s="6"/>
      <c r="BC226" s="6"/>
      <c r="BD226" t="s">
        <v>726</v>
      </c>
      <c r="BF226" s="5">
        <v>9.7976305E-2</v>
      </c>
      <c r="BG226" s="5">
        <f t="shared" si="9"/>
        <v>-4.3679273608976249E-3</v>
      </c>
      <c r="BH226" s="2">
        <v>268.05585000000002</v>
      </c>
    </row>
    <row r="227" spans="1:60" x14ac:dyDescent="0.2">
      <c r="A227" t="str">
        <f t="shared" ref="A227:A274" si="10">B227&amp;" - "&amp;D227&amp;" - "&amp;IF(I227&lt;&gt;"",I227&amp;" - "&amp;E227,E227)</f>
        <v>Motorbike, electric, &lt;4kW - 2020 - NMC - CH</v>
      </c>
      <c r="B227" t="s">
        <v>267</v>
      </c>
      <c r="D227" s="18">
        <v>2020</v>
      </c>
      <c r="E227" t="s">
        <v>37</v>
      </c>
      <c r="F227" t="s">
        <v>138</v>
      </c>
      <c r="G227" t="s">
        <v>39</v>
      </c>
      <c r="H227" t="s">
        <v>32</v>
      </c>
      <c r="I227" t="s">
        <v>43</v>
      </c>
      <c r="J227" t="s">
        <v>570</v>
      </c>
      <c r="L227" s="24">
        <v>0</v>
      </c>
      <c r="M227" s="24">
        <v>0</v>
      </c>
      <c r="N227" s="24">
        <v>7.4420517119050845E-4</v>
      </c>
      <c r="O227" s="24">
        <v>1.2306591692257861E-2</v>
      </c>
      <c r="P227" s="24">
        <v>4.4328520005473991E-3</v>
      </c>
      <c r="Q227" s="24">
        <v>3.7731612714263563E-2</v>
      </c>
      <c r="R227" s="24">
        <v>5.5215261578259331E-2</v>
      </c>
      <c r="S227" s="26">
        <v>0</v>
      </c>
      <c r="T227" s="26">
        <v>0</v>
      </c>
      <c r="U227" s="26">
        <v>4.2420634240975051E-4</v>
      </c>
      <c r="V227" s="26">
        <v>4.722191823356421E-4</v>
      </c>
      <c r="W227" s="26">
        <v>3.0704711375963563E-4</v>
      </c>
      <c r="X227" s="26">
        <v>4.3073131220721143E-2</v>
      </c>
      <c r="Y227" s="26">
        <v>4.4276603859226174E-2</v>
      </c>
      <c r="Z227" s="28">
        <v>0</v>
      </c>
      <c r="AA227" s="28">
        <v>3.1271735442865911E-3</v>
      </c>
      <c r="AB227" s="28">
        <v>7.4854103306236475E-5</v>
      </c>
      <c r="AC227" s="28">
        <v>1.5438989133449149E-4</v>
      </c>
      <c r="AD227" s="28">
        <v>1.3689338410113129E-4</v>
      </c>
      <c r="AE227" s="28">
        <v>3.5131444674290678E-3</v>
      </c>
      <c r="AF227" s="28">
        <v>7.0064553904575187E-3</v>
      </c>
      <c r="AG227" s="30">
        <v>0</v>
      </c>
      <c r="AH227" s="30">
        <v>1.6491053126472278E-5</v>
      </c>
      <c r="AI227" s="30">
        <v>2.805230458570776E-4</v>
      </c>
      <c r="AJ227" s="30">
        <v>3.7507357872791961E-4</v>
      </c>
      <c r="AK227" s="30">
        <v>1.8629498885984979E-4</v>
      </c>
      <c r="AL227" s="30">
        <v>1.0620833379668831E-2</v>
      </c>
      <c r="AM227" s="30">
        <v>1.1479216046240149E-2</v>
      </c>
      <c r="AN227" s="32">
        <v>0</v>
      </c>
      <c r="AO227" s="32">
        <v>1.179775095002105E-5</v>
      </c>
      <c r="AP227" s="32">
        <v>6.6275283726653284E-7</v>
      </c>
      <c r="AQ227" s="32">
        <v>7.4641524221169363E-7</v>
      </c>
      <c r="AR227" s="32">
        <v>7.5726007094314899E-7</v>
      </c>
      <c r="AS227" s="32">
        <v>9.874007547004985E-6</v>
      </c>
      <c r="AT227" s="32">
        <v>2.3838186647447407E-5</v>
      </c>
      <c r="AU227" s="34">
        <v>0</v>
      </c>
      <c r="AV227" s="34">
        <v>0</v>
      </c>
      <c r="AW227" s="34">
        <v>7.4146077341334599E-3</v>
      </c>
      <c r="AX227" s="34">
        <v>0.17647448414364728</v>
      </c>
      <c r="AY227" s="34">
        <v>0.1556859598719075</v>
      </c>
      <c r="AZ227" s="34">
        <v>0.54370848778751379</v>
      </c>
      <c r="BA227" s="34">
        <v>0.88328353953720207</v>
      </c>
      <c r="BB227" s="6"/>
      <c r="BC227" s="6"/>
      <c r="BD227" t="s">
        <v>939</v>
      </c>
      <c r="BF227" s="5">
        <v>5.3352997999999999E-2</v>
      </c>
      <c r="BG227" s="5">
        <f t="shared" si="9"/>
        <v>-1.8622635782593322E-3</v>
      </c>
      <c r="BH227" s="2">
        <v>125.24818999999999</v>
      </c>
    </row>
    <row r="228" spans="1:60" x14ac:dyDescent="0.2">
      <c r="A228" t="str">
        <f t="shared" si="10"/>
        <v>Motorbike, electric, &lt;4kW - 2030 - NMC - CH</v>
      </c>
      <c r="B228" t="s">
        <v>267</v>
      </c>
      <c r="D228" s="18">
        <v>2030</v>
      </c>
      <c r="E228" t="s">
        <v>37</v>
      </c>
      <c r="F228" t="s">
        <v>138</v>
      </c>
      <c r="G228" t="s">
        <v>39</v>
      </c>
      <c r="H228" t="s">
        <v>32</v>
      </c>
      <c r="I228" t="s">
        <v>43</v>
      </c>
      <c r="J228" t="s">
        <v>570</v>
      </c>
      <c r="L228" s="24">
        <v>0</v>
      </c>
      <c r="M228" s="24">
        <v>0</v>
      </c>
      <c r="N228" s="24">
        <v>7.4420517119050845E-4</v>
      </c>
      <c r="O228" s="24">
        <v>1.2306591692257861E-2</v>
      </c>
      <c r="P228" s="24">
        <v>4.4354770577290396E-3</v>
      </c>
      <c r="Q228" s="24">
        <v>3.6150989630984988E-2</v>
      </c>
      <c r="R228" s="24">
        <v>5.3637263552162397E-2</v>
      </c>
      <c r="S228" s="26">
        <v>0</v>
      </c>
      <c r="T228" s="26">
        <v>0</v>
      </c>
      <c r="U228" s="26">
        <v>4.2420634240975051E-4</v>
      </c>
      <c r="V228" s="26">
        <v>4.722191823356421E-4</v>
      </c>
      <c r="W228" s="26">
        <v>3.0721298492921762E-4</v>
      </c>
      <c r="X228" s="26">
        <v>3.6101004899327008E-2</v>
      </c>
      <c r="Y228" s="26">
        <v>3.7304643409001616E-2</v>
      </c>
      <c r="Z228" s="28">
        <v>0</v>
      </c>
      <c r="AA228" s="28">
        <v>3.1271735442865911E-3</v>
      </c>
      <c r="AB228" s="28">
        <v>7.4854103306236475E-5</v>
      </c>
      <c r="AC228" s="28">
        <v>1.5438989133449149E-4</v>
      </c>
      <c r="AD228" s="28">
        <v>1.3696878346843811E-4</v>
      </c>
      <c r="AE228" s="28">
        <v>3.045672236259228E-3</v>
      </c>
      <c r="AF228" s="28">
        <v>6.5390585586549855E-3</v>
      </c>
      <c r="AG228" s="30">
        <v>0</v>
      </c>
      <c r="AH228" s="30">
        <v>1.6491053126472278E-5</v>
      </c>
      <c r="AI228" s="30">
        <v>2.805230458570776E-4</v>
      </c>
      <c r="AJ228" s="30">
        <v>3.7507357872791961E-4</v>
      </c>
      <c r="AK228" s="30">
        <v>1.863653571636104E-4</v>
      </c>
      <c r="AL228" s="30">
        <v>9.5258486340622749E-3</v>
      </c>
      <c r="AM228" s="30">
        <v>1.0384301668937355E-2</v>
      </c>
      <c r="AN228" s="32">
        <v>0</v>
      </c>
      <c r="AO228" s="32">
        <v>1.179775095002105E-5</v>
      </c>
      <c r="AP228" s="32">
        <v>6.6275283726653284E-7</v>
      </c>
      <c r="AQ228" s="32">
        <v>7.4641524221169363E-7</v>
      </c>
      <c r="AR228" s="32">
        <v>7.5753792115070333E-7</v>
      </c>
      <c r="AS228" s="32">
        <v>8.6442927998933472E-6</v>
      </c>
      <c r="AT228" s="32">
        <v>2.2608749750543325E-5</v>
      </c>
      <c r="AU228" s="34">
        <v>0</v>
      </c>
      <c r="AV228" s="34">
        <v>0</v>
      </c>
      <c r="AW228" s="34">
        <v>7.4146077341334599E-3</v>
      </c>
      <c r="AX228" s="34">
        <v>0.17647448414364728</v>
      </c>
      <c r="AY228" s="34">
        <v>0.15577195503443175</v>
      </c>
      <c r="AZ228" s="34">
        <v>0.50865858246692519</v>
      </c>
      <c r="BA228" s="34">
        <v>0.84831962937913774</v>
      </c>
      <c r="BB228" s="6"/>
      <c r="BC228" s="6"/>
      <c r="BD228" t="s">
        <v>727</v>
      </c>
      <c r="BF228" s="5">
        <v>5.193979E-2</v>
      </c>
      <c r="BG228" s="5">
        <f t="shared" si="9"/>
        <v>-1.6974735521623971E-3</v>
      </c>
      <c r="BH228" s="2">
        <v>112.24854999999999</v>
      </c>
    </row>
    <row r="229" spans="1:60" x14ac:dyDescent="0.2">
      <c r="A229" t="str">
        <f t="shared" si="10"/>
        <v>Motorbike, electric, &lt;4kW - 2040 - NMC - CH</v>
      </c>
      <c r="B229" t="s">
        <v>267</v>
      </c>
      <c r="D229" s="18">
        <v>2040</v>
      </c>
      <c r="E229" t="s">
        <v>37</v>
      </c>
      <c r="F229" t="s">
        <v>138</v>
      </c>
      <c r="G229" t="s">
        <v>39</v>
      </c>
      <c r="H229" t="s">
        <v>32</v>
      </c>
      <c r="I229" t="s">
        <v>43</v>
      </c>
      <c r="J229" t="s">
        <v>570</v>
      </c>
      <c r="L229" s="24">
        <v>0</v>
      </c>
      <c r="M229" s="24">
        <v>0</v>
      </c>
      <c r="N229" s="24">
        <v>7.4420517119050845E-4</v>
      </c>
      <c r="O229" s="24">
        <v>1.2306591692257861E-2</v>
      </c>
      <c r="P229" s="24">
        <v>4.434103834174483E-3</v>
      </c>
      <c r="Q229" s="24">
        <v>3.5912100467703358E-2</v>
      </c>
      <c r="R229" s="24">
        <v>5.3397001165326211E-2</v>
      </c>
      <c r="S229" s="26">
        <v>0</v>
      </c>
      <c r="T229" s="26">
        <v>0</v>
      </c>
      <c r="U229" s="26">
        <v>4.2420634240975051E-4</v>
      </c>
      <c r="V229" s="26">
        <v>4.722191823356421E-4</v>
      </c>
      <c r="W229" s="26">
        <v>3.0712621417287557E-4</v>
      </c>
      <c r="X229" s="26">
        <v>3.3072757472973058E-2</v>
      </c>
      <c r="Y229" s="26">
        <v>3.4276309211891329E-2</v>
      </c>
      <c r="Z229" s="28">
        <v>0</v>
      </c>
      <c r="AA229" s="28">
        <v>3.1271735442865911E-3</v>
      </c>
      <c r="AB229" s="28">
        <v>7.4854103306236475E-5</v>
      </c>
      <c r="AC229" s="28">
        <v>1.5438989133449149E-4</v>
      </c>
      <c r="AD229" s="28">
        <v>1.3692934044681231E-4</v>
      </c>
      <c r="AE229" s="28">
        <v>2.8635356772810571E-3</v>
      </c>
      <c r="AF229" s="28">
        <v>6.3568825566551884E-3</v>
      </c>
      <c r="AG229" s="30">
        <v>0</v>
      </c>
      <c r="AH229" s="30">
        <v>1.6491053126472278E-5</v>
      </c>
      <c r="AI229" s="30">
        <v>2.805230458570776E-4</v>
      </c>
      <c r="AJ229" s="30">
        <v>3.7507357872791961E-4</v>
      </c>
      <c r="AK229" s="30">
        <v>1.8632854599892639E-4</v>
      </c>
      <c r="AL229" s="30">
        <v>9.1263158500380914E-3</v>
      </c>
      <c r="AM229" s="30">
        <v>9.9847320737484879E-3</v>
      </c>
      <c r="AN229" s="32">
        <v>0</v>
      </c>
      <c r="AO229" s="32">
        <v>1.179775095002105E-5</v>
      </c>
      <c r="AP229" s="32">
        <v>6.6275283726653284E-7</v>
      </c>
      <c r="AQ229" s="32">
        <v>7.4641524221169363E-7</v>
      </c>
      <c r="AR229" s="32">
        <v>7.5739257176467052E-7</v>
      </c>
      <c r="AS229" s="32">
        <v>8.1157492810330466E-6</v>
      </c>
      <c r="AT229" s="32">
        <v>2.2080060882296992E-5</v>
      </c>
      <c r="AU229" s="34">
        <v>0</v>
      </c>
      <c r="AV229" s="34">
        <v>0</v>
      </c>
      <c r="AW229" s="34">
        <v>7.4146077341334599E-3</v>
      </c>
      <c r="AX229" s="34">
        <v>0.17647448414364728</v>
      </c>
      <c r="AY229" s="34">
        <v>0.15572696912571241</v>
      </c>
      <c r="AZ229" s="34">
        <v>0.49797394030048725</v>
      </c>
      <c r="BA229" s="34">
        <v>0.83759000130398042</v>
      </c>
      <c r="BB229" s="6"/>
      <c r="BC229" s="6"/>
      <c r="BD229" t="s">
        <v>728</v>
      </c>
      <c r="BF229" s="5">
        <v>5.1483592999999994E-2</v>
      </c>
      <c r="BG229" s="5">
        <f t="shared" si="9"/>
        <v>-1.9134081653262164E-3</v>
      </c>
      <c r="BH229" s="2">
        <v>106.53724</v>
      </c>
    </row>
    <row r="230" spans="1:60" x14ac:dyDescent="0.2">
      <c r="A230" t="str">
        <f t="shared" si="10"/>
        <v>Motorbike, electric, &lt;4kW - 2050 - NMC - CH</v>
      </c>
      <c r="B230" t="s">
        <v>267</v>
      </c>
      <c r="D230" s="18">
        <v>2050</v>
      </c>
      <c r="E230" t="s">
        <v>37</v>
      </c>
      <c r="F230" t="s">
        <v>138</v>
      </c>
      <c r="G230" t="s">
        <v>39</v>
      </c>
      <c r="H230" t="s">
        <v>32</v>
      </c>
      <c r="I230" t="s">
        <v>43</v>
      </c>
      <c r="J230" t="s">
        <v>570</v>
      </c>
      <c r="L230" s="24">
        <v>0</v>
      </c>
      <c r="M230" s="24">
        <v>0</v>
      </c>
      <c r="N230" s="24">
        <v>7.4420517119050845E-4</v>
      </c>
      <c r="O230" s="24">
        <v>1.2306591692257861E-2</v>
      </c>
      <c r="P230" s="24">
        <v>4.433716903780657E-3</v>
      </c>
      <c r="Q230" s="24">
        <v>4.8722811857781059E-2</v>
      </c>
      <c r="R230" s="24">
        <v>6.6207325625010083E-2</v>
      </c>
      <c r="S230" s="26">
        <v>0</v>
      </c>
      <c r="T230" s="26">
        <v>0</v>
      </c>
      <c r="U230" s="26">
        <v>4.2420634240975051E-4</v>
      </c>
      <c r="V230" s="26">
        <v>4.722191823356421E-4</v>
      </c>
      <c r="W230" s="26">
        <v>3.0710176495423781E-4</v>
      </c>
      <c r="X230" s="26">
        <v>5.3634881422349651E-2</v>
      </c>
      <c r="Y230" s="26">
        <v>5.4838408712049279E-2</v>
      </c>
      <c r="Z230" s="28">
        <v>0</v>
      </c>
      <c r="AA230" s="28">
        <v>3.1271735442865911E-3</v>
      </c>
      <c r="AB230" s="28">
        <v>7.4854103306236475E-5</v>
      </c>
      <c r="AC230" s="28">
        <v>1.5438989133449149E-4</v>
      </c>
      <c r="AD230" s="28">
        <v>1.3691822666723821E-4</v>
      </c>
      <c r="AE230" s="28">
        <v>4.6255852130350772E-3</v>
      </c>
      <c r="AF230" s="28">
        <v>8.1189209786296339E-3</v>
      </c>
      <c r="AG230" s="30">
        <v>0</v>
      </c>
      <c r="AH230" s="30">
        <v>1.6491053126472278E-5</v>
      </c>
      <c r="AI230" s="30">
        <v>2.805230458570776E-4</v>
      </c>
      <c r="AJ230" s="30">
        <v>3.7507357872791961E-4</v>
      </c>
      <c r="AK230" s="30">
        <v>1.8631817379230269E-4</v>
      </c>
      <c r="AL230" s="30">
        <v>1.371885835088588E-2</v>
      </c>
      <c r="AM230" s="30">
        <v>1.4577264202389651E-2</v>
      </c>
      <c r="AN230" s="32">
        <v>0</v>
      </c>
      <c r="AO230" s="32">
        <v>1.179775095002105E-5</v>
      </c>
      <c r="AP230" s="32">
        <v>6.6275283726653284E-7</v>
      </c>
      <c r="AQ230" s="32">
        <v>7.4641524221169363E-7</v>
      </c>
      <c r="AR230" s="32">
        <v>7.5735161696529122E-7</v>
      </c>
      <c r="AS230" s="32">
        <v>1.187505888308293E-5</v>
      </c>
      <c r="AT230" s="32">
        <v>2.5839329529547497E-5</v>
      </c>
      <c r="AU230" s="34">
        <v>0</v>
      </c>
      <c r="AV230" s="34">
        <v>0</v>
      </c>
      <c r="AW230" s="34">
        <v>7.4146077341334599E-3</v>
      </c>
      <c r="AX230" s="34">
        <v>0.17647448414364728</v>
      </c>
      <c r="AY230" s="34">
        <v>0.15571429353817273</v>
      </c>
      <c r="AZ230" s="34">
        <v>0.68457763636854829</v>
      </c>
      <c r="BA230" s="34">
        <v>1.0241810217845018</v>
      </c>
      <c r="BB230" s="6"/>
      <c r="BC230" s="6"/>
      <c r="BD230" t="s">
        <v>729</v>
      </c>
      <c r="BF230" s="5">
        <v>5.8742284999999998E-2</v>
      </c>
      <c r="BG230" s="5">
        <f t="shared" si="9"/>
        <v>-7.4650406250100845E-3</v>
      </c>
      <c r="BH230" s="2">
        <v>143.98715000000001</v>
      </c>
    </row>
    <row r="231" spans="1:60" x14ac:dyDescent="0.2">
      <c r="A231" t="str">
        <f t="shared" si="10"/>
        <v>Motorbike, electric, 4-11kW - 2020 - NMC - CH</v>
      </c>
      <c r="B231" t="s">
        <v>268</v>
      </c>
      <c r="D231" s="18">
        <v>2020</v>
      </c>
      <c r="E231" t="s">
        <v>37</v>
      </c>
      <c r="F231" t="s">
        <v>138</v>
      </c>
      <c r="G231" t="s">
        <v>39</v>
      </c>
      <c r="H231" t="s">
        <v>32</v>
      </c>
      <c r="I231" t="s">
        <v>43</v>
      </c>
      <c r="J231" t="s">
        <v>570</v>
      </c>
      <c r="L231" s="24">
        <v>0</v>
      </c>
      <c r="M231" s="24">
        <v>0</v>
      </c>
      <c r="N231" s="24">
        <v>1.119382984765889E-3</v>
      </c>
      <c r="O231" s="24">
        <v>1.2306591692257861E-2</v>
      </c>
      <c r="P231" s="24">
        <v>4.5620586516537803E-3</v>
      </c>
      <c r="Q231" s="24">
        <v>4.8920262282214709E-2</v>
      </c>
      <c r="R231" s="24">
        <v>6.6908295610892232E-2</v>
      </c>
      <c r="S231" s="26">
        <v>0</v>
      </c>
      <c r="T231" s="26">
        <v>0</v>
      </c>
      <c r="U231" s="26">
        <v>6.380624323849139E-4</v>
      </c>
      <c r="V231" s="26">
        <v>4.722191823356421E-4</v>
      </c>
      <c r="W231" s="26">
        <v>3.1521137718470738E-4</v>
      </c>
      <c r="X231" s="26">
        <v>5.4538590521143467E-2</v>
      </c>
      <c r="Y231" s="26">
        <v>5.5964083513048733E-2</v>
      </c>
      <c r="Z231" s="28">
        <v>0</v>
      </c>
      <c r="AA231" s="28">
        <v>3.1271735442865911E-3</v>
      </c>
      <c r="AB231" s="28">
        <v>1.125904694358268E-4</v>
      </c>
      <c r="AC231" s="28">
        <v>1.5438989133449149E-4</v>
      </c>
      <c r="AD231" s="28">
        <v>1.406045793518013E-4</v>
      </c>
      <c r="AE231" s="28">
        <v>4.4499296217063557E-3</v>
      </c>
      <c r="AF231" s="28">
        <v>7.9846881061150666E-3</v>
      </c>
      <c r="AG231" s="30">
        <v>0</v>
      </c>
      <c r="AH231" s="30">
        <v>1.6491053126472278E-5</v>
      </c>
      <c r="AI231" s="30">
        <v>4.2194375492552171E-4</v>
      </c>
      <c r="AJ231" s="30">
        <v>3.7507357872791961E-4</v>
      </c>
      <c r="AK231" s="30">
        <v>1.897585526010612E-4</v>
      </c>
      <c r="AL231" s="30">
        <v>1.374556755101566E-2</v>
      </c>
      <c r="AM231" s="30">
        <v>1.4748834490396635E-2</v>
      </c>
      <c r="AN231" s="32">
        <v>0</v>
      </c>
      <c r="AO231" s="32">
        <v>1.179775095002105E-5</v>
      </c>
      <c r="AP231" s="32">
        <v>9.9686790398767734E-7</v>
      </c>
      <c r="AQ231" s="32">
        <v>7.4641524221169363E-7</v>
      </c>
      <c r="AR231" s="32">
        <v>7.7093599963467272E-7</v>
      </c>
      <c r="AS231" s="32">
        <v>1.2522572062321821E-5</v>
      </c>
      <c r="AT231" s="32">
        <v>2.6834542158176915E-5</v>
      </c>
      <c r="AU231" s="34">
        <v>0</v>
      </c>
      <c r="AV231" s="34">
        <v>0</v>
      </c>
      <c r="AW231" s="34">
        <v>1.1152550476134624E-2</v>
      </c>
      <c r="AX231" s="34">
        <v>0.17647448414364728</v>
      </c>
      <c r="AY231" s="34">
        <v>0.15991868555834748</v>
      </c>
      <c r="AZ231" s="34">
        <v>0.7018944944193094</v>
      </c>
      <c r="BA231" s="34">
        <v>1.0494402145974386</v>
      </c>
      <c r="BB231" s="6"/>
      <c r="BC231" s="6"/>
      <c r="BD231" t="s">
        <v>940</v>
      </c>
      <c r="BF231" s="5">
        <v>6.3126831000000008E-2</v>
      </c>
      <c r="BG231" s="5">
        <f t="shared" si="9"/>
        <v>-3.781464610892224E-3</v>
      </c>
      <c r="BH231" s="2">
        <v>149.24486999999999</v>
      </c>
    </row>
    <row r="232" spans="1:60" x14ac:dyDescent="0.2">
      <c r="A232" t="str">
        <f t="shared" si="10"/>
        <v>Motorbike, electric, 4-11kW - 2030 - NMC - CH</v>
      </c>
      <c r="B232" t="s">
        <v>268</v>
      </c>
      <c r="D232" s="18">
        <v>2030</v>
      </c>
      <c r="E232" t="s">
        <v>37</v>
      </c>
      <c r="F232" t="s">
        <v>138</v>
      </c>
      <c r="G232" t="s">
        <v>39</v>
      </c>
      <c r="H232" t="s">
        <v>32</v>
      </c>
      <c r="I232" t="s">
        <v>43</v>
      </c>
      <c r="J232" t="s">
        <v>570</v>
      </c>
      <c r="L232" s="24">
        <v>0</v>
      </c>
      <c r="M232" s="24">
        <v>0</v>
      </c>
      <c r="N232" s="24">
        <v>1.119382984765889E-3</v>
      </c>
      <c r="O232" s="24">
        <v>1.2306591692257861E-2</v>
      </c>
      <c r="P232" s="24">
        <v>4.5659445792955522E-3</v>
      </c>
      <c r="Q232" s="24">
        <v>5.0847739574879709E-2</v>
      </c>
      <c r="R232" s="24">
        <v>6.883965883119901E-2</v>
      </c>
      <c r="S232" s="26">
        <v>0</v>
      </c>
      <c r="T232" s="26">
        <v>0</v>
      </c>
      <c r="U232" s="26">
        <v>6.380624323849139E-4</v>
      </c>
      <c r="V232" s="26">
        <v>4.722191823356421E-4</v>
      </c>
      <c r="W232" s="26">
        <v>3.1545691978368762E-4</v>
      </c>
      <c r="X232" s="26">
        <v>5.3567251468282361E-2</v>
      </c>
      <c r="Y232" s="26">
        <v>5.4992990002786603E-2</v>
      </c>
      <c r="Z232" s="28">
        <v>0</v>
      </c>
      <c r="AA232" s="28">
        <v>3.1271735442865911E-3</v>
      </c>
      <c r="AB232" s="28">
        <v>1.125904694358268E-4</v>
      </c>
      <c r="AC232" s="28">
        <v>1.5438989133449149E-4</v>
      </c>
      <c r="AD232" s="28">
        <v>1.4071619462922781E-4</v>
      </c>
      <c r="AE232" s="28">
        <v>4.485928208278203E-3</v>
      </c>
      <c r="AF232" s="28">
        <v>8.0207983079643407E-3</v>
      </c>
      <c r="AG232" s="30">
        <v>0</v>
      </c>
      <c r="AH232" s="30">
        <v>1.6491053126472278E-5</v>
      </c>
      <c r="AI232" s="30">
        <v>4.2194375492552171E-4</v>
      </c>
      <c r="AJ232" s="30">
        <v>3.7507357872791961E-4</v>
      </c>
      <c r="AK232" s="30">
        <v>1.8986272028875961E-4</v>
      </c>
      <c r="AL232" s="30">
        <v>1.395166652116028E-2</v>
      </c>
      <c r="AM232" s="30">
        <v>1.4955037628228952E-2</v>
      </c>
      <c r="AN232" s="32">
        <v>0</v>
      </c>
      <c r="AO232" s="32">
        <v>1.179775095002105E-5</v>
      </c>
      <c r="AP232" s="32">
        <v>9.9686790398767734E-7</v>
      </c>
      <c r="AQ232" s="32">
        <v>7.4641524221169363E-7</v>
      </c>
      <c r="AR232" s="32">
        <v>7.713473071708888E-7</v>
      </c>
      <c r="AS232" s="32">
        <v>1.2387130655504919E-5</v>
      </c>
      <c r="AT232" s="32">
        <v>2.6699512058896227E-5</v>
      </c>
      <c r="AU232" s="34">
        <v>0</v>
      </c>
      <c r="AV232" s="34">
        <v>0</v>
      </c>
      <c r="AW232" s="34">
        <v>1.1152550476134624E-2</v>
      </c>
      <c r="AX232" s="34">
        <v>0.17647448414364728</v>
      </c>
      <c r="AY232" s="34">
        <v>0.16004598601543801</v>
      </c>
      <c r="AZ232" s="34">
        <v>0.71896573632358329</v>
      </c>
      <c r="BA232" s="34">
        <v>1.0666387569588032</v>
      </c>
      <c r="BB232" s="6"/>
      <c r="BC232" s="6"/>
      <c r="BD232" t="s">
        <v>579</v>
      </c>
      <c r="BF232" s="5">
        <v>6.3738665E-2</v>
      </c>
      <c r="BG232" s="5">
        <f t="shared" si="9"/>
        <v>-5.1009938311990105E-3</v>
      </c>
      <c r="BH232" s="2">
        <v>147.20254</v>
      </c>
    </row>
    <row r="233" spans="1:60" x14ac:dyDescent="0.2">
      <c r="A233" t="str">
        <f t="shared" si="10"/>
        <v>Motorbike, electric, 4-11kW - 2040 - NMC - CH</v>
      </c>
      <c r="B233" t="s">
        <v>268</v>
      </c>
      <c r="D233" s="18">
        <v>2040</v>
      </c>
      <c r="E233" t="s">
        <v>37</v>
      </c>
      <c r="F233" t="s">
        <v>138</v>
      </c>
      <c r="G233" t="s">
        <v>39</v>
      </c>
      <c r="H233" t="s">
        <v>32</v>
      </c>
      <c r="I233" t="s">
        <v>43</v>
      </c>
      <c r="J233" t="s">
        <v>570</v>
      </c>
      <c r="L233" s="24">
        <v>0</v>
      </c>
      <c r="M233" s="24">
        <v>0</v>
      </c>
      <c r="N233" s="24">
        <v>1.119382984765889E-3</v>
      </c>
      <c r="O233" s="24">
        <v>1.2306591692257861E-2</v>
      </c>
      <c r="P233" s="24">
        <v>4.5649187894673806E-3</v>
      </c>
      <c r="Q233" s="24">
        <v>4.9945219518561797E-2</v>
      </c>
      <c r="R233" s="24">
        <v>6.7936112985052921E-2</v>
      </c>
      <c r="S233" s="26">
        <v>0</v>
      </c>
      <c r="T233" s="26">
        <v>0</v>
      </c>
      <c r="U233" s="26">
        <v>6.380624323849139E-4</v>
      </c>
      <c r="V233" s="26">
        <v>4.722191823356421E-4</v>
      </c>
      <c r="W233" s="26">
        <v>3.1539210254475888E-4</v>
      </c>
      <c r="X233" s="26">
        <v>4.8628720590393887E-2</v>
      </c>
      <c r="Y233" s="26">
        <v>5.0054394307659199E-2</v>
      </c>
      <c r="Z233" s="28">
        <v>0</v>
      </c>
      <c r="AA233" s="28">
        <v>3.1271735442865911E-3</v>
      </c>
      <c r="AB233" s="28">
        <v>1.125904694358268E-4</v>
      </c>
      <c r="AC233" s="28">
        <v>1.5438989133449149E-4</v>
      </c>
      <c r="AD233" s="28">
        <v>1.4068673092665601E-4</v>
      </c>
      <c r="AE233" s="28">
        <v>4.164853860023532E-3</v>
      </c>
      <c r="AF233" s="28">
        <v>7.6996944960070974E-3</v>
      </c>
      <c r="AG233" s="30">
        <v>0</v>
      </c>
      <c r="AH233" s="30">
        <v>1.6491053126472278E-5</v>
      </c>
      <c r="AI233" s="30">
        <v>4.2194375492552171E-4</v>
      </c>
      <c r="AJ233" s="30">
        <v>3.7507357872791961E-4</v>
      </c>
      <c r="AK233" s="30">
        <v>1.8983522256767069E-4</v>
      </c>
      <c r="AL233" s="30">
        <v>1.321361617131683E-2</v>
      </c>
      <c r="AM233" s="30">
        <v>1.4216959780664415E-2</v>
      </c>
      <c r="AN233" s="32">
        <v>0</v>
      </c>
      <c r="AO233" s="32">
        <v>1.179775095002105E-5</v>
      </c>
      <c r="AP233" s="32">
        <v>9.9686790398767734E-7</v>
      </c>
      <c r="AQ233" s="32">
        <v>7.4641524221169363E-7</v>
      </c>
      <c r="AR233" s="32">
        <v>7.7123873204397056E-7</v>
      </c>
      <c r="AS233" s="32">
        <v>1.1517811144698971E-5</v>
      </c>
      <c r="AT233" s="32">
        <v>2.583008397296336E-5</v>
      </c>
      <c r="AU233" s="34">
        <v>0</v>
      </c>
      <c r="AV233" s="34">
        <v>0</v>
      </c>
      <c r="AW233" s="34">
        <v>1.1152550476134624E-2</v>
      </c>
      <c r="AX233" s="34">
        <v>0.17647448414364728</v>
      </c>
      <c r="AY233" s="34">
        <v>0.16001238180917302</v>
      </c>
      <c r="AZ233" s="34">
        <v>0.69632105167146874</v>
      </c>
      <c r="BA233" s="34">
        <v>1.0439604681004235</v>
      </c>
      <c r="BB233" s="6"/>
      <c r="BC233" s="6"/>
      <c r="BD233" t="s">
        <v>730</v>
      </c>
      <c r="BF233" s="5">
        <v>6.2810210000000005E-2</v>
      </c>
      <c r="BG233" s="5">
        <f t="shared" si="9"/>
        <v>-5.1259029850529159E-3</v>
      </c>
      <c r="BH233" s="2">
        <v>137.95820000000001</v>
      </c>
    </row>
    <row r="234" spans="1:60" x14ac:dyDescent="0.2">
      <c r="A234" t="str">
        <f t="shared" si="10"/>
        <v>Motorbike, electric, 4-11kW - 2050 - NMC - CH</v>
      </c>
      <c r="B234" t="s">
        <v>268</v>
      </c>
      <c r="D234" s="18">
        <v>2050</v>
      </c>
      <c r="E234" t="s">
        <v>37</v>
      </c>
      <c r="F234" t="s">
        <v>138</v>
      </c>
      <c r="G234" t="s">
        <v>39</v>
      </c>
      <c r="H234" t="s">
        <v>32</v>
      </c>
      <c r="I234" t="s">
        <v>43</v>
      </c>
      <c r="J234" t="s">
        <v>570</v>
      </c>
      <c r="L234" s="24">
        <v>0</v>
      </c>
      <c r="M234" s="24">
        <v>0</v>
      </c>
      <c r="N234" s="24">
        <v>1.119382984765889E-3</v>
      </c>
      <c r="O234" s="24">
        <v>7.9912933066609501E-3</v>
      </c>
      <c r="P234" s="24">
        <v>4.5678381722821411E-3</v>
      </c>
      <c r="Q234" s="24">
        <v>6.9598585968083854E-2</v>
      </c>
      <c r="R234" s="24">
        <v>8.327710043179283E-2</v>
      </c>
      <c r="S234" s="26">
        <v>0</v>
      </c>
      <c r="T234" s="26">
        <v>0</v>
      </c>
      <c r="U234" s="26">
        <v>6.380624323849139E-4</v>
      </c>
      <c r="V234" s="26">
        <v>3.0663583268548191E-4</v>
      </c>
      <c r="W234" s="26">
        <v>3.1557657145664722E-4</v>
      </c>
      <c r="X234" s="26">
        <v>8.1519463305638695E-2</v>
      </c>
      <c r="Y234" s="26">
        <v>8.2779738142165743E-2</v>
      </c>
      <c r="Z234" s="28">
        <v>0</v>
      </c>
      <c r="AA234" s="28">
        <v>3.1271735442865911E-3</v>
      </c>
      <c r="AB234" s="28">
        <v>1.125904694358268E-4</v>
      </c>
      <c r="AC234" s="28">
        <v>1.002531761912283E-4</v>
      </c>
      <c r="AD234" s="28">
        <v>1.4077058419229089E-4</v>
      </c>
      <c r="AE234" s="28">
        <v>6.9441795490579172E-3</v>
      </c>
      <c r="AF234" s="28">
        <v>1.0424967323163854E-2</v>
      </c>
      <c r="AG234" s="30">
        <v>0</v>
      </c>
      <c r="AH234" s="30">
        <v>1.6491053126472278E-5</v>
      </c>
      <c r="AI234" s="30">
        <v>4.2194375492552171E-4</v>
      </c>
      <c r="AJ234" s="30">
        <v>2.4355427190124649E-4</v>
      </c>
      <c r="AK234" s="30">
        <v>1.899134806788231E-4</v>
      </c>
      <c r="AL234" s="30">
        <v>2.0417785969691168E-2</v>
      </c>
      <c r="AM234" s="30">
        <v>2.1289688530323231E-2</v>
      </c>
      <c r="AN234" s="32">
        <v>0</v>
      </c>
      <c r="AO234" s="32">
        <v>1.179775095002105E-5</v>
      </c>
      <c r="AP234" s="32">
        <v>9.9686790398767734E-7</v>
      </c>
      <c r="AQ234" s="32">
        <v>4.8468522221538551E-7</v>
      </c>
      <c r="AR234" s="32">
        <v>7.7154773526366578E-7</v>
      </c>
      <c r="AS234" s="32">
        <v>1.751999621691411E-5</v>
      </c>
      <c r="AT234" s="32">
        <v>3.1570848028401886E-5</v>
      </c>
      <c r="AU234" s="34">
        <v>0</v>
      </c>
      <c r="AV234" s="34">
        <v>0</v>
      </c>
      <c r="AW234" s="34">
        <v>1.1152550476134624E-2</v>
      </c>
      <c r="AX234" s="34">
        <v>0.1145938208724982</v>
      </c>
      <c r="AY234" s="34">
        <v>0.16010801888762657</v>
      </c>
      <c r="AZ234" s="34">
        <v>0.98629421917407689</v>
      </c>
      <c r="BA234" s="34">
        <v>1.2721486094103363</v>
      </c>
      <c r="BB234" s="6"/>
      <c r="BC234" s="6"/>
      <c r="BD234" t="s">
        <v>731</v>
      </c>
      <c r="BF234" s="5">
        <v>7.0718003999999987E-2</v>
      </c>
      <c r="BG234" s="5">
        <f t="shared" si="9"/>
        <v>-1.2559096431792843E-2</v>
      </c>
      <c r="BH234" s="2">
        <v>194.50388000000001</v>
      </c>
    </row>
    <row r="235" spans="1:60" x14ac:dyDescent="0.2">
      <c r="A235" t="str">
        <f t="shared" si="10"/>
        <v>Motorbike, electric, 11-35kW - 2020 - NMC - CH</v>
      </c>
      <c r="B235" t="s">
        <v>269</v>
      </c>
      <c r="D235" s="18">
        <v>2020</v>
      </c>
      <c r="E235" t="s">
        <v>37</v>
      </c>
      <c r="F235" t="s">
        <v>138</v>
      </c>
      <c r="G235" t="s">
        <v>39</v>
      </c>
      <c r="H235" t="s">
        <v>32</v>
      </c>
      <c r="I235" t="s">
        <v>43</v>
      </c>
      <c r="J235" t="s">
        <v>570</v>
      </c>
      <c r="L235" s="24">
        <v>0</v>
      </c>
      <c r="M235" s="24">
        <v>0</v>
      </c>
      <c r="N235" s="24">
        <v>1.5152004931467059E-3</v>
      </c>
      <c r="O235" s="24">
        <v>1.2306591692257861E-2</v>
      </c>
      <c r="P235" s="24">
        <v>4.8377632773803636E-3</v>
      </c>
      <c r="Q235" s="24">
        <v>5.8569053018428567E-2</v>
      </c>
      <c r="R235" s="24">
        <v>7.722860848121349E-2</v>
      </c>
      <c r="S235" s="26">
        <v>0</v>
      </c>
      <c r="T235" s="26">
        <v>0</v>
      </c>
      <c r="U235" s="26">
        <v>8.6368340895427004E-4</v>
      </c>
      <c r="V235" s="26">
        <v>4.722191823356421E-4</v>
      </c>
      <c r="W235" s="26">
        <v>3.3263250196944769E-4</v>
      </c>
      <c r="X235" s="26">
        <v>7.9376902193139781E-2</v>
      </c>
      <c r="Y235" s="26">
        <v>8.1045437286399138E-2</v>
      </c>
      <c r="Z235" s="28">
        <v>0</v>
      </c>
      <c r="AA235" s="28">
        <v>3.1271735442865911E-3</v>
      </c>
      <c r="AB235" s="28">
        <v>1.5240283007201779E-4</v>
      </c>
      <c r="AC235" s="28">
        <v>1.5438989133449149E-4</v>
      </c>
      <c r="AD235" s="28">
        <v>1.4852362754957401E-4</v>
      </c>
      <c r="AE235" s="28">
        <v>6.4606502229099154E-3</v>
      </c>
      <c r="AF235" s="28">
        <v>1.004314011615259E-2</v>
      </c>
      <c r="AG235" s="30">
        <v>0</v>
      </c>
      <c r="AH235" s="30">
        <v>1.6491053126472278E-5</v>
      </c>
      <c r="AI235" s="30">
        <v>5.7114445569050236E-4</v>
      </c>
      <c r="AJ235" s="30">
        <v>3.7507357872791961E-4</v>
      </c>
      <c r="AK235" s="30">
        <v>1.971491980266176E-4</v>
      </c>
      <c r="AL235" s="30">
        <v>1.8523386487649372E-2</v>
      </c>
      <c r="AM235" s="30">
        <v>1.9683244773220882E-2</v>
      </c>
      <c r="AN235" s="32">
        <v>0</v>
      </c>
      <c r="AO235" s="32">
        <v>1.179775095002105E-5</v>
      </c>
      <c r="AP235" s="32">
        <v>1.349363676490181E-6</v>
      </c>
      <c r="AQ235" s="32">
        <v>7.4641524221169363E-7</v>
      </c>
      <c r="AR235" s="32">
        <v>8.0011806394075551E-7</v>
      </c>
      <c r="AS235" s="32">
        <v>1.666699152436914E-5</v>
      </c>
      <c r="AT235" s="32">
        <v>3.1360639457032821E-5</v>
      </c>
      <c r="AU235" s="34">
        <v>0</v>
      </c>
      <c r="AV235" s="34">
        <v>0</v>
      </c>
      <c r="AW235" s="34">
        <v>1.5096129038281648E-2</v>
      </c>
      <c r="AX235" s="34">
        <v>0.17647448414364728</v>
      </c>
      <c r="AY235" s="34">
        <v>0.16895058942080754</v>
      </c>
      <c r="AZ235" s="34">
        <v>0.86034454505320113</v>
      </c>
      <c r="BA235" s="34">
        <v>1.2208657476559375</v>
      </c>
      <c r="BB235" s="6"/>
      <c r="BC235" s="6"/>
      <c r="BD235" t="s">
        <v>941</v>
      </c>
      <c r="BF235" s="5">
        <v>6.8050756000000004E-2</v>
      </c>
      <c r="BG235" s="5">
        <f t="shared" si="9"/>
        <v>-9.177852481213486E-3</v>
      </c>
      <c r="BH235" s="2">
        <v>195.03688</v>
      </c>
    </row>
    <row r="236" spans="1:60" x14ac:dyDescent="0.2">
      <c r="A236" t="str">
        <f t="shared" si="10"/>
        <v>Motorbike, electric, 11-35kW - 2030 - NMC - CH</v>
      </c>
      <c r="B236" t="s">
        <v>269</v>
      </c>
      <c r="D236" s="18">
        <v>2030</v>
      </c>
      <c r="E236" t="s">
        <v>37</v>
      </c>
      <c r="F236" t="s">
        <v>138</v>
      </c>
      <c r="G236" t="s">
        <v>39</v>
      </c>
      <c r="H236" t="s">
        <v>32</v>
      </c>
      <c r="I236" t="s">
        <v>43</v>
      </c>
      <c r="J236" t="s">
        <v>570</v>
      </c>
      <c r="L236" s="24">
        <v>0</v>
      </c>
      <c r="M236" s="24">
        <v>0</v>
      </c>
      <c r="N236" s="24">
        <v>1.5152004931467059E-3</v>
      </c>
      <c r="O236" s="24">
        <v>1.2306591692257861E-2</v>
      </c>
      <c r="P236" s="24">
        <v>4.8395234313287488E-3</v>
      </c>
      <c r="Q236" s="24">
        <v>5.6848945373648319E-2</v>
      </c>
      <c r="R236" s="24">
        <v>7.5510260990381634E-2</v>
      </c>
      <c r="S236" s="26">
        <v>0</v>
      </c>
      <c r="T236" s="26">
        <v>0</v>
      </c>
      <c r="U236" s="26">
        <v>8.6368340895427004E-4</v>
      </c>
      <c r="V236" s="26">
        <v>4.722191823356421E-4</v>
      </c>
      <c r="W236" s="26">
        <v>3.3274372194442772E-4</v>
      </c>
      <c r="X236" s="26">
        <v>7.2166381107043945E-2</v>
      </c>
      <c r="Y236" s="26">
        <v>7.3835027420278282E-2</v>
      </c>
      <c r="Z236" s="28">
        <v>0</v>
      </c>
      <c r="AA236" s="28">
        <v>3.1271735442865911E-3</v>
      </c>
      <c r="AB236" s="28">
        <v>1.5240283007201779E-4</v>
      </c>
      <c r="AC236" s="28">
        <v>1.5438989133449149E-4</v>
      </c>
      <c r="AD236" s="28">
        <v>1.4857418435077391E-4</v>
      </c>
      <c r="AE236" s="28">
        <v>5.9730944153691054E-3</v>
      </c>
      <c r="AF236" s="28">
        <v>9.5556348654129795E-3</v>
      </c>
      <c r="AG236" s="30">
        <v>0</v>
      </c>
      <c r="AH236" s="30">
        <v>1.6491053126472278E-5</v>
      </c>
      <c r="AI236" s="30">
        <v>5.7114445569050236E-4</v>
      </c>
      <c r="AJ236" s="30">
        <v>3.7507357872791961E-4</v>
      </c>
      <c r="AK236" s="30">
        <v>1.971963813979253E-4</v>
      </c>
      <c r="AL236" s="30">
        <v>1.7377269998704599E-2</v>
      </c>
      <c r="AM236" s="30">
        <v>1.8537175467647417E-2</v>
      </c>
      <c r="AN236" s="32">
        <v>0</v>
      </c>
      <c r="AO236" s="32">
        <v>1.179775095002105E-5</v>
      </c>
      <c r="AP236" s="32">
        <v>1.349363676490181E-6</v>
      </c>
      <c r="AQ236" s="32">
        <v>7.4641524221169363E-7</v>
      </c>
      <c r="AR236" s="32">
        <v>8.0030436812616762E-7</v>
      </c>
      <c r="AS236" s="32">
        <v>1.5392959304160391E-5</v>
      </c>
      <c r="AT236" s="32">
        <v>3.0086793541009483E-5</v>
      </c>
      <c r="AU236" s="34">
        <v>0</v>
      </c>
      <c r="AV236" s="34">
        <v>0</v>
      </c>
      <c r="AW236" s="34">
        <v>1.5096129038281648E-2</v>
      </c>
      <c r="AX236" s="34">
        <v>0.17647448414364728</v>
      </c>
      <c r="AY236" s="34">
        <v>0.16900825091706656</v>
      </c>
      <c r="AZ236" s="34">
        <v>0.82320647866840024</v>
      </c>
      <c r="BA236" s="34">
        <v>1.1837853427673957</v>
      </c>
      <c r="BB236" s="6"/>
      <c r="BC236" s="6"/>
      <c r="BD236" t="s">
        <v>732</v>
      </c>
      <c r="BF236" s="5">
        <v>6.6553926999999999E-2</v>
      </c>
      <c r="BG236" s="5">
        <f t="shared" si="9"/>
        <v>-8.9563339903816347E-3</v>
      </c>
      <c r="BH236" s="2">
        <v>181.59727000000001</v>
      </c>
    </row>
    <row r="237" spans="1:60" x14ac:dyDescent="0.2">
      <c r="A237" t="str">
        <f t="shared" si="10"/>
        <v>Motorbike, electric, 11-35kW - 2040 - NMC - CH</v>
      </c>
      <c r="B237" t="s">
        <v>269</v>
      </c>
      <c r="D237" s="18">
        <v>2040</v>
      </c>
      <c r="E237" t="s">
        <v>37</v>
      </c>
      <c r="F237" t="s">
        <v>138</v>
      </c>
      <c r="G237" t="s">
        <v>39</v>
      </c>
      <c r="H237" t="s">
        <v>32</v>
      </c>
      <c r="I237" t="s">
        <v>43</v>
      </c>
      <c r="J237" t="s">
        <v>570</v>
      </c>
      <c r="L237" s="24">
        <v>0</v>
      </c>
      <c r="M237" s="24">
        <v>0</v>
      </c>
      <c r="N237" s="24">
        <v>1.5152004931467059E-3</v>
      </c>
      <c r="O237" s="24">
        <v>1.2306591692257861E-2</v>
      </c>
      <c r="P237" s="24">
        <v>4.8429982180027134E-3</v>
      </c>
      <c r="Q237" s="24">
        <v>5.3684904657885529E-2</v>
      </c>
      <c r="R237" s="24">
        <v>7.234969506129281E-2</v>
      </c>
      <c r="S237" s="26">
        <v>0</v>
      </c>
      <c r="T237" s="26">
        <v>0</v>
      </c>
      <c r="U237" s="26">
        <v>8.6368340895427004E-4</v>
      </c>
      <c r="V237" s="26">
        <v>4.722191823356421E-4</v>
      </c>
      <c r="W237" s="26">
        <v>3.3296328551572421E-4</v>
      </c>
      <c r="X237" s="26">
        <v>6.337911973557539E-2</v>
      </c>
      <c r="Y237" s="26">
        <v>6.5047985612381024E-2</v>
      </c>
      <c r="Z237" s="28">
        <v>0</v>
      </c>
      <c r="AA237" s="28">
        <v>3.1271735442865911E-3</v>
      </c>
      <c r="AB237" s="28">
        <v>1.5240283007201779E-4</v>
      </c>
      <c r="AC237" s="28">
        <v>1.5438989133449149E-4</v>
      </c>
      <c r="AD237" s="28">
        <v>1.4867399044969431E-4</v>
      </c>
      <c r="AE237" s="28">
        <v>5.3287854582830261E-3</v>
      </c>
      <c r="AF237" s="28">
        <v>8.9114257144258212E-3</v>
      </c>
      <c r="AG237" s="30">
        <v>0</v>
      </c>
      <c r="AH237" s="30">
        <v>1.6491053126472278E-5</v>
      </c>
      <c r="AI237" s="30">
        <v>5.7114445569050236E-4</v>
      </c>
      <c r="AJ237" s="30">
        <v>3.7507357872791961E-4</v>
      </c>
      <c r="AK237" s="30">
        <v>1.9728952788093779E-4</v>
      </c>
      <c r="AL237" s="30">
        <v>1.5801163181385459E-2</v>
      </c>
      <c r="AM237" s="30">
        <v>1.6961161796811289E-2</v>
      </c>
      <c r="AN237" s="32">
        <v>0</v>
      </c>
      <c r="AO237" s="32">
        <v>1.179775095002105E-5</v>
      </c>
      <c r="AP237" s="32">
        <v>1.349363676490181E-6</v>
      </c>
      <c r="AQ237" s="32">
        <v>7.4641524221169363E-7</v>
      </c>
      <c r="AR237" s="32">
        <v>8.0067215828530021E-7</v>
      </c>
      <c r="AS237" s="32">
        <v>1.382403194090753E-5</v>
      </c>
      <c r="AT237" s="32">
        <v>2.8518233967915754E-5</v>
      </c>
      <c r="AU237" s="34">
        <v>0</v>
      </c>
      <c r="AV237" s="34">
        <v>0</v>
      </c>
      <c r="AW237" s="34">
        <v>1.5096129038281648E-2</v>
      </c>
      <c r="AX237" s="34">
        <v>0.17647448414364728</v>
      </c>
      <c r="AY237" s="34">
        <v>0.16912208266399173</v>
      </c>
      <c r="AZ237" s="34">
        <v>0.76706184836719249</v>
      </c>
      <c r="BA237" s="34">
        <v>1.1277545442131132</v>
      </c>
      <c r="BB237" s="6"/>
      <c r="BC237" s="6"/>
      <c r="BD237" t="s">
        <v>733</v>
      </c>
      <c r="BF237" s="5">
        <v>6.4338407E-2</v>
      </c>
      <c r="BG237" s="5">
        <f t="shared" si="9"/>
        <v>-8.0112880612928095E-3</v>
      </c>
      <c r="BH237" s="2">
        <v>165.36508000000001</v>
      </c>
    </row>
    <row r="238" spans="1:60" x14ac:dyDescent="0.2">
      <c r="A238" t="str">
        <f t="shared" si="10"/>
        <v>Motorbike, electric, 11-35kW - 2050 - NMC - CH</v>
      </c>
      <c r="B238" t="s">
        <v>269</v>
      </c>
      <c r="D238" s="18">
        <v>2050</v>
      </c>
      <c r="E238" t="s">
        <v>37</v>
      </c>
      <c r="F238" t="s">
        <v>138</v>
      </c>
      <c r="G238" t="s">
        <v>39</v>
      </c>
      <c r="H238" t="s">
        <v>32</v>
      </c>
      <c r="I238" t="s">
        <v>43</v>
      </c>
      <c r="J238" t="s">
        <v>570</v>
      </c>
      <c r="L238" s="24">
        <v>0</v>
      </c>
      <c r="M238" s="24">
        <v>0</v>
      </c>
      <c r="N238" s="24">
        <v>1.5152004931467059E-3</v>
      </c>
      <c r="O238" s="24">
        <v>1.16988587691834E-2</v>
      </c>
      <c r="P238" s="24">
        <v>4.8421333147694546E-3</v>
      </c>
      <c r="Q238" s="24">
        <v>8.1215900047141174E-2</v>
      </c>
      <c r="R238" s="24">
        <v>9.9272092624240735E-2</v>
      </c>
      <c r="S238" s="26">
        <v>0</v>
      </c>
      <c r="T238" s="26">
        <v>0</v>
      </c>
      <c r="U238" s="26">
        <v>8.6368340895427004E-4</v>
      </c>
      <c r="V238" s="26">
        <v>4.4889971654128941E-4</v>
      </c>
      <c r="W238" s="26">
        <v>3.3290863432112197E-4</v>
      </c>
      <c r="X238" s="26">
        <v>0.1117595975810074</v>
      </c>
      <c r="Y238" s="26">
        <v>0.11340508934082408</v>
      </c>
      <c r="Z238" s="28">
        <v>0</v>
      </c>
      <c r="AA238" s="28">
        <v>3.1271735442865911E-3</v>
      </c>
      <c r="AB238" s="28">
        <v>1.5240283007201779E-4</v>
      </c>
      <c r="AC238" s="28">
        <v>1.4676569916982529E-4</v>
      </c>
      <c r="AD238" s="28">
        <v>1.486491478835875E-4</v>
      </c>
      <c r="AE238" s="28">
        <v>9.3519976039321637E-3</v>
      </c>
      <c r="AF238" s="28">
        <v>1.2926988825344186E-2</v>
      </c>
      <c r="AG238" s="30">
        <v>0</v>
      </c>
      <c r="AH238" s="30">
        <v>1.6491053126472278E-5</v>
      </c>
      <c r="AI238" s="30">
        <v>5.7114445569050236E-4</v>
      </c>
      <c r="AJ238" s="30">
        <v>3.5655142669197291E-4</v>
      </c>
      <c r="AK238" s="30">
        <v>1.9726634294848491E-4</v>
      </c>
      <c r="AL238" s="30">
        <v>2.6169038215186489E-2</v>
      </c>
      <c r="AM238" s="30">
        <v>2.731049149364392E-2</v>
      </c>
      <c r="AN238" s="32">
        <v>0</v>
      </c>
      <c r="AO238" s="32">
        <v>1.179775095002105E-5</v>
      </c>
      <c r="AP238" s="32">
        <v>1.349363676490181E-6</v>
      </c>
      <c r="AQ238" s="32">
        <v>7.095552302506223E-7</v>
      </c>
      <c r="AR238" s="32">
        <v>8.0058061226315808E-7</v>
      </c>
      <c r="AS238" s="32">
        <v>2.2628354772369259E-5</v>
      </c>
      <c r="AT238" s="32">
        <v>3.7285605241394268E-5</v>
      </c>
      <c r="AU238" s="34">
        <v>0</v>
      </c>
      <c r="AV238" s="34">
        <v>0</v>
      </c>
      <c r="AW238" s="34">
        <v>1.5096129038281648E-2</v>
      </c>
      <c r="AX238" s="34">
        <v>0.16775969480322017</v>
      </c>
      <c r="AY238" s="34">
        <v>0.16909374899772653</v>
      </c>
      <c r="AZ238" s="34">
        <v>1.1794801664521959</v>
      </c>
      <c r="BA238" s="34">
        <v>1.5314297392914242</v>
      </c>
      <c r="BB238" s="6"/>
      <c r="BC238" s="6"/>
      <c r="BD238" t="s">
        <v>734</v>
      </c>
      <c r="BF238" s="5">
        <v>7.9935365000000008E-2</v>
      </c>
      <c r="BG238" s="5">
        <f t="shared" si="9"/>
        <v>-1.9336727624240727E-2</v>
      </c>
      <c r="BH238" s="2">
        <v>253.26034000000001</v>
      </c>
    </row>
    <row r="239" spans="1:60" x14ac:dyDescent="0.2">
      <c r="A239" t="str">
        <f t="shared" si="10"/>
        <v>Motorbike, electric, &gt;35kW - 2020 - NMC - CH</v>
      </c>
      <c r="B239" t="s">
        <v>270</v>
      </c>
      <c r="D239" s="18">
        <v>2020</v>
      </c>
      <c r="E239" t="s">
        <v>37</v>
      </c>
      <c r="F239" t="s">
        <v>138</v>
      </c>
      <c r="G239" t="s">
        <v>39</v>
      </c>
      <c r="H239" t="s">
        <v>32</v>
      </c>
      <c r="I239" t="s">
        <v>43</v>
      </c>
      <c r="J239" t="s">
        <v>570</v>
      </c>
      <c r="L239" s="24">
        <v>0</v>
      </c>
      <c r="M239" s="24">
        <v>0</v>
      </c>
      <c r="N239" s="24">
        <v>1.689725966023888E-3</v>
      </c>
      <c r="O239" s="24">
        <v>1.2306591692257861E-2</v>
      </c>
      <c r="P239" s="24">
        <v>5.2439946696746179E-3</v>
      </c>
      <c r="Q239" s="24">
        <v>9.3549221229405455E-2</v>
      </c>
      <c r="R239" s="24">
        <v>0.11278953355736182</v>
      </c>
      <c r="S239" s="26">
        <v>0</v>
      </c>
      <c r="T239" s="26">
        <v>0</v>
      </c>
      <c r="U239" s="26">
        <v>9.63165131700334E-4</v>
      </c>
      <c r="V239" s="26">
        <v>4.722191823356421E-4</v>
      </c>
      <c r="W239" s="26">
        <v>3.5830130516049491E-4</v>
      </c>
      <c r="X239" s="26">
        <v>0.13974324927312981</v>
      </c>
      <c r="Y239" s="26">
        <v>0.14153693489232627</v>
      </c>
      <c r="Z239" s="28">
        <v>0</v>
      </c>
      <c r="AA239" s="28">
        <v>3.1271735442865911E-3</v>
      </c>
      <c r="AB239" s="28">
        <v>1.699570587740569E-4</v>
      </c>
      <c r="AC239" s="28">
        <v>1.5438989133449149E-4</v>
      </c>
      <c r="AD239" s="28">
        <v>1.6019178859891651E-4</v>
      </c>
      <c r="AE239" s="28">
        <v>1.1422930737701731E-2</v>
      </c>
      <c r="AF239" s="28">
        <v>1.5034643020695787E-2</v>
      </c>
      <c r="AG239" s="30">
        <v>0</v>
      </c>
      <c r="AH239" s="30">
        <v>1.6491053126472278E-5</v>
      </c>
      <c r="AI239" s="30">
        <v>6.3693063821975663E-4</v>
      </c>
      <c r="AJ239" s="30">
        <v>3.7507357872791961E-4</v>
      </c>
      <c r="AK239" s="30">
        <v>2.0803879472186621E-4</v>
      </c>
      <c r="AL239" s="30">
        <v>3.1439545680802601E-2</v>
      </c>
      <c r="AM239" s="30">
        <v>3.2676079745598614E-2</v>
      </c>
      <c r="AN239" s="32">
        <v>0</v>
      </c>
      <c r="AO239" s="32">
        <v>1.179775095002105E-5</v>
      </c>
      <c r="AP239" s="32">
        <v>1.5047875525962851E-6</v>
      </c>
      <c r="AQ239" s="32">
        <v>7.4641524221169363E-7</v>
      </c>
      <c r="AR239" s="32">
        <v>8.4311578507742115E-7</v>
      </c>
      <c r="AS239" s="32">
        <v>2.8455953069981901E-5</v>
      </c>
      <c r="AT239" s="32">
        <v>4.334802259988835E-5</v>
      </c>
      <c r="AU239" s="34">
        <v>0</v>
      </c>
      <c r="AV239" s="34">
        <v>0</v>
      </c>
      <c r="AW239" s="34">
        <v>1.6834947809089666E-2</v>
      </c>
      <c r="AX239" s="34">
        <v>0.17647448414364728</v>
      </c>
      <c r="AY239" s="34">
        <v>0.18225846509190186</v>
      </c>
      <c r="AZ239" s="34">
        <v>1.3945357778305667</v>
      </c>
      <c r="BA239" s="34">
        <v>1.7701036748752055</v>
      </c>
      <c r="BB239" s="6"/>
      <c r="BC239" s="6"/>
      <c r="BD239" t="s">
        <v>942</v>
      </c>
      <c r="BF239" s="5">
        <v>9.2101022000000005E-2</v>
      </c>
      <c r="BG239" s="5">
        <f t="shared" si="9"/>
        <v>-2.0688511557361816E-2</v>
      </c>
      <c r="BH239" s="2">
        <v>311.22433999999998</v>
      </c>
    </row>
    <row r="240" spans="1:60" x14ac:dyDescent="0.2">
      <c r="A240" t="str">
        <f t="shared" si="10"/>
        <v>Motorbike, electric, &gt;35kW - 2030 - NMC - CH</v>
      </c>
      <c r="B240" t="s">
        <v>270</v>
      </c>
      <c r="D240" s="18">
        <v>2030</v>
      </c>
      <c r="E240" t="s">
        <v>37</v>
      </c>
      <c r="F240" t="s">
        <v>138</v>
      </c>
      <c r="G240" t="s">
        <v>39</v>
      </c>
      <c r="H240" t="s">
        <v>32</v>
      </c>
      <c r="I240" t="s">
        <v>43</v>
      </c>
      <c r="J240" t="s">
        <v>570</v>
      </c>
      <c r="L240" s="24">
        <v>0</v>
      </c>
      <c r="M240" s="24">
        <v>0</v>
      </c>
      <c r="N240" s="24">
        <v>1.689725966023888E-3</v>
      </c>
      <c r="O240" s="24">
        <v>1.2306591692257861E-2</v>
      </c>
      <c r="P240" s="24">
        <v>5.2456030862136592E-3</v>
      </c>
      <c r="Q240" s="24">
        <v>8.7888747837589959E-2</v>
      </c>
      <c r="R240" s="24">
        <v>0.10713066858208536</v>
      </c>
      <c r="S240" s="26">
        <v>0</v>
      </c>
      <c r="T240" s="26">
        <v>0</v>
      </c>
      <c r="U240" s="26">
        <v>9.63165131700334E-4</v>
      </c>
      <c r="V240" s="26">
        <v>4.722191823356421E-4</v>
      </c>
      <c r="W240" s="26">
        <v>3.5840293720659718E-4</v>
      </c>
      <c r="X240" s="26">
        <v>0.1236173950741264</v>
      </c>
      <c r="Y240" s="26">
        <v>0.12541118232536896</v>
      </c>
      <c r="Z240" s="28">
        <v>0</v>
      </c>
      <c r="AA240" s="28">
        <v>3.1271735442865911E-3</v>
      </c>
      <c r="AB240" s="28">
        <v>1.699570587740569E-4</v>
      </c>
      <c r="AC240" s="28">
        <v>1.5438989133449149E-4</v>
      </c>
      <c r="AD240" s="28">
        <v>1.6023798705518531E-4</v>
      </c>
      <c r="AE240" s="28">
        <v>1.0247226366538621E-2</v>
      </c>
      <c r="AF240" s="28">
        <v>1.3858984847988944E-2</v>
      </c>
      <c r="AG240" s="30">
        <v>0</v>
      </c>
      <c r="AH240" s="30">
        <v>1.6491053126472278E-5</v>
      </c>
      <c r="AI240" s="30">
        <v>6.3693063821975663E-4</v>
      </c>
      <c r="AJ240" s="30">
        <v>3.7507357872791961E-4</v>
      </c>
      <c r="AK240" s="30">
        <v>2.080819105611646E-4</v>
      </c>
      <c r="AL240" s="30">
        <v>2.8572910874845901E-2</v>
      </c>
      <c r="AM240" s="30">
        <v>2.9809488055481212E-2</v>
      </c>
      <c r="AN240" s="32">
        <v>0</v>
      </c>
      <c r="AO240" s="32">
        <v>1.179775095002105E-5</v>
      </c>
      <c r="AP240" s="32">
        <v>1.5047875525962851E-6</v>
      </c>
      <c r="AQ240" s="32">
        <v>7.4641524221169363E-7</v>
      </c>
      <c r="AR240" s="32">
        <v>8.4328602855719433E-7</v>
      </c>
      <c r="AS240" s="32">
        <v>2.5577196355962291E-5</v>
      </c>
      <c r="AT240" s="32">
        <v>4.0469436129348512E-5</v>
      </c>
      <c r="AU240" s="34">
        <v>0</v>
      </c>
      <c r="AV240" s="34">
        <v>0</v>
      </c>
      <c r="AW240" s="34">
        <v>1.6834947809089666E-2</v>
      </c>
      <c r="AX240" s="34">
        <v>0.17647448414364728</v>
      </c>
      <c r="AY240" s="34">
        <v>0.18231115576951787</v>
      </c>
      <c r="AZ240" s="34">
        <v>1.292956185038838</v>
      </c>
      <c r="BA240" s="34">
        <v>1.6685767727610927</v>
      </c>
      <c r="BB240" s="6"/>
      <c r="BC240" s="6"/>
      <c r="BD240" t="s">
        <v>735</v>
      </c>
      <c r="BF240" s="5">
        <v>8.8069887000000013E-2</v>
      </c>
      <c r="BG240" s="5">
        <f t="shared" si="9"/>
        <v>-1.9060781582085351E-2</v>
      </c>
      <c r="BH240" s="2">
        <v>281.34589999999997</v>
      </c>
    </row>
    <row r="241" spans="1:60" x14ac:dyDescent="0.2">
      <c r="A241" t="str">
        <f t="shared" si="10"/>
        <v>Motorbike, electric, &gt;35kW - 2040 - NMC - CH</v>
      </c>
      <c r="B241" t="s">
        <v>270</v>
      </c>
      <c r="D241" s="18">
        <v>2040</v>
      </c>
      <c r="E241" t="s">
        <v>37</v>
      </c>
      <c r="F241" t="s">
        <v>138</v>
      </c>
      <c r="G241" t="s">
        <v>39</v>
      </c>
      <c r="H241" t="s">
        <v>32</v>
      </c>
      <c r="I241" t="s">
        <v>43</v>
      </c>
      <c r="J241" t="s">
        <v>570</v>
      </c>
      <c r="L241" s="24">
        <v>0</v>
      </c>
      <c r="M241" s="24">
        <v>0</v>
      </c>
      <c r="N241" s="24">
        <v>1.689725966023888E-3</v>
      </c>
      <c r="O241" s="24">
        <v>1.2306591692257861E-2</v>
      </c>
      <c r="P241" s="24">
        <v>5.2483191858409056E-3</v>
      </c>
      <c r="Q241" s="24">
        <v>8.0275243539084731E-2</v>
      </c>
      <c r="R241" s="24">
        <v>9.9519880383207387E-2</v>
      </c>
      <c r="S241" s="26">
        <v>0</v>
      </c>
      <c r="T241" s="26">
        <v>0</v>
      </c>
      <c r="U241" s="26">
        <v>9.63165131700334E-4</v>
      </c>
      <c r="V241" s="26">
        <v>4.722191823356421E-4</v>
      </c>
      <c r="W241" s="26">
        <v>3.5857456113350578E-4</v>
      </c>
      <c r="X241" s="26">
        <v>0.1052993504565712</v>
      </c>
      <c r="Y241" s="26">
        <v>0.10709330933174067</v>
      </c>
      <c r="Z241" s="28">
        <v>0</v>
      </c>
      <c r="AA241" s="28">
        <v>3.1271735442865911E-3</v>
      </c>
      <c r="AB241" s="28">
        <v>1.699570587740569E-4</v>
      </c>
      <c r="AC241" s="28">
        <v>1.5438989133449149E-4</v>
      </c>
      <c r="AD241" s="28">
        <v>1.6031600142945069E-4</v>
      </c>
      <c r="AE241" s="28">
        <v>8.8560991363717499E-3</v>
      </c>
      <c r="AF241" s="28">
        <v>1.246793563219634E-2</v>
      </c>
      <c r="AG241" s="30">
        <v>0</v>
      </c>
      <c r="AH241" s="30">
        <v>1.6491053126472278E-5</v>
      </c>
      <c r="AI241" s="30">
        <v>6.3693063821975663E-4</v>
      </c>
      <c r="AJ241" s="30">
        <v>3.7507357872791961E-4</v>
      </c>
      <c r="AK241" s="30">
        <v>2.081547193841308E-4</v>
      </c>
      <c r="AL241" s="30">
        <v>2.511793462766259E-2</v>
      </c>
      <c r="AM241" s="30">
        <v>2.6354584617120869E-2</v>
      </c>
      <c r="AN241" s="32">
        <v>0</v>
      </c>
      <c r="AO241" s="32">
        <v>1.179775095002105E-5</v>
      </c>
      <c r="AP241" s="32">
        <v>1.5047875525962851E-6</v>
      </c>
      <c r="AQ241" s="32">
        <v>7.4641524221169363E-7</v>
      </c>
      <c r="AR241" s="32">
        <v>8.4357351518813197E-7</v>
      </c>
      <c r="AS241" s="32">
        <v>2.228878710164987E-5</v>
      </c>
      <c r="AT241" s="32">
        <v>3.718131436166703E-5</v>
      </c>
      <c r="AU241" s="34">
        <v>0</v>
      </c>
      <c r="AV241" s="34">
        <v>0</v>
      </c>
      <c r="AW241" s="34">
        <v>1.6834947809089666E-2</v>
      </c>
      <c r="AX241" s="34">
        <v>0.17647448414364728</v>
      </c>
      <c r="AY241" s="34">
        <v>0.18240013342322792</v>
      </c>
      <c r="AZ241" s="34">
        <v>1.1654975603178257</v>
      </c>
      <c r="BA241" s="34">
        <v>1.5412071256937905</v>
      </c>
      <c r="BB241" s="6"/>
      <c r="BC241" s="6"/>
      <c r="BD241" t="s">
        <v>736</v>
      </c>
      <c r="BF241" s="5">
        <v>8.3052434999999994E-2</v>
      </c>
      <c r="BG241" s="5">
        <f t="shared" si="9"/>
        <v>-1.6467445383207394E-2</v>
      </c>
      <c r="BH241" s="2">
        <v>247.52912000000001</v>
      </c>
    </row>
    <row r="242" spans="1:60" x14ac:dyDescent="0.2">
      <c r="A242" t="str">
        <f t="shared" si="10"/>
        <v>Motorbike, electric, &gt;35kW - 2050 - NMC - CH</v>
      </c>
      <c r="B242" t="s">
        <v>270</v>
      </c>
      <c r="D242" s="18">
        <v>2050</v>
      </c>
      <c r="E242" t="s">
        <v>37</v>
      </c>
      <c r="F242" t="s">
        <v>138</v>
      </c>
      <c r="G242" t="s">
        <v>39</v>
      </c>
      <c r="H242" t="s">
        <v>32</v>
      </c>
      <c r="I242" t="s">
        <v>43</v>
      </c>
      <c r="J242" t="s">
        <v>570</v>
      </c>
      <c r="L242" s="24">
        <v>0</v>
      </c>
      <c r="M242" s="24">
        <v>0</v>
      </c>
      <c r="N242" s="24">
        <v>1.689725966023888E-3</v>
      </c>
      <c r="O242" s="24">
        <v>1.9936678541457739E-2</v>
      </c>
      <c r="P242" s="24">
        <v>5.2470901128252243E-3</v>
      </c>
      <c r="Q242" s="24">
        <v>0.1234468118432987</v>
      </c>
      <c r="R242" s="24">
        <v>0.15032030646360556</v>
      </c>
      <c r="S242" s="26">
        <v>0</v>
      </c>
      <c r="T242" s="26">
        <v>0</v>
      </c>
      <c r="U242" s="26">
        <v>9.63165131700334E-4</v>
      </c>
      <c r="V242" s="26">
        <v>7.6499507538374024E-4</v>
      </c>
      <c r="W242" s="26">
        <v>3.5849689890959751E-4</v>
      </c>
      <c r="X242" s="26">
        <v>0.19307896003544581</v>
      </c>
      <c r="Y242" s="26">
        <v>0.19516561714143948</v>
      </c>
      <c r="Z242" s="28">
        <v>0</v>
      </c>
      <c r="AA242" s="28">
        <v>3.1271735442865911E-3</v>
      </c>
      <c r="AB242" s="28">
        <v>1.699570587740569E-4</v>
      </c>
      <c r="AC242" s="28">
        <v>2.5011162396187633E-4</v>
      </c>
      <c r="AD242" s="28">
        <v>1.602806988355094E-4</v>
      </c>
      <c r="AE242" s="28">
        <v>1.5837063038951899E-2</v>
      </c>
      <c r="AF242" s="28">
        <v>1.9544585964809933E-2</v>
      </c>
      <c r="AG242" s="30">
        <v>0</v>
      </c>
      <c r="AH242" s="30">
        <v>1.6491053126472278E-5</v>
      </c>
      <c r="AI242" s="30">
        <v>6.3693063821975663E-4</v>
      </c>
      <c r="AJ242" s="30">
        <v>6.0761919753922976E-4</v>
      </c>
      <c r="AK242" s="30">
        <v>2.0812177237485561E-4</v>
      </c>
      <c r="AL242" s="30">
        <v>4.2792539587781897E-2</v>
      </c>
      <c r="AM242" s="30">
        <v>4.426170224904221E-2</v>
      </c>
      <c r="AN242" s="32">
        <v>0</v>
      </c>
      <c r="AO242" s="32">
        <v>1.179775095002105E-5</v>
      </c>
      <c r="AP242" s="32">
        <v>1.5047875525962851E-6</v>
      </c>
      <c r="AQ242" s="32">
        <v>1.209192692382944E-6</v>
      </c>
      <c r="AR242" s="32">
        <v>8.4344342347245625E-7</v>
      </c>
      <c r="AS242" s="32">
        <v>3.8156199186523163E-5</v>
      </c>
      <c r="AT242" s="32">
        <v>5.3511373804995898E-5</v>
      </c>
      <c r="AU242" s="34">
        <v>0</v>
      </c>
      <c r="AV242" s="34">
        <v>0</v>
      </c>
      <c r="AW242" s="34">
        <v>1.6834947809089666E-2</v>
      </c>
      <c r="AX242" s="34">
        <v>0.28588866431270848</v>
      </c>
      <c r="AY242" s="34">
        <v>0.18235986979221949</v>
      </c>
      <c r="AZ242" s="34">
        <v>1.8445987931752665</v>
      </c>
      <c r="BA242" s="34">
        <v>2.3296822750892843</v>
      </c>
      <c r="BB242" s="6"/>
      <c r="BC242" s="6"/>
      <c r="BD242" t="s">
        <v>737</v>
      </c>
      <c r="BF242" s="5">
        <v>0.11545806</v>
      </c>
      <c r="BG242" s="5">
        <f t="shared" si="9"/>
        <v>-3.4862246463605556E-2</v>
      </c>
      <c r="BH242" s="2">
        <v>414.65843000000001</v>
      </c>
    </row>
    <row r="243" spans="1:60" x14ac:dyDescent="0.2">
      <c r="A243" t="str">
        <f t="shared" si="10"/>
        <v>Motorbike, electric, &lt;4kW - 2020 - LFP - CH</v>
      </c>
      <c r="B243" t="s">
        <v>267</v>
      </c>
      <c r="D243" s="18">
        <v>2020</v>
      </c>
      <c r="E243" t="s">
        <v>37</v>
      </c>
      <c r="F243" t="s">
        <v>138</v>
      </c>
      <c r="G243" t="s">
        <v>39</v>
      </c>
      <c r="H243" t="s">
        <v>32</v>
      </c>
      <c r="I243" t="s">
        <v>44</v>
      </c>
      <c r="J243" t="s">
        <v>570</v>
      </c>
      <c r="L243" s="24">
        <v>0</v>
      </c>
      <c r="M243" s="24">
        <v>0</v>
      </c>
      <c r="N243" s="24">
        <v>7.4420517119050845E-4</v>
      </c>
      <c r="O243" s="24">
        <v>1.2306591692257861E-2</v>
      </c>
      <c r="P243" s="24">
        <v>4.4861118312269459E-3</v>
      </c>
      <c r="Q243" s="24">
        <v>4.1110912438960361E-2</v>
      </c>
      <c r="R243" s="24">
        <v>5.8647821133635675E-2</v>
      </c>
      <c r="S243" s="26">
        <v>0</v>
      </c>
      <c r="T243" s="26">
        <v>0</v>
      </c>
      <c r="U243" s="26">
        <v>4.2420634240975051E-4</v>
      </c>
      <c r="V243" s="26">
        <v>4.722191823356421E-4</v>
      </c>
      <c r="W243" s="26">
        <v>3.1041247679566478E-4</v>
      </c>
      <c r="X243" s="26">
        <v>2.664028343289539E-2</v>
      </c>
      <c r="Y243" s="26">
        <v>2.7847121434436448E-2</v>
      </c>
      <c r="Z243" s="28">
        <v>0</v>
      </c>
      <c r="AA243" s="28">
        <v>3.1271735442865911E-3</v>
      </c>
      <c r="AB243" s="28">
        <v>7.4854103306236475E-5</v>
      </c>
      <c r="AC243" s="28">
        <v>1.5438989133449149E-4</v>
      </c>
      <c r="AD243" s="28">
        <v>1.3842316317192141E-4</v>
      </c>
      <c r="AE243" s="28">
        <v>2.9716248226964118E-3</v>
      </c>
      <c r="AF243" s="28">
        <v>6.4664655247956525E-3</v>
      </c>
      <c r="AG243" s="30">
        <v>0</v>
      </c>
      <c r="AH243" s="30">
        <v>1.6491053126472278E-5</v>
      </c>
      <c r="AI243" s="30">
        <v>2.805230458570776E-4</v>
      </c>
      <c r="AJ243" s="30">
        <v>3.7507357872791961E-4</v>
      </c>
      <c r="AK243" s="30">
        <v>1.877226925951076E-4</v>
      </c>
      <c r="AL243" s="30">
        <v>1.036701087183492E-2</v>
      </c>
      <c r="AM243" s="30">
        <v>1.1226821242141496E-2</v>
      </c>
      <c r="AN243" s="32">
        <v>0</v>
      </c>
      <c r="AO243" s="32">
        <v>1.179775095002105E-5</v>
      </c>
      <c r="AP243" s="32">
        <v>6.6275283726653284E-7</v>
      </c>
      <c r="AQ243" s="32">
        <v>7.4641524221169363E-7</v>
      </c>
      <c r="AR243" s="32">
        <v>7.628973786224294E-7</v>
      </c>
      <c r="AS243" s="32">
        <v>7.6231375717449163E-6</v>
      </c>
      <c r="AT243" s="32">
        <v>2.1592953979866619E-5</v>
      </c>
      <c r="AU243" s="34">
        <v>0</v>
      </c>
      <c r="AV243" s="34">
        <v>0</v>
      </c>
      <c r="AW243" s="34">
        <v>7.4146077341334599E-3</v>
      </c>
      <c r="AX243" s="34">
        <v>0.17647448414364728</v>
      </c>
      <c r="AY243" s="34">
        <v>0.15743071721560767</v>
      </c>
      <c r="AZ243" s="34">
        <v>0.55980468962999508</v>
      </c>
      <c r="BA243" s="34">
        <v>0.90112449872338352</v>
      </c>
      <c r="BB243" s="6"/>
      <c r="BC243" s="6"/>
      <c r="BD243" t="s">
        <v>943</v>
      </c>
      <c r="BF243" s="5">
        <v>5.7805730999999999E-2</v>
      </c>
      <c r="BG243" s="5">
        <f t="shared" si="9"/>
        <v>-8.4209013363567564E-4</v>
      </c>
      <c r="BH243" s="2">
        <v>131.27092999999999</v>
      </c>
    </row>
    <row r="244" spans="1:60" x14ac:dyDescent="0.2">
      <c r="A244" t="str">
        <f t="shared" si="10"/>
        <v>Motorbike, electric, &lt;4kW - 2030 - LFP - CH</v>
      </c>
      <c r="B244" t="s">
        <v>267</v>
      </c>
      <c r="D244" s="18">
        <v>2030</v>
      </c>
      <c r="E244" t="s">
        <v>37</v>
      </c>
      <c r="F244" t="s">
        <v>138</v>
      </c>
      <c r="G244" t="s">
        <v>39</v>
      </c>
      <c r="H244" t="s">
        <v>32</v>
      </c>
      <c r="I244" t="s">
        <v>44</v>
      </c>
      <c r="J244" t="s">
        <v>570</v>
      </c>
      <c r="L244" s="24">
        <v>0</v>
      </c>
      <c r="M244" s="24">
        <v>0</v>
      </c>
      <c r="N244" s="24">
        <v>7.4420517119050845E-4</v>
      </c>
      <c r="O244" s="24">
        <v>1.2306591692257861E-2</v>
      </c>
      <c r="P244" s="24">
        <v>4.5301612011593474E-3</v>
      </c>
      <c r="Q244" s="24">
        <v>4.75079303803492E-2</v>
      </c>
      <c r="R244" s="24">
        <v>6.5088888444956916E-2</v>
      </c>
      <c r="S244" s="26">
        <v>0</v>
      </c>
      <c r="T244" s="26">
        <v>0</v>
      </c>
      <c r="U244" s="26">
        <v>4.2420634240975051E-4</v>
      </c>
      <c r="V244" s="26">
        <v>4.722191823356421E-4</v>
      </c>
      <c r="W244" s="26">
        <v>3.1319585254882521E-4</v>
      </c>
      <c r="X244" s="26">
        <v>2.9825723640247982E-2</v>
      </c>
      <c r="Y244" s="26">
        <v>3.1035345017542199E-2</v>
      </c>
      <c r="Z244" s="28">
        <v>0</v>
      </c>
      <c r="AA244" s="28">
        <v>3.1271735442865911E-3</v>
      </c>
      <c r="AB244" s="28">
        <v>7.4854103306236475E-5</v>
      </c>
      <c r="AC244" s="28">
        <v>1.5438989133449149E-4</v>
      </c>
      <c r="AD244" s="28">
        <v>1.3968839070539819E-4</v>
      </c>
      <c r="AE244" s="28">
        <v>3.506841290186575E-3</v>
      </c>
      <c r="AF244" s="28">
        <v>7.0029472198192919E-3</v>
      </c>
      <c r="AG244" s="30">
        <v>0</v>
      </c>
      <c r="AH244" s="30">
        <v>1.6491053126472278E-5</v>
      </c>
      <c r="AI244" s="30">
        <v>2.805230458570776E-4</v>
      </c>
      <c r="AJ244" s="30">
        <v>3.7507357872791961E-4</v>
      </c>
      <c r="AK244" s="30">
        <v>1.88903497137402E-4</v>
      </c>
      <c r="AL244" s="30">
        <v>1.2071364092082201E-2</v>
      </c>
      <c r="AM244" s="30">
        <v>1.2932355266931072E-2</v>
      </c>
      <c r="AN244" s="32">
        <v>0</v>
      </c>
      <c r="AO244" s="32">
        <v>1.179775095002105E-5</v>
      </c>
      <c r="AP244" s="32">
        <v>6.6275283726653284E-7</v>
      </c>
      <c r="AQ244" s="32">
        <v>7.4641524221169363E-7</v>
      </c>
      <c r="AR244" s="32">
        <v>7.6755980146942412E-7</v>
      </c>
      <c r="AS244" s="32">
        <v>8.4200885191706454E-6</v>
      </c>
      <c r="AT244" s="32">
        <v>2.2394567350139345E-5</v>
      </c>
      <c r="AU244" s="34">
        <v>0</v>
      </c>
      <c r="AV244" s="34">
        <v>0</v>
      </c>
      <c r="AW244" s="34">
        <v>7.4146077341334599E-3</v>
      </c>
      <c r="AX244" s="34">
        <v>0.17647448414364728</v>
      </c>
      <c r="AY244" s="34">
        <v>0.1588737458676765</v>
      </c>
      <c r="AZ244" s="34">
        <v>0.64026126088712587</v>
      </c>
      <c r="BA244" s="34">
        <v>0.98302409863258311</v>
      </c>
      <c r="BB244" s="6"/>
      <c r="BC244" s="6"/>
      <c r="BD244" t="s">
        <v>738</v>
      </c>
      <c r="BF244" s="5">
        <v>6.1897354000000002E-2</v>
      </c>
      <c r="BG244" s="5">
        <f t="shared" si="9"/>
        <v>-3.1915344449569144E-3</v>
      </c>
      <c r="BH244" s="2">
        <v>145.64561</v>
      </c>
    </row>
    <row r="245" spans="1:60" x14ac:dyDescent="0.2">
      <c r="A245" t="str">
        <f t="shared" si="10"/>
        <v>Motorbike, electric, &lt;4kW - 2040 - LFP - CH</v>
      </c>
      <c r="B245" t="s">
        <v>267</v>
      </c>
      <c r="D245" s="18">
        <v>2040</v>
      </c>
      <c r="E245" t="s">
        <v>37</v>
      </c>
      <c r="F245" t="s">
        <v>138</v>
      </c>
      <c r="G245" t="s">
        <v>39</v>
      </c>
      <c r="H245" t="s">
        <v>32</v>
      </c>
      <c r="I245" t="s">
        <v>44</v>
      </c>
      <c r="J245" t="s">
        <v>570</v>
      </c>
      <c r="L245" s="24">
        <v>0</v>
      </c>
      <c r="M245" s="24">
        <v>0</v>
      </c>
      <c r="N245" s="24">
        <v>7.4420517119050845E-4</v>
      </c>
      <c r="O245" s="24">
        <v>1.2306591692257861E-2</v>
      </c>
      <c r="P245" s="24">
        <v>4.5450618147568718E-3</v>
      </c>
      <c r="Q245" s="24">
        <v>4.6796864547578199E-2</v>
      </c>
      <c r="R245" s="24">
        <v>6.4392723225783433E-2</v>
      </c>
      <c r="S245" s="26">
        <v>0</v>
      </c>
      <c r="T245" s="26">
        <v>0</v>
      </c>
      <c r="U245" s="26">
        <v>4.2420634240975051E-4</v>
      </c>
      <c r="V245" s="26">
        <v>4.722191823356421E-4</v>
      </c>
      <c r="W245" s="26">
        <v>3.141373871646032E-4</v>
      </c>
      <c r="X245" s="26">
        <v>2.8608445790044072E-2</v>
      </c>
      <c r="Y245" s="26">
        <v>2.9819008701954069E-2</v>
      </c>
      <c r="Z245" s="28">
        <v>0</v>
      </c>
      <c r="AA245" s="28">
        <v>3.1271735442865911E-3</v>
      </c>
      <c r="AB245" s="28">
        <v>7.4854103306236475E-5</v>
      </c>
      <c r="AC245" s="28">
        <v>1.5438989133449149E-4</v>
      </c>
      <c r="AD245" s="28">
        <v>1.40116380177625E-4</v>
      </c>
      <c r="AE245" s="28">
        <v>3.377910878294295E-3</v>
      </c>
      <c r="AF245" s="28">
        <v>6.874444797399239E-3</v>
      </c>
      <c r="AG245" s="30">
        <v>0</v>
      </c>
      <c r="AH245" s="30">
        <v>1.6491053126472278E-5</v>
      </c>
      <c r="AI245" s="30">
        <v>2.805230458570776E-4</v>
      </c>
      <c r="AJ245" s="30">
        <v>3.7507357872791961E-4</v>
      </c>
      <c r="AK245" s="30">
        <v>1.893029287807135E-4</v>
      </c>
      <c r="AL245" s="30">
        <v>1.165886053324375E-2</v>
      </c>
      <c r="AM245" s="30">
        <v>1.2520251139735932E-2</v>
      </c>
      <c r="AN245" s="32">
        <v>0</v>
      </c>
      <c r="AO245" s="32">
        <v>1.179775095002105E-5</v>
      </c>
      <c r="AP245" s="32">
        <v>6.6275283726653284E-7</v>
      </c>
      <c r="AQ245" s="32">
        <v>7.4641524221169363E-7</v>
      </c>
      <c r="AR245" s="32">
        <v>7.6913696276317151E-7</v>
      </c>
      <c r="AS245" s="32">
        <v>8.1443370266732239E-6</v>
      </c>
      <c r="AT245" s="32">
        <v>2.2120393018935672E-5</v>
      </c>
      <c r="AU245" s="34">
        <v>0</v>
      </c>
      <c r="AV245" s="34">
        <v>0</v>
      </c>
      <c r="AW245" s="34">
        <v>7.4146077341334599E-3</v>
      </c>
      <c r="AX245" s="34">
        <v>0.17647448414364728</v>
      </c>
      <c r="AY245" s="34">
        <v>0.1593618802584211</v>
      </c>
      <c r="AZ245" s="34">
        <v>0.62669710475579521</v>
      </c>
      <c r="BA245" s="34">
        <v>0.96994807689199702</v>
      </c>
      <c r="BB245" s="6"/>
      <c r="BC245" s="6"/>
      <c r="BD245" t="s">
        <v>739</v>
      </c>
      <c r="BF245" s="5">
        <v>6.0935330999999995E-2</v>
      </c>
      <c r="BG245" s="5">
        <f t="shared" si="9"/>
        <v>-3.4573922257834372E-3</v>
      </c>
      <c r="BH245" s="2">
        <v>139.00088</v>
      </c>
    </row>
    <row r="246" spans="1:60" x14ac:dyDescent="0.2">
      <c r="A246" t="str">
        <f t="shared" si="10"/>
        <v>Motorbike, electric, &lt;4kW - 2050 - LFP - CH</v>
      </c>
      <c r="B246" t="s">
        <v>267</v>
      </c>
      <c r="D246" s="18">
        <v>2050</v>
      </c>
      <c r="E246" t="s">
        <v>37</v>
      </c>
      <c r="F246" t="s">
        <v>138</v>
      </c>
      <c r="G246" t="s">
        <v>39</v>
      </c>
      <c r="H246" t="s">
        <v>32</v>
      </c>
      <c r="I246" t="s">
        <v>44</v>
      </c>
      <c r="J246" t="s">
        <v>570</v>
      </c>
      <c r="L246" s="24">
        <v>0</v>
      </c>
      <c r="M246" s="24">
        <v>0</v>
      </c>
      <c r="N246" s="24">
        <v>7.4420517119050845E-4</v>
      </c>
      <c r="O246" s="24">
        <v>1.2306591692257861E-2</v>
      </c>
      <c r="P246" s="24">
        <v>4.5402365651397514E-3</v>
      </c>
      <c r="Q246" s="24">
        <v>6.9008180263948865E-2</v>
      </c>
      <c r="R246" s="24">
        <v>8.659921369253698E-2</v>
      </c>
      <c r="S246" s="26">
        <v>0</v>
      </c>
      <c r="T246" s="26">
        <v>0</v>
      </c>
      <c r="U246" s="26">
        <v>4.2420634240975051E-4</v>
      </c>
      <c r="V246" s="26">
        <v>4.722191823356421E-4</v>
      </c>
      <c r="W246" s="26">
        <v>3.1383249102629628E-4</v>
      </c>
      <c r="X246" s="26">
        <v>4.2336184318943468E-2</v>
      </c>
      <c r="Y246" s="26">
        <v>4.3546442334715156E-2</v>
      </c>
      <c r="Z246" s="28">
        <v>0</v>
      </c>
      <c r="AA246" s="28">
        <v>3.1271735442865911E-3</v>
      </c>
      <c r="AB246" s="28">
        <v>7.4854103306236475E-5</v>
      </c>
      <c r="AC246" s="28">
        <v>1.5438989133449149E-4</v>
      </c>
      <c r="AD246" s="28">
        <v>1.3997778480881839E-4</v>
      </c>
      <c r="AE246" s="28">
        <v>5.4447083172171054E-3</v>
      </c>
      <c r="AF246" s="28">
        <v>8.9411036409532425E-3</v>
      </c>
      <c r="AG246" s="30">
        <v>0</v>
      </c>
      <c r="AH246" s="30">
        <v>1.6491053126472278E-5</v>
      </c>
      <c r="AI246" s="30">
        <v>2.805230458570776E-4</v>
      </c>
      <c r="AJ246" s="30">
        <v>3.7507357872791961E-4</v>
      </c>
      <c r="AK246" s="30">
        <v>1.8917358126281831E-4</v>
      </c>
      <c r="AL246" s="30">
        <v>1.8299791000723119E-2</v>
      </c>
      <c r="AM246" s="30">
        <v>1.9161052259697407E-2</v>
      </c>
      <c r="AN246" s="32">
        <v>0</v>
      </c>
      <c r="AO246" s="32">
        <v>1.179775095002105E-5</v>
      </c>
      <c r="AP246" s="32">
        <v>6.6275283726653284E-7</v>
      </c>
      <c r="AQ246" s="32">
        <v>7.4641524221169363E-7</v>
      </c>
      <c r="AR246" s="32">
        <v>7.6862623232385205E-7</v>
      </c>
      <c r="AS246" s="32">
        <v>1.1430833375483671E-5</v>
      </c>
      <c r="AT246" s="32">
        <v>2.5406378637306798E-5</v>
      </c>
      <c r="AU246" s="34">
        <v>0</v>
      </c>
      <c r="AV246" s="34">
        <v>0</v>
      </c>
      <c r="AW246" s="34">
        <v>7.4146077341334599E-3</v>
      </c>
      <c r="AX246" s="34">
        <v>0.17647448414364728</v>
      </c>
      <c r="AY246" s="34">
        <v>0.15920380822557306</v>
      </c>
      <c r="AZ246" s="34">
        <v>0.91912155040929444</v>
      </c>
      <c r="BA246" s="34">
        <v>1.2622144505126482</v>
      </c>
      <c r="BB246" s="6"/>
      <c r="BC246" s="6"/>
      <c r="BD246" t="s">
        <v>740</v>
      </c>
      <c r="BF246" s="5">
        <v>7.6353316000000004E-2</v>
      </c>
      <c r="BG246" s="5">
        <f t="shared" si="9"/>
        <v>-1.0245897692536976E-2</v>
      </c>
      <c r="BH246" s="2">
        <v>203.49734000000001</v>
      </c>
    </row>
    <row r="247" spans="1:60" x14ac:dyDescent="0.2">
      <c r="A247" t="str">
        <f t="shared" si="10"/>
        <v>Motorbike, electric, 4-11kW - 2020 - LFP - CH</v>
      </c>
      <c r="B247" t="s">
        <v>268</v>
      </c>
      <c r="D247" s="18">
        <v>2020</v>
      </c>
      <c r="E247" t="s">
        <v>37</v>
      </c>
      <c r="F247" t="s">
        <v>138</v>
      </c>
      <c r="G247" t="s">
        <v>39</v>
      </c>
      <c r="H247" t="s">
        <v>32</v>
      </c>
      <c r="I247" t="s">
        <v>44</v>
      </c>
      <c r="J247" t="s">
        <v>570</v>
      </c>
      <c r="L247" s="24">
        <v>0</v>
      </c>
      <c r="M247" s="24">
        <v>0</v>
      </c>
      <c r="N247" s="24">
        <v>1.119382984765889E-3</v>
      </c>
      <c r="O247" s="24">
        <v>1.2306591692257861E-2</v>
      </c>
      <c r="P247" s="24">
        <v>4.6478661566374943E-3</v>
      </c>
      <c r="Q247" s="24">
        <v>6.0166914792213623E-2</v>
      </c>
      <c r="R247" s="24">
        <v>7.8240755625874875E-2</v>
      </c>
      <c r="S247" s="26">
        <v>0</v>
      </c>
      <c r="T247" s="26">
        <v>0</v>
      </c>
      <c r="U247" s="26">
        <v>6.380624323849139E-4</v>
      </c>
      <c r="V247" s="26">
        <v>4.722191823356421E-4</v>
      </c>
      <c r="W247" s="26">
        <v>3.2063335096497683E-4</v>
      </c>
      <c r="X247" s="26">
        <v>3.9490957233663602E-2</v>
      </c>
      <c r="Y247" s="26">
        <v>4.0921872199349132E-2</v>
      </c>
      <c r="Z247" s="28">
        <v>0</v>
      </c>
      <c r="AA247" s="28">
        <v>3.1271735442865911E-3</v>
      </c>
      <c r="AB247" s="28">
        <v>1.125904694358268E-4</v>
      </c>
      <c r="AC247" s="28">
        <v>1.5438989133449149E-4</v>
      </c>
      <c r="AD247" s="28">
        <v>1.430692234102964E-4</v>
      </c>
      <c r="AE247" s="28">
        <v>4.4948481190346338E-3</v>
      </c>
      <c r="AF247" s="28">
        <v>8.0320712475018402E-3</v>
      </c>
      <c r="AG247" s="30">
        <v>0</v>
      </c>
      <c r="AH247" s="30">
        <v>1.6491053126472278E-5</v>
      </c>
      <c r="AI247" s="30">
        <v>4.2194375492552171E-4</v>
      </c>
      <c r="AJ247" s="30">
        <v>3.7507357872791961E-4</v>
      </c>
      <c r="AK247" s="30">
        <v>1.9205874195230989E-4</v>
      </c>
      <c r="AL247" s="30">
        <v>1.5668035078712901E-2</v>
      </c>
      <c r="AM247" s="30">
        <v>1.6673602207445126E-2</v>
      </c>
      <c r="AN247" s="32">
        <v>0</v>
      </c>
      <c r="AO247" s="32">
        <v>1.179775095002105E-5</v>
      </c>
      <c r="AP247" s="32">
        <v>9.9686790398767734E-7</v>
      </c>
      <c r="AQ247" s="32">
        <v>7.4641524221169363E-7</v>
      </c>
      <c r="AR247" s="32">
        <v>7.8001832867351342E-7</v>
      </c>
      <c r="AS247" s="32">
        <v>1.0964793461513329E-5</v>
      </c>
      <c r="AT247" s="32">
        <v>2.5285845886407264E-5</v>
      </c>
      <c r="AU247" s="34">
        <v>0</v>
      </c>
      <c r="AV247" s="34">
        <v>0</v>
      </c>
      <c r="AW247" s="34">
        <v>1.1152550476134624E-2</v>
      </c>
      <c r="AX247" s="34">
        <v>0.17647448414364728</v>
      </c>
      <c r="AY247" s="34">
        <v>0.16272968350097558</v>
      </c>
      <c r="AZ247" s="34">
        <v>0.81809342477055513</v>
      </c>
      <c r="BA247" s="34">
        <v>1.1684501428913125</v>
      </c>
      <c r="BB247" s="6"/>
      <c r="BC247" s="6"/>
      <c r="BD247" t="s">
        <v>944</v>
      </c>
      <c r="BF247" s="5">
        <v>7.3822935000000006E-2</v>
      </c>
      <c r="BG247" s="5">
        <f t="shared" si="9"/>
        <v>-4.4178206258748687E-3</v>
      </c>
      <c r="BH247" s="2">
        <v>179.89905999999999</v>
      </c>
    </row>
    <row r="248" spans="1:60" x14ac:dyDescent="0.2">
      <c r="A248" t="str">
        <f t="shared" si="10"/>
        <v>Motorbike, electric, 4-11kW - 2030 - LFP - CH</v>
      </c>
      <c r="B248" t="s">
        <v>268</v>
      </c>
      <c r="D248" s="18">
        <v>2030</v>
      </c>
      <c r="E248" t="s">
        <v>37</v>
      </c>
      <c r="F248" t="s">
        <v>138</v>
      </c>
      <c r="G248" t="s">
        <v>39</v>
      </c>
      <c r="H248" t="s">
        <v>32</v>
      </c>
      <c r="I248" t="s">
        <v>44</v>
      </c>
      <c r="J248" t="s">
        <v>570</v>
      </c>
      <c r="L248" s="24">
        <v>0</v>
      </c>
      <c r="M248" s="24">
        <v>0</v>
      </c>
      <c r="N248" s="24">
        <v>1.119382984765889E-3</v>
      </c>
      <c r="O248" s="24">
        <v>1.2306591692257861E-2</v>
      </c>
      <c r="P248" s="24">
        <v>4.7138885534054042E-3</v>
      </c>
      <c r="Q248" s="24">
        <v>6.8592959457134478E-2</v>
      </c>
      <c r="R248" s="24">
        <v>8.6732822687563632E-2</v>
      </c>
      <c r="S248" s="26">
        <v>0</v>
      </c>
      <c r="T248" s="26">
        <v>0</v>
      </c>
      <c r="U248" s="26">
        <v>6.380624323849139E-4</v>
      </c>
      <c r="V248" s="26">
        <v>4.722191823356421E-4</v>
      </c>
      <c r="W248" s="26">
        <v>3.2480515043932452E-4</v>
      </c>
      <c r="X248" s="26">
        <v>4.3762123079620782E-2</v>
      </c>
      <c r="Y248" s="26">
        <v>4.5197209844780664E-2</v>
      </c>
      <c r="Z248" s="28">
        <v>0</v>
      </c>
      <c r="AA248" s="28">
        <v>3.1271735442865911E-3</v>
      </c>
      <c r="AB248" s="28">
        <v>1.125904694358268E-4</v>
      </c>
      <c r="AC248" s="28">
        <v>1.5438989133449149E-4</v>
      </c>
      <c r="AD248" s="28">
        <v>1.4496558093697801E-4</v>
      </c>
      <c r="AE248" s="28">
        <v>5.206504781361798E-3</v>
      </c>
      <c r="AF248" s="28">
        <v>8.7456242673556849E-3</v>
      </c>
      <c r="AG248" s="30">
        <v>0</v>
      </c>
      <c r="AH248" s="30">
        <v>1.6491053126472278E-5</v>
      </c>
      <c r="AI248" s="30">
        <v>4.2194375492552171E-4</v>
      </c>
      <c r="AJ248" s="30">
        <v>3.7507357872791961E-4</v>
      </c>
      <c r="AK248" s="30">
        <v>1.938285639978091E-4</v>
      </c>
      <c r="AL248" s="30">
        <v>1.7929034225557239E-2</v>
      </c>
      <c r="AM248" s="30">
        <v>1.8936371176334961E-2</v>
      </c>
      <c r="AN248" s="32">
        <v>0</v>
      </c>
      <c r="AO248" s="32">
        <v>1.179775095002105E-5</v>
      </c>
      <c r="AP248" s="32">
        <v>9.9686790398767734E-7</v>
      </c>
      <c r="AQ248" s="32">
        <v>7.4641524221169363E-7</v>
      </c>
      <c r="AR248" s="32">
        <v>7.8700649516889011E-7</v>
      </c>
      <c r="AS248" s="32">
        <v>1.2036811311451539E-5</v>
      </c>
      <c r="AT248" s="32">
        <v>2.636485190284085E-5</v>
      </c>
      <c r="AU248" s="34">
        <v>0</v>
      </c>
      <c r="AV248" s="34">
        <v>0</v>
      </c>
      <c r="AW248" s="34">
        <v>1.1152550476134624E-2</v>
      </c>
      <c r="AX248" s="34">
        <v>0.17647448414364728</v>
      </c>
      <c r="AY248" s="34">
        <v>0.16489253419238295</v>
      </c>
      <c r="AZ248" s="34">
        <v>0.92459491856329112</v>
      </c>
      <c r="BA248" s="34">
        <v>1.2771144873754561</v>
      </c>
      <c r="BB248" s="6"/>
      <c r="BC248" s="6"/>
      <c r="BD248" t="s">
        <v>741</v>
      </c>
      <c r="BF248" s="5">
        <v>7.9300085000000006E-2</v>
      </c>
      <c r="BG248" s="5">
        <f t="shared" si="9"/>
        <v>-7.4327376875636259E-3</v>
      </c>
      <c r="BH248" s="2">
        <v>199.39031</v>
      </c>
    </row>
    <row r="249" spans="1:60" x14ac:dyDescent="0.2">
      <c r="A249" t="str">
        <f t="shared" si="10"/>
        <v>Motorbike, electric, 4-11kW - 2040 - LFP - CH</v>
      </c>
      <c r="B249" t="s">
        <v>268</v>
      </c>
      <c r="D249" s="18">
        <v>2040</v>
      </c>
      <c r="E249" t="s">
        <v>37</v>
      </c>
      <c r="F249" t="s">
        <v>138</v>
      </c>
      <c r="G249" t="s">
        <v>39</v>
      </c>
      <c r="H249" t="s">
        <v>32</v>
      </c>
      <c r="I249" t="s">
        <v>44</v>
      </c>
      <c r="J249" t="s">
        <v>570</v>
      </c>
      <c r="L249" s="24">
        <v>0</v>
      </c>
      <c r="M249" s="24">
        <v>0</v>
      </c>
      <c r="N249" s="24">
        <v>1.119382984765889E-3</v>
      </c>
      <c r="O249" s="24">
        <v>1.2306591692257861E-2</v>
      </c>
      <c r="P249" s="24">
        <v>4.7375200925955426E-3</v>
      </c>
      <c r="Q249" s="24">
        <v>6.687707536082832E-2</v>
      </c>
      <c r="R249" s="24">
        <v>8.5040570130447607E-2</v>
      </c>
      <c r="S249" s="26">
        <v>0</v>
      </c>
      <c r="T249" s="26">
        <v>0</v>
      </c>
      <c r="U249" s="26">
        <v>6.380624323849139E-4</v>
      </c>
      <c r="V249" s="26">
        <v>4.722191823356421E-4</v>
      </c>
      <c r="W249" s="26">
        <v>3.2629837164300189E-4</v>
      </c>
      <c r="X249" s="26">
        <v>4.1684236209189512E-2</v>
      </c>
      <c r="Y249" s="26">
        <v>4.3120816195553073E-2</v>
      </c>
      <c r="Z249" s="28">
        <v>0</v>
      </c>
      <c r="AA249" s="28">
        <v>3.1271735442865911E-3</v>
      </c>
      <c r="AB249" s="28">
        <v>1.125904694358268E-4</v>
      </c>
      <c r="AC249" s="28">
        <v>1.5438989133449149E-4</v>
      </c>
      <c r="AD249" s="28">
        <v>1.45644348285698E-4</v>
      </c>
      <c r="AE249" s="28">
        <v>4.9649931298987376E-3</v>
      </c>
      <c r="AF249" s="28">
        <v>8.5047913832413443E-3</v>
      </c>
      <c r="AG249" s="30">
        <v>0</v>
      </c>
      <c r="AH249" s="30">
        <v>1.6491053126472278E-5</v>
      </c>
      <c r="AI249" s="30">
        <v>4.2194375492552171E-4</v>
      </c>
      <c r="AJ249" s="30">
        <v>3.7507357872791961E-4</v>
      </c>
      <c r="AK249" s="30">
        <v>1.944620402282285E-4</v>
      </c>
      <c r="AL249" s="30">
        <v>1.7153130356584612E-2</v>
      </c>
      <c r="AM249" s="30">
        <v>1.8161100783592753E-2</v>
      </c>
      <c r="AN249" s="32">
        <v>0</v>
      </c>
      <c r="AO249" s="32">
        <v>1.179775095002105E-5</v>
      </c>
      <c r="AP249" s="32">
        <v>9.9686790398767734E-7</v>
      </c>
      <c r="AQ249" s="32">
        <v>7.4641524221169363E-7</v>
      </c>
      <c r="AR249" s="32">
        <v>7.8950778470830546E-7</v>
      </c>
      <c r="AS249" s="32">
        <v>1.156228107659039E-5</v>
      </c>
      <c r="AT249" s="32">
        <v>2.5892822957519116E-5</v>
      </c>
      <c r="AU249" s="34">
        <v>0</v>
      </c>
      <c r="AV249" s="34">
        <v>0</v>
      </c>
      <c r="AW249" s="34">
        <v>1.1152550476134624E-2</v>
      </c>
      <c r="AX249" s="34">
        <v>0.17647448414364728</v>
      </c>
      <c r="AY249" s="34">
        <v>0.1656666880156088</v>
      </c>
      <c r="AZ249" s="34">
        <v>0.89655709371977155</v>
      </c>
      <c r="BA249" s="34">
        <v>1.2498508163551623</v>
      </c>
      <c r="BB249" s="6"/>
      <c r="BC249" s="6"/>
      <c r="BD249" t="s">
        <v>742</v>
      </c>
      <c r="BF249" s="5">
        <v>7.7516117999999995E-2</v>
      </c>
      <c r="BG249" s="5">
        <f t="shared" si="9"/>
        <v>-7.524452130447612E-3</v>
      </c>
      <c r="BH249" s="2">
        <v>188.46744000000001</v>
      </c>
    </row>
    <row r="250" spans="1:60" x14ac:dyDescent="0.2">
      <c r="A250" t="str">
        <f t="shared" si="10"/>
        <v>Motorbike, electric, 4-11kW - 2050 - LFP - CH</v>
      </c>
      <c r="B250" t="s">
        <v>268</v>
      </c>
      <c r="D250" s="18">
        <v>2050</v>
      </c>
      <c r="E250" t="s">
        <v>37</v>
      </c>
      <c r="F250" t="s">
        <v>138</v>
      </c>
      <c r="G250" t="s">
        <v>39</v>
      </c>
      <c r="H250" t="s">
        <v>32</v>
      </c>
      <c r="I250" t="s">
        <v>44</v>
      </c>
      <c r="J250" t="s">
        <v>570</v>
      </c>
      <c r="L250" s="24">
        <v>0</v>
      </c>
      <c r="M250" s="24">
        <v>0</v>
      </c>
      <c r="N250" s="24">
        <v>1.119382984765889E-3</v>
      </c>
      <c r="O250" s="24">
        <v>7.9912933066609501E-3</v>
      </c>
      <c r="P250" s="24">
        <v>4.7364943027673728E-3</v>
      </c>
      <c r="Q250" s="24">
        <v>0.1017170859595791</v>
      </c>
      <c r="R250" s="24">
        <v>0.11556425655377331</v>
      </c>
      <c r="S250" s="26">
        <v>0</v>
      </c>
      <c r="T250" s="26">
        <v>0</v>
      </c>
      <c r="U250" s="26">
        <v>6.380624323849139E-4</v>
      </c>
      <c r="V250" s="26">
        <v>3.0663583268548191E-4</v>
      </c>
      <c r="W250" s="26">
        <v>3.2623355440407321E-4</v>
      </c>
      <c r="X250" s="26">
        <v>6.3629859579012252E-2</v>
      </c>
      <c r="Y250" s="26">
        <v>6.4900791398486715E-2</v>
      </c>
      <c r="Z250" s="28">
        <v>0</v>
      </c>
      <c r="AA250" s="28">
        <v>3.1271735442865911E-3</v>
      </c>
      <c r="AB250" s="28">
        <v>1.125904694358268E-4</v>
      </c>
      <c r="AC250" s="28">
        <v>1.002531761912283E-4</v>
      </c>
      <c r="AD250" s="28">
        <v>1.456148845831262E-4</v>
      </c>
      <c r="AE250" s="28">
        <v>8.2411244600989631E-3</v>
      </c>
      <c r="AF250" s="28">
        <v>1.1726756534595735E-2</v>
      </c>
      <c r="AG250" s="30">
        <v>0</v>
      </c>
      <c r="AH250" s="30">
        <v>1.6491053126472278E-5</v>
      </c>
      <c r="AI250" s="30">
        <v>4.2194375492552171E-4</v>
      </c>
      <c r="AJ250" s="30">
        <v>2.4355427190124649E-4</v>
      </c>
      <c r="AK250" s="30">
        <v>1.9443454250713961E-4</v>
      </c>
      <c r="AL250" s="30">
        <v>2.767092933666445E-2</v>
      </c>
      <c r="AM250" s="30">
        <v>2.854735295912483E-2</v>
      </c>
      <c r="AN250" s="32">
        <v>0</v>
      </c>
      <c r="AO250" s="32">
        <v>1.179775095002105E-5</v>
      </c>
      <c r="AP250" s="32">
        <v>9.9686790398767734E-7</v>
      </c>
      <c r="AQ250" s="32">
        <v>4.8468522221538551E-7</v>
      </c>
      <c r="AR250" s="32">
        <v>7.8939920958138722E-7</v>
      </c>
      <c r="AS250" s="32">
        <v>1.6816639145392912E-5</v>
      </c>
      <c r="AT250" s="32">
        <v>3.0885342431198414E-5</v>
      </c>
      <c r="AU250" s="34">
        <v>0</v>
      </c>
      <c r="AV250" s="34">
        <v>0</v>
      </c>
      <c r="AW250" s="34">
        <v>1.1152550476134624E-2</v>
      </c>
      <c r="AX250" s="34">
        <v>0.1145938208724982</v>
      </c>
      <c r="AY250" s="34">
        <v>0.16563308380934377</v>
      </c>
      <c r="AZ250" s="34">
        <v>1.3576554164716295</v>
      </c>
      <c r="BA250" s="34">
        <v>1.6490348716296062</v>
      </c>
      <c r="BB250" s="6"/>
      <c r="BC250" s="6"/>
      <c r="BD250" t="s">
        <v>743</v>
      </c>
      <c r="BF250" s="5">
        <v>9.8601325000000004E-2</v>
      </c>
      <c r="BG250" s="5">
        <f t="shared" si="9"/>
        <v>-1.6962931553773306E-2</v>
      </c>
      <c r="BH250" s="2">
        <v>288.72703000000001</v>
      </c>
    </row>
    <row r="251" spans="1:60" x14ac:dyDescent="0.2">
      <c r="A251" t="str">
        <f t="shared" si="10"/>
        <v>Motorbike, electric, 11-35kW - 2020 - LFP - CH</v>
      </c>
      <c r="B251" t="s">
        <v>269</v>
      </c>
      <c r="D251" s="18">
        <v>2020</v>
      </c>
      <c r="E251" t="s">
        <v>37</v>
      </c>
      <c r="F251" t="s">
        <v>138</v>
      </c>
      <c r="G251" t="s">
        <v>39</v>
      </c>
      <c r="H251" t="s">
        <v>32</v>
      </c>
      <c r="I251" t="s">
        <v>44</v>
      </c>
      <c r="J251" t="s">
        <v>570</v>
      </c>
      <c r="L251" s="24">
        <v>0</v>
      </c>
      <c r="M251" s="24">
        <v>0</v>
      </c>
      <c r="N251" s="24">
        <v>1.5152004931467059E-3</v>
      </c>
      <c r="O251" s="24">
        <v>1.2306591692257861E-2</v>
      </c>
      <c r="P251" s="24">
        <v>5.0774325154383246E-3</v>
      </c>
      <c r="Q251" s="24">
        <v>7.8967146486972686E-2</v>
      </c>
      <c r="R251" s="24">
        <v>9.7866371187815576E-2</v>
      </c>
      <c r="S251" s="26">
        <v>0</v>
      </c>
      <c r="T251" s="26">
        <v>0</v>
      </c>
      <c r="U251" s="26">
        <v>8.6368340895427004E-4</v>
      </c>
      <c r="V251" s="26">
        <v>4.722191823356421E-4</v>
      </c>
      <c r="W251" s="26">
        <v>3.4777663563157938E-4</v>
      </c>
      <c r="X251" s="26">
        <v>5.2084956482867491E-2</v>
      </c>
      <c r="Y251" s="26">
        <v>5.376863570978898E-2</v>
      </c>
      <c r="Z251" s="28">
        <v>0</v>
      </c>
      <c r="AA251" s="28">
        <v>3.1271735442865911E-3</v>
      </c>
      <c r="AB251" s="28">
        <v>1.5240283007201779E-4</v>
      </c>
      <c r="AC251" s="28">
        <v>1.5438989133449149E-4</v>
      </c>
      <c r="AD251" s="28">
        <v>1.554076333681293E-4</v>
      </c>
      <c r="AE251" s="28">
        <v>6.542119057818362E-3</v>
      </c>
      <c r="AF251" s="28">
        <v>1.0131492956879592E-2</v>
      </c>
      <c r="AG251" s="30">
        <v>0</v>
      </c>
      <c r="AH251" s="30">
        <v>1.6491053126472278E-5</v>
      </c>
      <c r="AI251" s="30">
        <v>5.7114445569050236E-4</v>
      </c>
      <c r="AJ251" s="30">
        <v>3.7507357872791961E-4</v>
      </c>
      <c r="AK251" s="30">
        <v>2.0357386483527791E-4</v>
      </c>
      <c r="AL251" s="30">
        <v>2.2010172648530679E-2</v>
      </c>
      <c r="AM251" s="30">
        <v>2.3176455600910851E-2</v>
      </c>
      <c r="AN251" s="32">
        <v>0</v>
      </c>
      <c r="AO251" s="32">
        <v>1.179775095002105E-5</v>
      </c>
      <c r="AP251" s="32">
        <v>1.349363676490181E-6</v>
      </c>
      <c r="AQ251" s="32">
        <v>7.4641524221169363E-7</v>
      </c>
      <c r="AR251" s="32">
        <v>8.2548594849751754E-7</v>
      </c>
      <c r="AS251" s="32">
        <v>1.384164295195637E-5</v>
      </c>
      <c r="AT251" s="32">
        <v>2.8560658769176814E-5</v>
      </c>
      <c r="AU251" s="34">
        <v>0</v>
      </c>
      <c r="AV251" s="34">
        <v>0</v>
      </c>
      <c r="AW251" s="34">
        <v>1.5096129038281648E-2</v>
      </c>
      <c r="AX251" s="34">
        <v>0.17647448414364728</v>
      </c>
      <c r="AY251" s="34">
        <v>0.17680199746745828</v>
      </c>
      <c r="AZ251" s="34">
        <v>1.0710949563184369</v>
      </c>
      <c r="BA251" s="34">
        <v>1.4394675669678241</v>
      </c>
      <c r="BB251" s="6"/>
      <c r="BC251" s="6"/>
      <c r="BD251" t="s">
        <v>945</v>
      </c>
      <c r="BF251" s="5">
        <v>8.7552383000000011E-2</v>
      </c>
      <c r="BG251" s="5">
        <f t="shared" si="9"/>
        <v>-1.0313988187815565E-2</v>
      </c>
      <c r="BH251" s="2">
        <v>250.82320999999999</v>
      </c>
    </row>
    <row r="252" spans="1:60" x14ac:dyDescent="0.2">
      <c r="A252" t="str">
        <f t="shared" si="10"/>
        <v>Motorbike, electric, 11-35kW - 2030 - LFP - CH</v>
      </c>
      <c r="B252" t="s">
        <v>269</v>
      </c>
      <c r="D252" s="18">
        <v>2030</v>
      </c>
      <c r="E252" t="s">
        <v>37</v>
      </c>
      <c r="F252" t="s">
        <v>138</v>
      </c>
      <c r="G252" t="s">
        <v>39</v>
      </c>
      <c r="H252" t="s">
        <v>32</v>
      </c>
      <c r="I252" t="s">
        <v>44</v>
      </c>
      <c r="J252" t="s">
        <v>570</v>
      </c>
      <c r="L252" s="24">
        <v>0</v>
      </c>
      <c r="M252" s="24">
        <v>0</v>
      </c>
      <c r="N252" s="24">
        <v>1.5152004931467059E-3</v>
      </c>
      <c r="O252" s="24">
        <v>1.2306591692257861E-2</v>
      </c>
      <c r="P252" s="24">
        <v>5.2182600050499706E-3</v>
      </c>
      <c r="Q252" s="24">
        <v>8.6347492782024776E-2</v>
      </c>
      <c r="R252" s="24">
        <v>0.10538754497247932</v>
      </c>
      <c r="S252" s="26">
        <v>0</v>
      </c>
      <c r="T252" s="26">
        <v>0</v>
      </c>
      <c r="U252" s="26">
        <v>8.6368340895427004E-4</v>
      </c>
      <c r="V252" s="26">
        <v>4.722191823356421E-4</v>
      </c>
      <c r="W252" s="26">
        <v>3.5667519242285801E-4</v>
      </c>
      <c r="X252" s="26">
        <v>5.5866949265579051E-2</v>
      </c>
      <c r="Y252" s="26">
        <v>5.755952704929182E-2</v>
      </c>
      <c r="Z252" s="28">
        <v>0</v>
      </c>
      <c r="AA252" s="28">
        <v>3.1271735442865911E-3</v>
      </c>
      <c r="AB252" s="28">
        <v>1.5240283007201779E-4</v>
      </c>
      <c r="AC252" s="28">
        <v>1.5438989133449149E-4</v>
      </c>
      <c r="AD252" s="28">
        <v>1.5945261329861451E-4</v>
      </c>
      <c r="AE252" s="28">
        <v>7.1709361070833276E-3</v>
      </c>
      <c r="AF252" s="28">
        <v>1.0764354986075043E-2</v>
      </c>
      <c r="AG252" s="30">
        <v>0</v>
      </c>
      <c r="AH252" s="30">
        <v>1.6491053126472278E-5</v>
      </c>
      <c r="AI252" s="30">
        <v>5.7114445569050236E-4</v>
      </c>
      <c r="AJ252" s="30">
        <v>3.7507357872791961E-4</v>
      </c>
      <c r="AK252" s="30">
        <v>2.073489412930921E-4</v>
      </c>
      <c r="AL252" s="30">
        <v>2.398899846098413E-2</v>
      </c>
      <c r="AM252" s="30">
        <v>2.5159056489822116E-2</v>
      </c>
      <c r="AN252" s="32">
        <v>0</v>
      </c>
      <c r="AO252" s="32">
        <v>1.179775095002105E-5</v>
      </c>
      <c r="AP252" s="32">
        <v>1.349363676490181E-6</v>
      </c>
      <c r="AQ252" s="32">
        <v>7.4641524221169363E-7</v>
      </c>
      <c r="AR252" s="32">
        <v>8.4039188940105098E-7</v>
      </c>
      <c r="AS252" s="32">
        <v>1.481061050017246E-5</v>
      </c>
      <c r="AT252" s="32">
        <v>2.9544532258296435E-5</v>
      </c>
      <c r="AU252" s="34">
        <v>0</v>
      </c>
      <c r="AV252" s="34">
        <v>0</v>
      </c>
      <c r="AW252" s="34">
        <v>1.5096129038281648E-2</v>
      </c>
      <c r="AX252" s="34">
        <v>0.17647448414364728</v>
      </c>
      <c r="AY252" s="34">
        <v>0.18141541425004556</v>
      </c>
      <c r="AZ252" s="34">
        <v>1.1650316173815727</v>
      </c>
      <c r="BA252" s="34">
        <v>1.5380176448135472</v>
      </c>
      <c r="BB252" s="6"/>
      <c r="BC252" s="6"/>
      <c r="BD252" t="s">
        <v>744</v>
      </c>
      <c r="BF252" s="5">
        <v>9.2572226999999993E-2</v>
      </c>
      <c r="BG252" s="5">
        <f t="shared" si="9"/>
        <v>-1.2815317972479326E-2</v>
      </c>
      <c r="BH252" s="2">
        <v>268.59798999999998</v>
      </c>
    </row>
    <row r="253" spans="1:60" x14ac:dyDescent="0.2">
      <c r="A253" t="str">
        <f t="shared" si="10"/>
        <v>Motorbike, electric, 11-35kW - 2040 - LFP - CH</v>
      </c>
      <c r="B253" t="s">
        <v>269</v>
      </c>
      <c r="D253" s="18">
        <v>2040</v>
      </c>
      <c r="E253" t="s">
        <v>37</v>
      </c>
      <c r="F253" t="s">
        <v>138</v>
      </c>
      <c r="G253" t="s">
        <v>39</v>
      </c>
      <c r="H253" t="s">
        <v>32</v>
      </c>
      <c r="I253" t="s">
        <v>44</v>
      </c>
      <c r="J253" t="s">
        <v>570</v>
      </c>
      <c r="L253" s="24">
        <v>0</v>
      </c>
      <c r="M253" s="24">
        <v>0</v>
      </c>
      <c r="N253" s="24">
        <v>1.5152004931467059E-3</v>
      </c>
      <c r="O253" s="24">
        <v>1.2306591692257861E-2</v>
      </c>
      <c r="P253" s="24">
        <v>5.2818986745286093E-3</v>
      </c>
      <c r="Q253" s="24">
        <v>8.1642883107063025E-2</v>
      </c>
      <c r="R253" s="24">
        <v>0.1007465739669962</v>
      </c>
      <c r="S253" s="26">
        <v>0</v>
      </c>
      <c r="T253" s="26">
        <v>0</v>
      </c>
      <c r="U253" s="26">
        <v>8.6368340895427004E-4</v>
      </c>
      <c r="V253" s="26">
        <v>4.722191823356421E-4</v>
      </c>
      <c r="W253" s="26">
        <v>3.6069636979411338E-4</v>
      </c>
      <c r="X253" s="26">
        <v>5.1912344210703731E-2</v>
      </c>
      <c r="Y253" s="26">
        <v>5.3608943171787757E-2</v>
      </c>
      <c r="Z253" s="28">
        <v>0</v>
      </c>
      <c r="AA253" s="28">
        <v>3.1271735442865911E-3</v>
      </c>
      <c r="AB253" s="28">
        <v>1.5240283007201779E-4</v>
      </c>
      <c r="AC253" s="28">
        <v>1.5438989133449149E-4</v>
      </c>
      <c r="AD253" s="28">
        <v>1.612805031626867E-4</v>
      </c>
      <c r="AE253" s="28">
        <v>6.6499799372623288E-3</v>
      </c>
      <c r="AF253" s="28">
        <v>1.0245226706118115E-2</v>
      </c>
      <c r="AG253" s="30">
        <v>0</v>
      </c>
      <c r="AH253" s="30">
        <v>1.6491053126472278E-5</v>
      </c>
      <c r="AI253" s="30">
        <v>5.7114445569050236E-4</v>
      </c>
      <c r="AJ253" s="30">
        <v>3.7507357872791961E-4</v>
      </c>
      <c r="AK253" s="30">
        <v>2.0905486421778481E-4</v>
      </c>
      <c r="AL253" s="30">
        <v>2.2306111618354049E-2</v>
      </c>
      <c r="AM253" s="30">
        <v>2.3477875570116727E-2</v>
      </c>
      <c r="AN253" s="32">
        <v>0</v>
      </c>
      <c r="AO253" s="32">
        <v>1.179775095002105E-5</v>
      </c>
      <c r="AP253" s="32">
        <v>1.349363676490181E-6</v>
      </c>
      <c r="AQ253" s="32">
        <v>7.4641524221169363E-7</v>
      </c>
      <c r="AR253" s="32">
        <v>8.4712774934603729E-7</v>
      </c>
      <c r="AS253" s="32">
        <v>1.3897460589459601E-5</v>
      </c>
      <c r="AT253" s="32">
        <v>2.8638118207528563E-5</v>
      </c>
      <c r="AU253" s="34">
        <v>0</v>
      </c>
      <c r="AV253" s="34">
        <v>0</v>
      </c>
      <c r="AW253" s="34">
        <v>1.5096129038281648E-2</v>
      </c>
      <c r="AX253" s="34">
        <v>0.17647448414364728</v>
      </c>
      <c r="AY253" s="34">
        <v>0.18350017558892837</v>
      </c>
      <c r="AZ253" s="34">
        <v>1.0976927569590764</v>
      </c>
      <c r="BA253" s="34">
        <v>1.4727635457299337</v>
      </c>
      <c r="BB253" s="6"/>
      <c r="BC253" s="6"/>
      <c r="BD253" t="s">
        <v>745</v>
      </c>
      <c r="BF253" s="5">
        <v>8.8814014999999996E-2</v>
      </c>
      <c r="BG253" s="5">
        <f t="shared" si="9"/>
        <v>-1.1932558966996201E-2</v>
      </c>
      <c r="BH253" s="2">
        <v>249.14008999999999</v>
      </c>
    </row>
    <row r="254" spans="1:60" x14ac:dyDescent="0.2">
      <c r="A254" t="str">
        <f t="shared" si="10"/>
        <v>Motorbike, electric, 11-35kW - 2050 - LFP - CH</v>
      </c>
      <c r="B254" t="s">
        <v>269</v>
      </c>
      <c r="D254" s="18">
        <v>2050</v>
      </c>
      <c r="E254" t="s">
        <v>37</v>
      </c>
      <c r="F254" t="s">
        <v>138</v>
      </c>
      <c r="G254" t="s">
        <v>39</v>
      </c>
      <c r="H254" t="s">
        <v>32</v>
      </c>
      <c r="I254" t="s">
        <v>44</v>
      </c>
      <c r="J254" t="s">
        <v>570</v>
      </c>
      <c r="L254" s="24">
        <v>0</v>
      </c>
      <c r="M254" s="24">
        <v>0</v>
      </c>
      <c r="N254" s="24">
        <v>1.5152004931467059E-3</v>
      </c>
      <c r="O254" s="24">
        <v>1.16988587691834E-2</v>
      </c>
      <c r="P254" s="24">
        <v>5.2469080279340134E-3</v>
      </c>
      <c r="Q254" s="24">
        <v>0.1312707064103128</v>
      </c>
      <c r="R254" s="24">
        <v>0.14973167370057691</v>
      </c>
      <c r="S254" s="26">
        <v>0</v>
      </c>
      <c r="T254" s="26">
        <v>0</v>
      </c>
      <c r="U254" s="26">
        <v>8.6368340895427004E-4</v>
      </c>
      <c r="V254" s="26">
        <v>4.4889971654128941E-4</v>
      </c>
      <c r="W254" s="26">
        <v>3.5848539339494441E-4</v>
      </c>
      <c r="X254" s="26">
        <v>8.3879698628234439E-2</v>
      </c>
      <c r="Y254" s="26">
        <v>8.5550767147124937E-2</v>
      </c>
      <c r="Z254" s="28">
        <v>0</v>
      </c>
      <c r="AA254" s="28">
        <v>3.1271735442865911E-3</v>
      </c>
      <c r="AB254" s="28">
        <v>1.5240283007201779E-4</v>
      </c>
      <c r="AC254" s="28">
        <v>1.4676569916982529E-4</v>
      </c>
      <c r="AD254" s="28">
        <v>1.602754688215921E-4</v>
      </c>
      <c r="AE254" s="28">
        <v>1.137321068335082E-2</v>
      </c>
      <c r="AF254" s="28">
        <v>1.4959828225700847E-2</v>
      </c>
      <c r="AG254" s="30">
        <v>0</v>
      </c>
      <c r="AH254" s="30">
        <v>1.6491053126472278E-5</v>
      </c>
      <c r="AI254" s="30">
        <v>5.7114445569050236E-4</v>
      </c>
      <c r="AJ254" s="30">
        <v>3.5655142669197291E-4</v>
      </c>
      <c r="AK254" s="30">
        <v>2.081168913364444E-4</v>
      </c>
      <c r="AL254" s="30">
        <v>3.7472638859565532E-2</v>
      </c>
      <c r="AM254" s="30">
        <v>3.8624942686410924E-2</v>
      </c>
      <c r="AN254" s="32">
        <v>0</v>
      </c>
      <c r="AO254" s="32">
        <v>1.179775095002105E-5</v>
      </c>
      <c r="AP254" s="32">
        <v>1.349363676490181E-6</v>
      </c>
      <c r="AQ254" s="32">
        <v>7.095552302506223E-7</v>
      </c>
      <c r="AR254" s="32">
        <v>8.4342415062568946E-7</v>
      </c>
      <c r="AS254" s="32">
        <v>2.153221439947024E-5</v>
      </c>
      <c r="AT254" s="32">
        <v>3.6232308406857779E-5</v>
      </c>
      <c r="AU254" s="34">
        <v>0</v>
      </c>
      <c r="AV254" s="34">
        <v>0</v>
      </c>
      <c r="AW254" s="34">
        <v>1.5096129038281648E-2</v>
      </c>
      <c r="AX254" s="34">
        <v>0.16775969480322017</v>
      </c>
      <c r="AY254" s="34">
        <v>0.18235390480984784</v>
      </c>
      <c r="AZ254" s="34">
        <v>1.7582249094146232</v>
      </c>
      <c r="BA254" s="34">
        <v>2.123434638065973</v>
      </c>
      <c r="BB254" s="6"/>
      <c r="BC254" s="6"/>
      <c r="BD254" t="s">
        <v>746</v>
      </c>
      <c r="BF254" s="5">
        <v>0.12355849000000001</v>
      </c>
      <c r="BG254" s="5">
        <f t="shared" si="9"/>
        <v>-2.6173183700576905E-2</v>
      </c>
      <c r="BH254" s="2">
        <v>400.40685999999999</v>
      </c>
    </row>
    <row r="255" spans="1:60" x14ac:dyDescent="0.2">
      <c r="A255" t="str">
        <f t="shared" si="10"/>
        <v>Motorbike, electric, &gt;35kW - 2020 - LFP - CH</v>
      </c>
      <c r="B255" t="s">
        <v>270</v>
      </c>
      <c r="D255" s="18">
        <v>2020</v>
      </c>
      <c r="E255" t="s">
        <v>37</v>
      </c>
      <c r="F255" t="s">
        <v>138</v>
      </c>
      <c r="G255" t="s">
        <v>39</v>
      </c>
      <c r="H255" t="s">
        <v>32</v>
      </c>
      <c r="I255" t="s">
        <v>44</v>
      </c>
      <c r="J255" t="s">
        <v>570</v>
      </c>
      <c r="L255" s="24">
        <v>0</v>
      </c>
      <c r="M255" s="24">
        <v>0</v>
      </c>
      <c r="N255" s="24">
        <v>1.689725966023888E-3</v>
      </c>
      <c r="O255" s="24">
        <v>1.2306591692257861E-2</v>
      </c>
      <c r="P255" s="24">
        <v>5.7322097842371321E-3</v>
      </c>
      <c r="Q255" s="24">
        <v>0.1330489585066062</v>
      </c>
      <c r="R255" s="24">
        <v>0.15277748594912507</v>
      </c>
      <c r="S255" s="26">
        <v>0</v>
      </c>
      <c r="T255" s="26">
        <v>0</v>
      </c>
      <c r="U255" s="26">
        <v>9.63165131700334E-4</v>
      </c>
      <c r="V255" s="26">
        <v>4.722191823356421E-4</v>
      </c>
      <c r="W255" s="26">
        <v>3.8915046632409652E-4</v>
      </c>
      <c r="X255" s="26">
        <v>8.6893962416245196E-2</v>
      </c>
      <c r="Y255" s="26">
        <v>8.8718497196605267E-2</v>
      </c>
      <c r="Z255" s="28">
        <v>0</v>
      </c>
      <c r="AA255" s="28">
        <v>3.1271735442865911E-3</v>
      </c>
      <c r="AB255" s="28">
        <v>1.699570587740569E-4</v>
      </c>
      <c r="AC255" s="28">
        <v>1.5438989133449149E-4</v>
      </c>
      <c r="AD255" s="28">
        <v>1.742147634144923E-4</v>
      </c>
      <c r="AE255" s="28">
        <v>1.1580690453615769E-2</v>
      </c>
      <c r="AF255" s="28">
        <v>1.52064257114254E-2</v>
      </c>
      <c r="AG255" s="30">
        <v>0</v>
      </c>
      <c r="AH255" s="30">
        <v>1.6491053126472278E-5</v>
      </c>
      <c r="AI255" s="30">
        <v>6.3693063821975663E-4</v>
      </c>
      <c r="AJ255" s="30">
        <v>3.7507357872791961E-4</v>
      </c>
      <c r="AK255" s="30">
        <v>2.2112607896172969E-4</v>
      </c>
      <c r="AL255" s="30">
        <v>3.8191506964006042E-2</v>
      </c>
      <c r="AM255" s="30">
        <v>3.9441128313041918E-2</v>
      </c>
      <c r="AN255" s="32">
        <v>0</v>
      </c>
      <c r="AO255" s="32">
        <v>1.179775095002105E-5</v>
      </c>
      <c r="AP255" s="32">
        <v>1.5047875525962851E-6</v>
      </c>
      <c r="AQ255" s="32">
        <v>7.4641524221169363E-7</v>
      </c>
      <c r="AR255" s="32">
        <v>8.947911054708254E-7</v>
      </c>
      <c r="AS255" s="32">
        <v>2.298482768960763E-5</v>
      </c>
      <c r="AT255" s="32">
        <v>3.7928572539907486E-5</v>
      </c>
      <c r="AU255" s="34">
        <v>0</v>
      </c>
      <c r="AV255" s="34">
        <v>0</v>
      </c>
      <c r="AW255" s="34">
        <v>1.6834947809089666E-2</v>
      </c>
      <c r="AX255" s="34">
        <v>0.17647448414364728</v>
      </c>
      <c r="AY255" s="34">
        <v>0.1982520740758201</v>
      </c>
      <c r="AZ255" s="34">
        <v>1.8026418530543371</v>
      </c>
      <c r="BA255" s="34">
        <v>2.194203359082894</v>
      </c>
      <c r="BB255" s="6"/>
      <c r="BC255" s="6"/>
      <c r="BD255" t="s">
        <v>946</v>
      </c>
      <c r="BF255" s="5">
        <v>0.12988803000000002</v>
      </c>
      <c r="BG255" s="5">
        <f t="shared" si="9"/>
        <v>-2.2889455949125059E-2</v>
      </c>
      <c r="BH255" s="2">
        <v>419.23570999999998</v>
      </c>
    </row>
    <row r="256" spans="1:60" x14ac:dyDescent="0.2">
      <c r="A256" t="str">
        <f t="shared" si="10"/>
        <v>Motorbike, electric, &gt;35kW - 2030 - LFP - CH</v>
      </c>
      <c r="B256" t="s">
        <v>270</v>
      </c>
      <c r="D256" s="18">
        <v>2030</v>
      </c>
      <c r="E256" t="s">
        <v>37</v>
      </c>
      <c r="F256" t="s">
        <v>138</v>
      </c>
      <c r="G256" t="s">
        <v>39</v>
      </c>
      <c r="H256" t="s">
        <v>32</v>
      </c>
      <c r="I256" t="s">
        <v>44</v>
      </c>
      <c r="J256" t="s">
        <v>570</v>
      </c>
      <c r="L256" s="24">
        <v>0</v>
      </c>
      <c r="M256" s="24">
        <v>0</v>
      </c>
      <c r="N256" s="24">
        <v>1.689725966023888E-3</v>
      </c>
      <c r="O256" s="24">
        <v>1.2306591692257861E-2</v>
      </c>
      <c r="P256" s="24">
        <v>6.0030762336561044E-3</v>
      </c>
      <c r="Q256" s="24">
        <v>0.14397240586620499</v>
      </c>
      <c r="R256" s="24">
        <v>0.16397179975814286</v>
      </c>
      <c r="S256" s="26">
        <v>0</v>
      </c>
      <c r="T256" s="26">
        <v>0</v>
      </c>
      <c r="U256" s="26">
        <v>9.63165131700334E-4</v>
      </c>
      <c r="V256" s="26">
        <v>4.722191823356421E-4</v>
      </c>
      <c r="W256" s="26">
        <v>4.0626587816345781E-4</v>
      </c>
      <c r="X256" s="26">
        <v>9.2628351819699223E-2</v>
      </c>
      <c r="Y256" s="26">
        <v>9.447000201189866E-2</v>
      </c>
      <c r="Z256" s="28">
        <v>0</v>
      </c>
      <c r="AA256" s="28">
        <v>3.1271735442865911E-3</v>
      </c>
      <c r="AB256" s="28">
        <v>1.699570587740569E-4</v>
      </c>
      <c r="AC256" s="28">
        <v>1.5438989133449149E-4</v>
      </c>
      <c r="AD256" s="28">
        <v>1.8199484495086659E-4</v>
      </c>
      <c r="AE256" s="28">
        <v>1.2524604404161629E-2</v>
      </c>
      <c r="AF256" s="28">
        <v>1.6158119743507636E-2</v>
      </c>
      <c r="AG256" s="30">
        <v>0</v>
      </c>
      <c r="AH256" s="30">
        <v>1.6491053126472278E-5</v>
      </c>
      <c r="AI256" s="30">
        <v>6.3693063821975663E-4</v>
      </c>
      <c r="AJ256" s="30">
        <v>3.7507357872791961E-4</v>
      </c>
      <c r="AK256" s="30">
        <v>2.283870303514982E-4</v>
      </c>
      <c r="AL256" s="30">
        <v>4.1143357581012688E-2</v>
      </c>
      <c r="AM256" s="30">
        <v>4.2400239881438331E-2</v>
      </c>
      <c r="AN256" s="32">
        <v>0</v>
      </c>
      <c r="AO256" s="32">
        <v>1.179775095002105E-5</v>
      </c>
      <c r="AP256" s="32">
        <v>1.5047875525962851E-6</v>
      </c>
      <c r="AQ256" s="32">
        <v>7.4641524221169363E-7</v>
      </c>
      <c r="AR256" s="32">
        <v>9.2346107110696084E-7</v>
      </c>
      <c r="AS256" s="32">
        <v>2.4470014700998951E-5</v>
      </c>
      <c r="AT256" s="32">
        <v>3.9442429516934937E-5</v>
      </c>
      <c r="AU256" s="34">
        <v>0</v>
      </c>
      <c r="AV256" s="34">
        <v>0</v>
      </c>
      <c r="AW256" s="34">
        <v>1.6834947809089666E-2</v>
      </c>
      <c r="AX256" s="34">
        <v>0.17647448414364728</v>
      </c>
      <c r="AY256" s="34">
        <v>0.20712548243547596</v>
      </c>
      <c r="AZ256" s="34">
        <v>1.9428459549765458</v>
      </c>
      <c r="BA256" s="34">
        <v>2.3432808693647589</v>
      </c>
      <c r="BB256" s="6"/>
      <c r="BC256" s="6"/>
      <c r="BD256" t="s">
        <v>747</v>
      </c>
      <c r="BF256" s="5">
        <v>0.13760115000000001</v>
      </c>
      <c r="BG256" s="5">
        <f t="shared" si="9"/>
        <v>-2.637064975814285E-2</v>
      </c>
      <c r="BH256" s="2">
        <v>446.90778</v>
      </c>
    </row>
    <row r="257" spans="1:60" x14ac:dyDescent="0.2">
      <c r="A257" t="str">
        <f t="shared" si="10"/>
        <v>Motorbike, electric, &gt;35kW - 2040 - LFP - CH</v>
      </c>
      <c r="B257" t="s">
        <v>270</v>
      </c>
      <c r="D257" s="18">
        <v>2040</v>
      </c>
      <c r="E257" t="s">
        <v>37</v>
      </c>
      <c r="F257" t="s">
        <v>138</v>
      </c>
      <c r="G257" t="s">
        <v>39</v>
      </c>
      <c r="H257" t="s">
        <v>32</v>
      </c>
      <c r="I257" t="s">
        <v>44</v>
      </c>
      <c r="J257" t="s">
        <v>570</v>
      </c>
      <c r="L257" s="24">
        <v>0</v>
      </c>
      <c r="M257" s="24">
        <v>0</v>
      </c>
      <c r="N257" s="24">
        <v>1.689725966023888E-3</v>
      </c>
      <c r="O257" s="24">
        <v>1.2306591692257861E-2</v>
      </c>
      <c r="P257" s="24">
        <v>6.1113257014817129E-3</v>
      </c>
      <c r="Q257" s="24">
        <v>0.13253405494445991</v>
      </c>
      <c r="R257" s="24">
        <v>0.15264169830422336</v>
      </c>
      <c r="S257" s="26">
        <v>0</v>
      </c>
      <c r="T257" s="26">
        <v>0</v>
      </c>
      <c r="U257" s="26">
        <v>9.63165131700334E-4</v>
      </c>
      <c r="V257" s="26">
        <v>4.722191823356421E-4</v>
      </c>
      <c r="W257" s="26">
        <v>4.131059066247207E-4</v>
      </c>
      <c r="X257" s="26">
        <v>8.3865754159344025E-2</v>
      </c>
      <c r="Y257" s="26">
        <v>8.5714244380004717E-2</v>
      </c>
      <c r="Z257" s="28">
        <v>0</v>
      </c>
      <c r="AA257" s="28">
        <v>3.1271735442865911E-3</v>
      </c>
      <c r="AB257" s="28">
        <v>1.699570587740569E-4</v>
      </c>
      <c r="AC257" s="28">
        <v>1.5438989133449149E-4</v>
      </c>
      <c r="AD257" s="28">
        <v>1.851040882246605E-4</v>
      </c>
      <c r="AE257" s="28">
        <v>1.1325664435950089E-2</v>
      </c>
      <c r="AF257" s="28">
        <v>1.4962289018569889E-2</v>
      </c>
      <c r="AG257" s="30">
        <v>0</v>
      </c>
      <c r="AH257" s="30">
        <v>1.6491053126472278E-5</v>
      </c>
      <c r="AI257" s="30">
        <v>6.3693063821975663E-4</v>
      </c>
      <c r="AJ257" s="30">
        <v>3.7507357872791961E-4</v>
      </c>
      <c r="AK257" s="30">
        <v>2.3128880768691969E-4</v>
      </c>
      <c r="AL257" s="30">
        <v>3.7276927745773153E-2</v>
      </c>
      <c r="AM257" s="30">
        <v>3.8536711823534221E-2</v>
      </c>
      <c r="AN257" s="32">
        <v>0</v>
      </c>
      <c r="AO257" s="32">
        <v>1.179775095002105E-5</v>
      </c>
      <c r="AP257" s="32">
        <v>1.5047875525962851E-6</v>
      </c>
      <c r="AQ257" s="32">
        <v>7.4641524221169363E-7</v>
      </c>
      <c r="AR257" s="32">
        <v>9.3491877850980613E-7</v>
      </c>
      <c r="AS257" s="32">
        <v>2.2426039524605921E-5</v>
      </c>
      <c r="AT257" s="32">
        <v>3.7409912047944757E-5</v>
      </c>
      <c r="AU257" s="34">
        <v>0</v>
      </c>
      <c r="AV257" s="34">
        <v>0</v>
      </c>
      <c r="AW257" s="34">
        <v>1.6834947809089666E-2</v>
      </c>
      <c r="AX257" s="34">
        <v>0.17647448414364728</v>
      </c>
      <c r="AY257" s="34">
        <v>0.21067166445540664</v>
      </c>
      <c r="AZ257" s="34">
        <v>1.7835099942552901</v>
      </c>
      <c r="BA257" s="34">
        <v>2.1874910906634337</v>
      </c>
      <c r="BB257" s="6"/>
      <c r="BC257" s="6"/>
      <c r="BD257" t="s">
        <v>748</v>
      </c>
      <c r="BF257" s="5">
        <v>0.12883433</v>
      </c>
      <c r="BG257" s="5">
        <f t="shared" si="9"/>
        <v>-2.3807368304223364E-2</v>
      </c>
      <c r="BH257" s="2">
        <v>404.11622</v>
      </c>
    </row>
    <row r="258" spans="1:60" x14ac:dyDescent="0.2">
      <c r="A258" t="str">
        <f t="shared" si="10"/>
        <v>Motorbike, electric, &gt;35kW - 2050 - LFP - CH</v>
      </c>
      <c r="B258" t="s">
        <v>270</v>
      </c>
      <c r="D258" s="18">
        <v>2050</v>
      </c>
      <c r="E258" t="s">
        <v>37</v>
      </c>
      <c r="F258" t="s">
        <v>138</v>
      </c>
      <c r="G258" t="s">
        <v>39</v>
      </c>
      <c r="H258" t="s">
        <v>32</v>
      </c>
      <c r="I258" t="s">
        <v>44</v>
      </c>
      <c r="J258" t="s">
        <v>570</v>
      </c>
      <c r="L258" s="24">
        <v>0</v>
      </c>
      <c r="M258" s="24">
        <v>0</v>
      </c>
      <c r="N258" s="24">
        <v>1.689725966023888E-3</v>
      </c>
      <c r="O258" s="24">
        <v>1.9936678541457739E-2</v>
      </c>
      <c r="P258" s="24">
        <v>6.0371109345718366E-3</v>
      </c>
      <c r="Q258" s="24">
        <v>0.21631706785528021</v>
      </c>
      <c r="R258" s="24">
        <v>0.24398058329733369</v>
      </c>
      <c r="S258" s="26">
        <v>0</v>
      </c>
      <c r="T258" s="26">
        <v>0</v>
      </c>
      <c r="U258" s="26">
        <v>9.63165131700334E-4</v>
      </c>
      <c r="V258" s="26">
        <v>7.6499507538374024E-4</v>
      </c>
      <c r="W258" s="26">
        <v>4.0841645061069821E-4</v>
      </c>
      <c r="X258" s="26">
        <v>0.14135138537870459</v>
      </c>
      <c r="Y258" s="26">
        <v>0.14348796203639935</v>
      </c>
      <c r="Z258" s="28">
        <v>0</v>
      </c>
      <c r="AA258" s="28">
        <v>3.1271735442865911E-3</v>
      </c>
      <c r="AB258" s="28">
        <v>1.699570587740569E-4</v>
      </c>
      <c r="AC258" s="28">
        <v>2.5011162396187633E-4</v>
      </c>
      <c r="AD258" s="28">
        <v>1.8297242171889569E-4</v>
      </c>
      <c r="AE258" s="28">
        <v>1.9587163637120739E-2</v>
      </c>
      <c r="AF258" s="28">
        <v>2.331737828586216E-2</v>
      </c>
      <c r="AG258" s="30">
        <v>0</v>
      </c>
      <c r="AH258" s="30">
        <v>1.6491053126472278E-5</v>
      </c>
      <c r="AI258" s="30">
        <v>6.3693063821975663E-4</v>
      </c>
      <c r="AJ258" s="30">
        <v>6.0761919753922976E-4</v>
      </c>
      <c r="AK258" s="30">
        <v>2.2929937778118001E-4</v>
      </c>
      <c r="AL258" s="30">
        <v>6.3764916319348358E-2</v>
      </c>
      <c r="AM258" s="30">
        <v>6.5255256586014998E-2</v>
      </c>
      <c r="AN258" s="32">
        <v>0</v>
      </c>
      <c r="AO258" s="32">
        <v>1.179775095002105E-5</v>
      </c>
      <c r="AP258" s="32">
        <v>1.5047875525962851E-6</v>
      </c>
      <c r="AQ258" s="32">
        <v>1.209192692382944E-6</v>
      </c>
      <c r="AR258" s="32">
        <v>9.2706348738178315E-7</v>
      </c>
      <c r="AS258" s="32">
        <v>3.6122450707167833E-5</v>
      </c>
      <c r="AT258" s="32">
        <v>5.1561245389549897E-5</v>
      </c>
      <c r="AU258" s="34">
        <v>0</v>
      </c>
      <c r="AV258" s="34">
        <v>0</v>
      </c>
      <c r="AW258" s="34">
        <v>1.6834947809089666E-2</v>
      </c>
      <c r="AX258" s="34">
        <v>0.28588866431270848</v>
      </c>
      <c r="AY258" s="34">
        <v>0.20824043705710535</v>
      </c>
      <c r="AZ258" s="34">
        <v>2.9183852236892727</v>
      </c>
      <c r="BA258" s="34">
        <v>3.4293492728681763</v>
      </c>
      <c r="BB258" s="6"/>
      <c r="BC258" s="6"/>
      <c r="BD258" t="s">
        <v>749</v>
      </c>
      <c r="BF258" s="5">
        <v>0.19645399</v>
      </c>
      <c r="BG258" s="5">
        <f t="shared" si="9"/>
        <v>-4.7526593297333691E-2</v>
      </c>
      <c r="BH258" s="2">
        <v>687.79053999999996</v>
      </c>
    </row>
    <row r="259" spans="1:60" x14ac:dyDescent="0.2">
      <c r="A259" t="str">
        <f t="shared" si="10"/>
        <v>Motorbike, electric, &lt;4kW - 2020 - NCA - CH</v>
      </c>
      <c r="B259" t="s">
        <v>267</v>
      </c>
      <c r="D259" s="18">
        <v>2020</v>
      </c>
      <c r="E259" t="s">
        <v>37</v>
      </c>
      <c r="F259" t="s">
        <v>138</v>
      </c>
      <c r="G259" t="s">
        <v>39</v>
      </c>
      <c r="H259" t="s">
        <v>32</v>
      </c>
      <c r="I259" t="s">
        <v>45</v>
      </c>
      <c r="J259" t="s">
        <v>570</v>
      </c>
      <c r="L259" s="24">
        <v>0</v>
      </c>
      <c r="M259" s="24">
        <v>0</v>
      </c>
      <c r="N259" s="24">
        <v>7.4420517119050845E-4</v>
      </c>
      <c r="O259" s="24">
        <v>1.2306591692257861E-2</v>
      </c>
      <c r="P259" s="24">
        <v>4.425905066110937E-3</v>
      </c>
      <c r="Q259" s="24">
        <v>3.3902437426259507E-2</v>
      </c>
      <c r="R259" s="24">
        <v>5.1379139355818816E-2</v>
      </c>
      <c r="S259" s="26">
        <v>0</v>
      </c>
      <c r="T259" s="26">
        <v>0</v>
      </c>
      <c r="U259" s="26">
        <v>4.2420634240975051E-4</v>
      </c>
      <c r="V259" s="26">
        <v>4.722191823356421E-4</v>
      </c>
      <c r="W259" s="26">
        <v>3.0660815336363168E-4</v>
      </c>
      <c r="X259" s="26">
        <v>2.47414493231328E-2</v>
      </c>
      <c r="Y259" s="26">
        <v>2.5944483001241823E-2</v>
      </c>
      <c r="Z259" s="28">
        <v>0</v>
      </c>
      <c r="AA259" s="28">
        <v>3.1271735442865911E-3</v>
      </c>
      <c r="AB259" s="28">
        <v>7.4854103306236475E-5</v>
      </c>
      <c r="AC259" s="28">
        <v>1.5438989133449149E-4</v>
      </c>
      <c r="AD259" s="28">
        <v>1.3669384770059349E-4</v>
      </c>
      <c r="AE259" s="28">
        <v>2.475333254355087E-3</v>
      </c>
      <c r="AF259" s="28">
        <v>5.9684446409829991E-3</v>
      </c>
      <c r="AG259" s="30">
        <v>0</v>
      </c>
      <c r="AH259" s="30">
        <v>1.6491053126472278E-5</v>
      </c>
      <c r="AI259" s="30">
        <v>2.805230458570776E-4</v>
      </c>
      <c r="AJ259" s="30">
        <v>3.7507357872791961E-4</v>
      </c>
      <c r="AK259" s="30">
        <v>1.8610876663351179E-4</v>
      </c>
      <c r="AL259" s="30">
        <v>8.5929110963679396E-3</v>
      </c>
      <c r="AM259" s="30">
        <v>9.4511075407129209E-3</v>
      </c>
      <c r="AN259" s="32">
        <v>0</v>
      </c>
      <c r="AO259" s="32">
        <v>1.179775095002105E-5</v>
      </c>
      <c r="AP259" s="32">
        <v>6.6275283726653284E-7</v>
      </c>
      <c r="AQ259" s="32">
        <v>7.4641524221169363E-7</v>
      </c>
      <c r="AR259" s="32">
        <v>7.5652476994150374E-7</v>
      </c>
      <c r="AS259" s="32">
        <v>7.2500144535867421E-6</v>
      </c>
      <c r="AT259" s="32">
        <v>2.121345825302752E-5</v>
      </c>
      <c r="AU259" s="34">
        <v>0</v>
      </c>
      <c r="AV259" s="34">
        <v>0</v>
      </c>
      <c r="AW259" s="34">
        <v>7.4146077341334599E-3</v>
      </c>
      <c r="AX259" s="34">
        <v>0.17647448414364728</v>
      </c>
      <c r="AY259" s="34">
        <v>0.15545838282707702</v>
      </c>
      <c r="AZ259" s="34">
        <v>0.47060080427472312</v>
      </c>
      <c r="BA259" s="34">
        <v>0.80994827897958088</v>
      </c>
      <c r="BB259" s="6"/>
      <c r="BC259" s="6"/>
      <c r="BD259" t="s">
        <v>947</v>
      </c>
      <c r="BF259" s="5">
        <v>5.3132026000000006E-2</v>
      </c>
      <c r="BG259" s="5">
        <f t="shared" si="9"/>
        <v>1.7528866441811897E-3</v>
      </c>
      <c r="BH259" s="2">
        <v>117.84532</v>
      </c>
    </row>
    <row r="260" spans="1:60" x14ac:dyDescent="0.2">
      <c r="A260" t="str">
        <f t="shared" si="10"/>
        <v>Motorbike, electric, &lt;4kW - 2030 - NCA - CH</v>
      </c>
      <c r="B260" t="s">
        <v>267</v>
      </c>
      <c r="D260" s="18">
        <v>2030</v>
      </c>
      <c r="E260" t="s">
        <v>37</v>
      </c>
      <c r="F260" t="s">
        <v>138</v>
      </c>
      <c r="G260" t="s">
        <v>39</v>
      </c>
      <c r="H260" t="s">
        <v>32</v>
      </c>
      <c r="I260" t="s">
        <v>45</v>
      </c>
      <c r="J260" t="s">
        <v>570</v>
      </c>
      <c r="L260" s="24">
        <v>0</v>
      </c>
      <c r="M260" s="24">
        <v>0</v>
      </c>
      <c r="N260" s="24">
        <v>7.4420517119050845E-4</v>
      </c>
      <c r="O260" s="24">
        <v>1.2306591692257861E-2</v>
      </c>
      <c r="P260" s="24">
        <v>4.4354770577290396E-3</v>
      </c>
      <c r="Q260" s="24">
        <v>3.6309068769588608E-2</v>
      </c>
      <c r="R260" s="24">
        <v>5.3795342690766017E-2</v>
      </c>
      <c r="S260" s="26">
        <v>0</v>
      </c>
      <c r="T260" s="26">
        <v>0</v>
      </c>
      <c r="U260" s="26">
        <v>4.2420634240975051E-4</v>
      </c>
      <c r="V260" s="26">
        <v>4.722191823356421E-4</v>
      </c>
      <c r="W260" s="26">
        <v>3.0721298492921762E-4</v>
      </c>
      <c r="X260" s="26">
        <v>2.5348429635311379E-2</v>
      </c>
      <c r="Y260" s="26">
        <v>2.655206814498599E-2</v>
      </c>
      <c r="Z260" s="28">
        <v>0</v>
      </c>
      <c r="AA260" s="28">
        <v>3.1271735442865911E-3</v>
      </c>
      <c r="AB260" s="28">
        <v>7.4854103306236475E-5</v>
      </c>
      <c r="AC260" s="28">
        <v>1.5438989133449149E-4</v>
      </c>
      <c r="AD260" s="28">
        <v>1.3696878346843811E-4</v>
      </c>
      <c r="AE260" s="28">
        <v>2.6271210559094798E-3</v>
      </c>
      <c r="AF260" s="28">
        <v>6.1205073783052368E-3</v>
      </c>
      <c r="AG260" s="30">
        <v>0</v>
      </c>
      <c r="AH260" s="30">
        <v>1.6491053126472278E-5</v>
      </c>
      <c r="AI260" s="30">
        <v>2.805230458570776E-4</v>
      </c>
      <c r="AJ260" s="30">
        <v>3.7507357872791961E-4</v>
      </c>
      <c r="AK260" s="30">
        <v>1.863653571636104E-4</v>
      </c>
      <c r="AL260" s="30">
        <v>9.0822750147208746E-3</v>
      </c>
      <c r="AM260" s="30">
        <v>9.9407280495959552E-3</v>
      </c>
      <c r="AN260" s="32">
        <v>0</v>
      </c>
      <c r="AO260" s="32">
        <v>1.179775095002105E-5</v>
      </c>
      <c r="AP260" s="32">
        <v>6.6275283726653284E-7</v>
      </c>
      <c r="AQ260" s="32">
        <v>7.4641524221169363E-7</v>
      </c>
      <c r="AR260" s="32">
        <v>7.5753792115070333E-7</v>
      </c>
      <c r="AS260" s="32">
        <v>7.4121647405551788E-6</v>
      </c>
      <c r="AT260" s="32">
        <v>2.1376621691205159E-5</v>
      </c>
      <c r="AU260" s="34">
        <v>0</v>
      </c>
      <c r="AV260" s="34">
        <v>0</v>
      </c>
      <c r="AW260" s="34">
        <v>7.4146077341334599E-3</v>
      </c>
      <c r="AX260" s="34">
        <v>0.17647448414364728</v>
      </c>
      <c r="AY260" s="34">
        <v>0.15577195503443175</v>
      </c>
      <c r="AZ260" s="34">
        <v>0.49726894951311434</v>
      </c>
      <c r="BA260" s="34">
        <v>0.83692999642532684</v>
      </c>
      <c r="BB260" s="6"/>
      <c r="BC260" s="6"/>
      <c r="BD260" t="s">
        <v>750</v>
      </c>
      <c r="BF260" s="5">
        <v>5.4213036000000006E-2</v>
      </c>
      <c r="BG260" s="5">
        <f t="shared" ref="BG260:BG274" si="11">BF260-R260</f>
        <v>4.1769330923398934E-4</v>
      </c>
      <c r="BH260" s="2">
        <v>119.40535</v>
      </c>
    </row>
    <row r="261" spans="1:60" x14ac:dyDescent="0.2">
      <c r="A261" t="str">
        <f t="shared" si="10"/>
        <v>Motorbike, electric, &lt;4kW - 2040 - NCA - CH</v>
      </c>
      <c r="B261" t="s">
        <v>267</v>
      </c>
      <c r="D261" s="18">
        <v>2040</v>
      </c>
      <c r="E261" t="s">
        <v>37</v>
      </c>
      <c r="F261" t="s">
        <v>138</v>
      </c>
      <c r="G261" t="s">
        <v>39</v>
      </c>
      <c r="H261" t="s">
        <v>32</v>
      </c>
      <c r="I261" t="s">
        <v>45</v>
      </c>
      <c r="J261" t="s">
        <v>570</v>
      </c>
      <c r="L261" s="24">
        <v>0</v>
      </c>
      <c r="M261" s="24">
        <v>0</v>
      </c>
      <c r="N261" s="24">
        <v>7.4420517119050845E-4</v>
      </c>
      <c r="O261" s="24">
        <v>1.2306591692257861E-2</v>
      </c>
      <c r="P261" s="24">
        <v>4.434103834174483E-3</v>
      </c>
      <c r="Q261" s="24">
        <v>3.6426180899513397E-2</v>
      </c>
      <c r="R261" s="24">
        <v>5.391108159713625E-2</v>
      </c>
      <c r="S261" s="26">
        <v>0</v>
      </c>
      <c r="T261" s="26">
        <v>0</v>
      </c>
      <c r="U261" s="26">
        <v>4.2420634240975051E-4</v>
      </c>
      <c r="V261" s="26">
        <v>4.722191823356421E-4</v>
      </c>
      <c r="W261" s="26">
        <v>3.0712621417287557E-4</v>
      </c>
      <c r="X261" s="26">
        <v>2.436109907006942E-2</v>
      </c>
      <c r="Y261" s="26">
        <v>2.5564650808987687E-2</v>
      </c>
      <c r="Z261" s="28">
        <v>0</v>
      </c>
      <c r="AA261" s="28">
        <v>3.1271735442865911E-3</v>
      </c>
      <c r="AB261" s="28">
        <v>7.4854103306236475E-5</v>
      </c>
      <c r="AC261" s="28">
        <v>1.5438989133449149E-4</v>
      </c>
      <c r="AD261" s="28">
        <v>1.3692934044681231E-4</v>
      </c>
      <c r="AE261" s="28">
        <v>2.5549809065749198E-3</v>
      </c>
      <c r="AF261" s="28">
        <v>6.0483277859490515E-3</v>
      </c>
      <c r="AG261" s="30">
        <v>0</v>
      </c>
      <c r="AH261" s="30">
        <v>1.6491053126472278E-5</v>
      </c>
      <c r="AI261" s="30">
        <v>2.805230458570776E-4</v>
      </c>
      <c r="AJ261" s="30">
        <v>3.7507357872791961E-4</v>
      </c>
      <c r="AK261" s="30">
        <v>1.8632854599892639E-4</v>
      </c>
      <c r="AL261" s="30">
        <v>8.8871934464291071E-3</v>
      </c>
      <c r="AM261" s="30">
        <v>9.7456096701395035E-3</v>
      </c>
      <c r="AN261" s="32">
        <v>0</v>
      </c>
      <c r="AO261" s="32">
        <v>1.179775095002105E-5</v>
      </c>
      <c r="AP261" s="32">
        <v>6.6275283726653284E-7</v>
      </c>
      <c r="AQ261" s="32">
        <v>7.4641524221169363E-7</v>
      </c>
      <c r="AR261" s="32">
        <v>7.5739257176467052E-7</v>
      </c>
      <c r="AS261" s="32">
        <v>7.1665713461865727E-6</v>
      </c>
      <c r="AT261" s="32">
        <v>2.1130882947450518E-5</v>
      </c>
      <c r="AU261" s="34">
        <v>0</v>
      </c>
      <c r="AV261" s="34">
        <v>0</v>
      </c>
      <c r="AW261" s="34">
        <v>7.4146077341334599E-3</v>
      </c>
      <c r="AX261" s="34">
        <v>0.17647448414364728</v>
      </c>
      <c r="AY261" s="34">
        <v>0.15572696912571241</v>
      </c>
      <c r="AZ261" s="34">
        <v>0.4937996919474914</v>
      </c>
      <c r="BA261" s="34">
        <v>0.83341575295098458</v>
      </c>
      <c r="BB261" s="6"/>
      <c r="BC261" s="6"/>
      <c r="BD261" t="s">
        <v>751</v>
      </c>
      <c r="BF261" s="5">
        <v>5.3707326999999999E-2</v>
      </c>
      <c r="BG261" s="5">
        <f t="shared" si="11"/>
        <v>-2.037545971362506E-4</v>
      </c>
      <c r="BH261" s="2">
        <v>114.16804999999999</v>
      </c>
    </row>
    <row r="262" spans="1:60" x14ac:dyDescent="0.2">
      <c r="A262" t="str">
        <f t="shared" si="10"/>
        <v>Motorbike, electric, &lt;4kW - 2050 - NCA - CH</v>
      </c>
      <c r="B262" t="s">
        <v>267</v>
      </c>
      <c r="D262" s="18">
        <v>2050</v>
      </c>
      <c r="E262" t="s">
        <v>37</v>
      </c>
      <c r="F262" t="s">
        <v>138</v>
      </c>
      <c r="G262" t="s">
        <v>39</v>
      </c>
      <c r="H262" t="s">
        <v>32</v>
      </c>
      <c r="I262" t="s">
        <v>45</v>
      </c>
      <c r="J262" t="s">
        <v>570</v>
      </c>
      <c r="L262" s="24">
        <v>0</v>
      </c>
      <c r="M262" s="24">
        <v>0</v>
      </c>
      <c r="N262" s="24">
        <v>7.4420517119050845E-4</v>
      </c>
      <c r="O262" s="24">
        <v>1.2306591692257861E-2</v>
      </c>
      <c r="P262" s="24">
        <v>4.433716903780657E-3</v>
      </c>
      <c r="Q262" s="24">
        <v>3.6461117411092113E-2</v>
      </c>
      <c r="R262" s="24">
        <v>5.3945631178321143E-2</v>
      </c>
      <c r="S262" s="26">
        <v>0</v>
      </c>
      <c r="T262" s="26">
        <v>0</v>
      </c>
      <c r="U262" s="26">
        <v>4.2420634240975051E-4</v>
      </c>
      <c r="V262" s="26">
        <v>4.722191823356421E-4</v>
      </c>
      <c r="W262" s="26">
        <v>3.0710176495423781E-4</v>
      </c>
      <c r="X262" s="26">
        <v>2.3293633872741179E-2</v>
      </c>
      <c r="Y262" s="26">
        <v>2.4497161162440811E-2</v>
      </c>
      <c r="Z262" s="28">
        <v>0</v>
      </c>
      <c r="AA262" s="28">
        <v>3.1271735442865911E-3</v>
      </c>
      <c r="AB262" s="28">
        <v>7.4854103306236475E-5</v>
      </c>
      <c r="AC262" s="28">
        <v>1.5438989133449149E-4</v>
      </c>
      <c r="AD262" s="28">
        <v>1.3691822666723821E-4</v>
      </c>
      <c r="AE262" s="28">
        <v>2.473099587364041E-3</v>
      </c>
      <c r="AF262" s="28">
        <v>5.9664353529585981E-3</v>
      </c>
      <c r="AG262" s="30">
        <v>0</v>
      </c>
      <c r="AH262" s="30">
        <v>1.6491053126472278E-5</v>
      </c>
      <c r="AI262" s="30">
        <v>2.805230458570776E-4</v>
      </c>
      <c r="AJ262" s="30">
        <v>3.7507357872791961E-4</v>
      </c>
      <c r="AK262" s="30">
        <v>1.8631817379230269E-4</v>
      </c>
      <c r="AL262" s="30">
        <v>8.6620954539759192E-3</v>
      </c>
      <c r="AM262" s="30">
        <v>9.5205013054796908E-3</v>
      </c>
      <c r="AN262" s="32">
        <v>0</v>
      </c>
      <c r="AO262" s="32">
        <v>1.179775095002105E-5</v>
      </c>
      <c r="AP262" s="32">
        <v>6.6275283726653284E-7</v>
      </c>
      <c r="AQ262" s="32">
        <v>7.4641524221169363E-7</v>
      </c>
      <c r="AR262" s="32">
        <v>7.5735161696529122E-7</v>
      </c>
      <c r="AS262" s="32">
        <v>6.9015097879473733E-6</v>
      </c>
      <c r="AT262" s="32">
        <v>2.0865780434411941E-5</v>
      </c>
      <c r="AU262" s="34">
        <v>0</v>
      </c>
      <c r="AV262" s="34">
        <v>0</v>
      </c>
      <c r="AW262" s="34">
        <v>7.4146077341334599E-3</v>
      </c>
      <c r="AX262" s="34">
        <v>0.17647448414364728</v>
      </c>
      <c r="AY262" s="34">
        <v>0.15571429353817273</v>
      </c>
      <c r="AZ262" s="34">
        <v>0.48915861261981258</v>
      </c>
      <c r="BA262" s="34">
        <v>0.82876199803576611</v>
      </c>
      <c r="BB262" s="6"/>
      <c r="BC262" s="6"/>
      <c r="BD262" t="s">
        <v>752</v>
      </c>
      <c r="BF262" s="5">
        <v>5.3140931000000002E-2</v>
      </c>
      <c r="BG262" s="5">
        <f t="shared" si="11"/>
        <v>-8.0470017832114105E-4</v>
      </c>
      <c r="BH262" s="2">
        <v>108.59704000000001</v>
      </c>
    </row>
    <row r="263" spans="1:60" x14ac:dyDescent="0.2">
      <c r="A263" t="str">
        <f t="shared" si="10"/>
        <v>Motorbike, electric, 4-11kW - 2020 - NCA - CH</v>
      </c>
      <c r="B263" t="s">
        <v>268</v>
      </c>
      <c r="D263" s="18">
        <v>2020</v>
      </c>
      <c r="E263" t="s">
        <v>37</v>
      </c>
      <c r="F263" t="s">
        <v>138</v>
      </c>
      <c r="G263" t="s">
        <v>39</v>
      </c>
      <c r="H263" t="s">
        <v>32</v>
      </c>
      <c r="I263" t="s">
        <v>45</v>
      </c>
      <c r="J263" t="s">
        <v>570</v>
      </c>
      <c r="L263" s="24">
        <v>0</v>
      </c>
      <c r="M263" s="24">
        <v>0</v>
      </c>
      <c r="N263" s="24">
        <v>1.119382984765889E-3</v>
      </c>
      <c r="O263" s="24">
        <v>1.2306591692257861E-2</v>
      </c>
      <c r="P263" s="24">
        <v>4.5508663683950347E-3</v>
      </c>
      <c r="Q263" s="24">
        <v>4.8553261164789127E-2</v>
      </c>
      <c r="R263" s="24">
        <v>6.6530102210207914E-2</v>
      </c>
      <c r="S263" s="26">
        <v>0</v>
      </c>
      <c r="T263" s="26">
        <v>0</v>
      </c>
      <c r="U263" s="26">
        <v>6.380624323849139E-4</v>
      </c>
      <c r="V263" s="26">
        <v>4.722191823356421E-4</v>
      </c>
      <c r="W263" s="26">
        <v>3.1450416321336791E-4</v>
      </c>
      <c r="X263" s="26">
        <v>3.6431725005103548E-2</v>
      </c>
      <c r="Y263" s="26">
        <v>3.7856510783037471E-2</v>
      </c>
      <c r="Z263" s="28">
        <v>0</v>
      </c>
      <c r="AA263" s="28">
        <v>3.1271735442865911E-3</v>
      </c>
      <c r="AB263" s="28">
        <v>1.125904694358268E-4</v>
      </c>
      <c r="AC263" s="28">
        <v>1.5438989133449149E-4</v>
      </c>
      <c r="AD263" s="28">
        <v>1.402831040398236E-4</v>
      </c>
      <c r="AE263" s="28">
        <v>3.6952673073236482E-3</v>
      </c>
      <c r="AF263" s="28">
        <v>7.2297043164203812E-3</v>
      </c>
      <c r="AG263" s="30">
        <v>0</v>
      </c>
      <c r="AH263" s="30">
        <v>1.6491053126472278E-5</v>
      </c>
      <c r="AI263" s="30">
        <v>4.2194375492552171E-4</v>
      </c>
      <c r="AJ263" s="30">
        <v>3.7507357872791961E-4</v>
      </c>
      <c r="AK263" s="30">
        <v>1.8945852790307221E-4</v>
      </c>
      <c r="AL263" s="30">
        <v>1.2809763384019179E-2</v>
      </c>
      <c r="AM263" s="30">
        <v>1.3812730298702166E-2</v>
      </c>
      <c r="AN263" s="32">
        <v>0</v>
      </c>
      <c r="AO263" s="32">
        <v>1.179775095002105E-5</v>
      </c>
      <c r="AP263" s="32">
        <v>9.9686790398767734E-7</v>
      </c>
      <c r="AQ263" s="32">
        <v>7.4641524221169363E-7</v>
      </c>
      <c r="AR263" s="32">
        <v>7.6975134802091085E-7</v>
      </c>
      <c r="AS263" s="32">
        <v>1.0363650731582819E-5</v>
      </c>
      <c r="AT263" s="32">
        <v>2.4674436175824152E-5</v>
      </c>
      <c r="AU263" s="34">
        <v>0</v>
      </c>
      <c r="AV263" s="34">
        <v>0</v>
      </c>
      <c r="AW263" s="34">
        <v>1.1152550476134624E-2</v>
      </c>
      <c r="AX263" s="34">
        <v>0.17647448414364728</v>
      </c>
      <c r="AY263" s="34">
        <v>0.15955203365278733</v>
      </c>
      <c r="AZ263" s="34">
        <v>0.67437606148485696</v>
      </c>
      <c r="BA263" s="34">
        <v>1.0215551297574261</v>
      </c>
      <c r="BB263" s="6"/>
      <c r="BC263" s="6"/>
      <c r="BD263" t="s">
        <v>948</v>
      </c>
      <c r="BF263" s="5">
        <v>6.6295403000000003E-2</v>
      </c>
      <c r="BG263" s="5">
        <f t="shared" si="11"/>
        <v>-2.3469921020791151E-4</v>
      </c>
      <c r="BH263" s="2">
        <v>158.28456</v>
      </c>
    </row>
    <row r="264" spans="1:60" x14ac:dyDescent="0.2">
      <c r="A264" t="str">
        <f t="shared" si="10"/>
        <v>Motorbike, electric, 4-11kW - 2030 - NCA - CH</v>
      </c>
      <c r="B264" t="s">
        <v>268</v>
      </c>
      <c r="D264" s="18">
        <v>2030</v>
      </c>
      <c r="E264" t="s">
        <v>37</v>
      </c>
      <c r="F264" t="s">
        <v>138</v>
      </c>
      <c r="G264" t="s">
        <v>39</v>
      </c>
      <c r="H264" t="s">
        <v>32</v>
      </c>
      <c r="I264" t="s">
        <v>45</v>
      </c>
      <c r="J264" t="s">
        <v>570</v>
      </c>
      <c r="L264" s="24">
        <v>0</v>
      </c>
      <c r="M264" s="24">
        <v>0</v>
      </c>
      <c r="N264" s="24">
        <v>1.119382984765889E-3</v>
      </c>
      <c r="O264" s="24">
        <v>1.2306591692257861E-2</v>
      </c>
      <c r="P264" s="24">
        <v>4.5659445792955522E-3</v>
      </c>
      <c r="Q264" s="24">
        <v>5.1094737487802327E-2</v>
      </c>
      <c r="R264" s="24">
        <v>6.9086656744121622E-2</v>
      </c>
      <c r="S264" s="26">
        <v>0</v>
      </c>
      <c r="T264" s="26">
        <v>0</v>
      </c>
      <c r="U264" s="26">
        <v>6.380624323849139E-4</v>
      </c>
      <c r="V264" s="26">
        <v>4.722191823356421E-4</v>
      </c>
      <c r="W264" s="26">
        <v>3.1545691978368762E-4</v>
      </c>
      <c r="X264" s="26">
        <v>3.6766350851257339E-2</v>
      </c>
      <c r="Y264" s="26">
        <v>3.8192089385761581E-2</v>
      </c>
      <c r="Z264" s="28">
        <v>0</v>
      </c>
      <c r="AA264" s="28">
        <v>3.1271735442865911E-3</v>
      </c>
      <c r="AB264" s="28">
        <v>1.125904694358268E-4</v>
      </c>
      <c r="AC264" s="28">
        <v>1.5438989133449149E-4</v>
      </c>
      <c r="AD264" s="28">
        <v>1.4071619462922781E-4</v>
      </c>
      <c r="AE264" s="28">
        <v>3.831941856794318E-3</v>
      </c>
      <c r="AF264" s="28">
        <v>7.3668119564804548E-3</v>
      </c>
      <c r="AG264" s="30">
        <v>0</v>
      </c>
      <c r="AH264" s="30">
        <v>1.6491053126472278E-5</v>
      </c>
      <c r="AI264" s="30">
        <v>4.2194375492552171E-4</v>
      </c>
      <c r="AJ264" s="30">
        <v>3.7507357872791961E-4</v>
      </c>
      <c r="AK264" s="30">
        <v>1.8986272028875961E-4</v>
      </c>
      <c r="AL264" s="30">
        <v>1.325858238507989E-2</v>
      </c>
      <c r="AM264" s="30">
        <v>1.4261953492148562E-2</v>
      </c>
      <c r="AN264" s="32">
        <v>0</v>
      </c>
      <c r="AO264" s="32">
        <v>1.179775095002105E-5</v>
      </c>
      <c r="AP264" s="32">
        <v>9.9686790398767734E-7</v>
      </c>
      <c r="AQ264" s="32">
        <v>7.4641524221169363E-7</v>
      </c>
      <c r="AR264" s="32">
        <v>7.713473071708888E-7</v>
      </c>
      <c r="AS264" s="32">
        <v>1.04619302838531E-5</v>
      </c>
      <c r="AT264" s="32">
        <v>2.4774311687244408E-5</v>
      </c>
      <c r="AU264" s="34">
        <v>0</v>
      </c>
      <c r="AV264" s="34">
        <v>0</v>
      </c>
      <c r="AW264" s="34">
        <v>1.1152550476134624E-2</v>
      </c>
      <c r="AX264" s="34">
        <v>0.17647448414364728</v>
      </c>
      <c r="AY264" s="34">
        <v>0.16004598601543801</v>
      </c>
      <c r="AZ264" s="34">
        <v>0.70116942273056115</v>
      </c>
      <c r="BA264" s="34">
        <v>1.048842443365781</v>
      </c>
      <c r="BB264" s="6"/>
      <c r="BC264" s="6"/>
      <c r="BD264" t="s">
        <v>753</v>
      </c>
      <c r="BF264" s="5">
        <v>6.7289876999999998E-2</v>
      </c>
      <c r="BG264" s="5">
        <f t="shared" si="11"/>
        <v>-1.7967797441216238E-3</v>
      </c>
      <c r="BH264" s="2">
        <v>158.38005000000001</v>
      </c>
    </row>
    <row r="265" spans="1:60" x14ac:dyDescent="0.2">
      <c r="A265" t="str">
        <f t="shared" si="10"/>
        <v>Motorbike, electric, 4-11kW - 2040 - NCA - CH</v>
      </c>
      <c r="B265" t="s">
        <v>268</v>
      </c>
      <c r="D265" s="18">
        <v>2040</v>
      </c>
      <c r="E265" t="s">
        <v>37</v>
      </c>
      <c r="F265" t="s">
        <v>138</v>
      </c>
      <c r="G265" t="s">
        <v>39</v>
      </c>
      <c r="H265" t="s">
        <v>32</v>
      </c>
      <c r="I265" t="s">
        <v>45</v>
      </c>
      <c r="J265" t="s">
        <v>570</v>
      </c>
      <c r="L265" s="24">
        <v>0</v>
      </c>
      <c r="M265" s="24">
        <v>0</v>
      </c>
      <c r="N265" s="24">
        <v>1.119382984765889E-3</v>
      </c>
      <c r="O265" s="24">
        <v>1.2306591692257861E-2</v>
      </c>
      <c r="P265" s="24">
        <v>4.5649187894673806E-3</v>
      </c>
      <c r="Q265" s="24">
        <v>5.074490019026609E-2</v>
      </c>
      <c r="R265" s="24">
        <v>6.8735793656757221E-2</v>
      </c>
      <c r="S265" s="26">
        <v>0</v>
      </c>
      <c r="T265" s="26">
        <v>0</v>
      </c>
      <c r="U265" s="26">
        <v>6.380624323849139E-4</v>
      </c>
      <c r="V265" s="26">
        <v>4.722191823356421E-4</v>
      </c>
      <c r="W265" s="26">
        <v>3.1539210254475888E-4</v>
      </c>
      <c r="X265" s="26">
        <v>3.5077251963654868E-2</v>
      </c>
      <c r="Y265" s="26">
        <v>3.650292568092018E-2</v>
      </c>
      <c r="Z265" s="28">
        <v>0</v>
      </c>
      <c r="AA265" s="28">
        <v>3.1271735442865911E-3</v>
      </c>
      <c r="AB265" s="28">
        <v>1.125904694358268E-4</v>
      </c>
      <c r="AC265" s="28">
        <v>1.5438989133449149E-4</v>
      </c>
      <c r="AD265" s="28">
        <v>1.4068673092665601E-4</v>
      </c>
      <c r="AE265" s="28">
        <v>3.684879772258432E-3</v>
      </c>
      <c r="AF265" s="28">
        <v>7.2197204082419973E-3</v>
      </c>
      <c r="AG265" s="30">
        <v>0</v>
      </c>
      <c r="AH265" s="30">
        <v>1.6491053126472278E-5</v>
      </c>
      <c r="AI265" s="30">
        <v>4.2194375492552171E-4</v>
      </c>
      <c r="AJ265" s="30">
        <v>3.7507357872791961E-4</v>
      </c>
      <c r="AK265" s="30">
        <v>1.8983522256767069E-4</v>
      </c>
      <c r="AL265" s="30">
        <v>1.284164798792508E-2</v>
      </c>
      <c r="AM265" s="30">
        <v>1.3844991597272665E-2</v>
      </c>
      <c r="AN265" s="32">
        <v>0</v>
      </c>
      <c r="AO265" s="32">
        <v>1.179775095002105E-5</v>
      </c>
      <c r="AP265" s="32">
        <v>9.9686790398767734E-7</v>
      </c>
      <c r="AQ265" s="32">
        <v>7.4641524221169363E-7</v>
      </c>
      <c r="AR265" s="32">
        <v>7.7123873204397056E-7</v>
      </c>
      <c r="AS265" s="32">
        <v>1.0041312134937471E-5</v>
      </c>
      <c r="AT265" s="32">
        <v>2.4353584963201862E-5</v>
      </c>
      <c r="AU265" s="34">
        <v>0</v>
      </c>
      <c r="AV265" s="34">
        <v>0</v>
      </c>
      <c r="AW265" s="34">
        <v>1.1152550476134624E-2</v>
      </c>
      <c r="AX265" s="34">
        <v>0.17647448414364728</v>
      </c>
      <c r="AY265" s="34">
        <v>0.16001238180917302</v>
      </c>
      <c r="AZ265" s="34">
        <v>0.68982777645569626</v>
      </c>
      <c r="BA265" s="34">
        <v>1.0374671928846513</v>
      </c>
      <c r="BB265" s="6"/>
      <c r="BC265" s="6"/>
      <c r="BD265" t="s">
        <v>754</v>
      </c>
      <c r="BF265" s="5">
        <v>6.6272695000000006E-2</v>
      </c>
      <c r="BG265" s="5">
        <f t="shared" si="11"/>
        <v>-2.463098656757215E-3</v>
      </c>
      <c r="BH265" s="2">
        <v>149.85061999999999</v>
      </c>
    </row>
    <row r="266" spans="1:60" x14ac:dyDescent="0.2">
      <c r="A266" t="str">
        <f t="shared" si="10"/>
        <v>Motorbike, electric, 4-11kW - 2050 - NCA - CH</v>
      </c>
      <c r="B266" t="s">
        <v>268</v>
      </c>
      <c r="D266" s="18">
        <v>2050</v>
      </c>
      <c r="E266" t="s">
        <v>37</v>
      </c>
      <c r="F266" t="s">
        <v>138</v>
      </c>
      <c r="G266" t="s">
        <v>39</v>
      </c>
      <c r="H266" t="s">
        <v>32</v>
      </c>
      <c r="I266" t="s">
        <v>45</v>
      </c>
      <c r="J266" t="s">
        <v>570</v>
      </c>
      <c r="L266" s="24">
        <v>0</v>
      </c>
      <c r="M266" s="24">
        <v>0</v>
      </c>
      <c r="N266" s="24">
        <v>1.119382984765889E-3</v>
      </c>
      <c r="O266" s="24">
        <v>1.2306591692257861E-2</v>
      </c>
      <c r="P266" s="24">
        <v>4.5678381722821411E-3</v>
      </c>
      <c r="Q266" s="24">
        <v>5.0573962850989043E-2</v>
      </c>
      <c r="R266" s="24">
        <v>6.8567775700294931E-2</v>
      </c>
      <c r="S266" s="26">
        <v>0</v>
      </c>
      <c r="T266" s="26">
        <v>0</v>
      </c>
      <c r="U266" s="26">
        <v>6.380624323849139E-4</v>
      </c>
      <c r="V266" s="26">
        <v>4.722191823356421E-4</v>
      </c>
      <c r="W266" s="26">
        <v>3.1557657145664722E-4</v>
      </c>
      <c r="X266" s="26">
        <v>3.3548717791256621E-2</v>
      </c>
      <c r="Y266" s="26">
        <v>3.4974575977433822E-2</v>
      </c>
      <c r="Z266" s="28">
        <v>0</v>
      </c>
      <c r="AA266" s="28">
        <v>3.1271735442865911E-3</v>
      </c>
      <c r="AB266" s="28">
        <v>1.125904694358268E-4</v>
      </c>
      <c r="AC266" s="28">
        <v>1.5438989133449149E-4</v>
      </c>
      <c r="AD266" s="28">
        <v>1.4077058419229089E-4</v>
      </c>
      <c r="AE266" s="28">
        <v>3.5583168130120541E-3</v>
      </c>
      <c r="AF266" s="28">
        <v>7.0932413022612543E-3</v>
      </c>
      <c r="AG266" s="30">
        <v>0</v>
      </c>
      <c r="AH266" s="30">
        <v>1.6491053126472278E-5</v>
      </c>
      <c r="AI266" s="30">
        <v>4.2194375492552171E-4</v>
      </c>
      <c r="AJ266" s="30">
        <v>3.7507357872791961E-4</v>
      </c>
      <c r="AK266" s="30">
        <v>1.899134806788231E-4</v>
      </c>
      <c r="AL266" s="30">
        <v>1.248483860956842E-2</v>
      </c>
      <c r="AM266" s="30">
        <v>1.3488260477027156E-2</v>
      </c>
      <c r="AN266" s="32">
        <v>0</v>
      </c>
      <c r="AO266" s="32">
        <v>1.179775095002105E-5</v>
      </c>
      <c r="AP266" s="32">
        <v>9.9686790398767734E-7</v>
      </c>
      <c r="AQ266" s="32">
        <v>7.4641524221169363E-7</v>
      </c>
      <c r="AR266" s="32">
        <v>7.7154773526366578E-7</v>
      </c>
      <c r="AS266" s="32">
        <v>9.6633949398180357E-6</v>
      </c>
      <c r="AT266" s="32">
        <v>2.397597677130212E-5</v>
      </c>
      <c r="AU266" s="34">
        <v>0</v>
      </c>
      <c r="AV266" s="34">
        <v>0</v>
      </c>
      <c r="AW266" s="34">
        <v>1.1152550476134624E-2</v>
      </c>
      <c r="AX266" s="34">
        <v>0.17647448414364728</v>
      </c>
      <c r="AY266" s="34">
        <v>0.16010801888762657</v>
      </c>
      <c r="AZ266" s="34">
        <v>0.68104652589301906</v>
      </c>
      <c r="BA266" s="34">
        <v>1.0287815794004276</v>
      </c>
      <c r="BB266" s="6"/>
      <c r="BC266" s="6"/>
      <c r="BD266" t="s">
        <v>755</v>
      </c>
      <c r="BF266" s="5">
        <v>6.5405557000000003E-2</v>
      </c>
      <c r="BG266" s="5">
        <f t="shared" si="11"/>
        <v>-3.1622187002949276E-3</v>
      </c>
      <c r="BH266" s="2">
        <v>142.04390000000001</v>
      </c>
    </row>
    <row r="267" spans="1:60" x14ac:dyDescent="0.2">
      <c r="A267" t="str">
        <f t="shared" si="10"/>
        <v>Motorbike, electric, 11-35kW - 2020 - NCA - CH</v>
      </c>
      <c r="B267" t="s">
        <v>269</v>
      </c>
      <c r="D267" s="18">
        <v>2020</v>
      </c>
      <c r="E267" t="s">
        <v>37</v>
      </c>
      <c r="F267" t="s">
        <v>138</v>
      </c>
      <c r="G267" t="s">
        <v>39</v>
      </c>
      <c r="H267" t="s">
        <v>32</v>
      </c>
      <c r="I267" t="s">
        <v>45</v>
      </c>
      <c r="J267" t="s">
        <v>570</v>
      </c>
      <c r="L267" s="24">
        <v>0</v>
      </c>
      <c r="M267" s="24">
        <v>0</v>
      </c>
      <c r="N267" s="24">
        <v>1.5152004931467059E-3</v>
      </c>
      <c r="O267" s="24">
        <v>1.2306591692257861E-2</v>
      </c>
      <c r="P267" s="24">
        <v>4.8065020724162829E-3</v>
      </c>
      <c r="Q267" s="24">
        <v>5.790342132339036E-2</v>
      </c>
      <c r="R267" s="24">
        <v>7.6531715581211204E-2</v>
      </c>
      <c r="S267" s="26">
        <v>0</v>
      </c>
      <c r="T267" s="26">
        <v>0</v>
      </c>
      <c r="U267" s="26">
        <v>8.6368340895427004E-4</v>
      </c>
      <c r="V267" s="26">
        <v>4.722191823356421E-4</v>
      </c>
      <c r="W267" s="26">
        <v>3.3065718018743061E-4</v>
      </c>
      <c r="X267" s="26">
        <v>4.6536415758903452E-2</v>
      </c>
      <c r="Y267" s="26">
        <v>4.8202975530380797E-2</v>
      </c>
      <c r="Z267" s="28">
        <v>0</v>
      </c>
      <c r="AA267" s="28">
        <v>3.1271735442865911E-3</v>
      </c>
      <c r="AB267" s="28">
        <v>1.5240283007201779E-4</v>
      </c>
      <c r="AC267" s="28">
        <v>1.5438989133449149E-4</v>
      </c>
      <c r="AD267" s="28">
        <v>1.4762571374715369E-4</v>
      </c>
      <c r="AE267" s="28">
        <v>5.0919164744505554E-3</v>
      </c>
      <c r="AF267" s="28">
        <v>8.6735084538908103E-3</v>
      </c>
      <c r="AG267" s="30">
        <v>0</v>
      </c>
      <c r="AH267" s="30">
        <v>1.6491053126472278E-5</v>
      </c>
      <c r="AI267" s="30">
        <v>5.7114445569050236E-4</v>
      </c>
      <c r="AJ267" s="30">
        <v>3.7507357872791961E-4</v>
      </c>
      <c r="AK267" s="30">
        <v>1.9631119800809669E-4</v>
      </c>
      <c r="AL267" s="30">
        <v>1.6826115035017911E-2</v>
      </c>
      <c r="AM267" s="30">
        <v>1.7985135320570902E-2</v>
      </c>
      <c r="AN267" s="32">
        <v>0</v>
      </c>
      <c r="AO267" s="32">
        <v>1.179775095002105E-5</v>
      </c>
      <c r="AP267" s="32">
        <v>1.349363676490181E-6</v>
      </c>
      <c r="AQ267" s="32">
        <v>7.4641524221169363E-7</v>
      </c>
      <c r="AR267" s="32">
        <v>7.9680920943335179E-7</v>
      </c>
      <c r="AS267" s="32">
        <v>1.2751348205433231E-5</v>
      </c>
      <c r="AT267" s="32">
        <v>2.7441687283589507E-5</v>
      </c>
      <c r="AU267" s="34">
        <v>0</v>
      </c>
      <c r="AV267" s="34">
        <v>0</v>
      </c>
      <c r="AW267" s="34">
        <v>1.5096129038281648E-2</v>
      </c>
      <c r="AX267" s="34">
        <v>0.17647448414364728</v>
      </c>
      <c r="AY267" s="34">
        <v>0.16792649271907048</v>
      </c>
      <c r="AZ267" s="34">
        <v>0.8104342597733819</v>
      </c>
      <c r="BA267" s="34">
        <v>1.1699313656743813</v>
      </c>
      <c r="BB267" s="6"/>
      <c r="BC267" s="6"/>
      <c r="BD267" t="s">
        <v>949</v>
      </c>
      <c r="BF267" s="5">
        <v>7.3783015999999993E-2</v>
      </c>
      <c r="BG267" s="5">
        <f t="shared" si="11"/>
        <v>-2.7486995812112114E-3</v>
      </c>
      <c r="BH267" s="2">
        <v>211.39007000000001</v>
      </c>
    </row>
    <row r="268" spans="1:60" x14ac:dyDescent="0.2">
      <c r="A268" t="str">
        <f t="shared" si="10"/>
        <v>Motorbike, electric, 11-35kW - 2030 - NCA - CH</v>
      </c>
      <c r="B268" t="s">
        <v>269</v>
      </c>
      <c r="D268" s="18">
        <v>2030</v>
      </c>
      <c r="E268" t="s">
        <v>37</v>
      </c>
      <c r="F268" t="s">
        <v>138</v>
      </c>
      <c r="G268" t="s">
        <v>39</v>
      </c>
      <c r="H268" t="s">
        <v>32</v>
      </c>
      <c r="I268" t="s">
        <v>45</v>
      </c>
      <c r="J268" t="s">
        <v>570</v>
      </c>
      <c r="L268" s="24">
        <v>0</v>
      </c>
      <c r="M268" s="24">
        <v>0</v>
      </c>
      <c r="N268" s="24">
        <v>1.5152004931467059E-3</v>
      </c>
      <c r="O268" s="24">
        <v>1.2306591692257861E-2</v>
      </c>
      <c r="P268" s="24">
        <v>4.8395234313287488E-3</v>
      </c>
      <c r="Q268" s="24">
        <v>5.7259540538852488E-2</v>
      </c>
      <c r="R268" s="24">
        <v>7.5920856155585803E-2</v>
      </c>
      <c r="S268" s="26">
        <v>0</v>
      </c>
      <c r="T268" s="26">
        <v>0</v>
      </c>
      <c r="U268" s="26">
        <v>8.6368340895427004E-4</v>
      </c>
      <c r="V268" s="26">
        <v>4.722191823356421E-4</v>
      </c>
      <c r="W268" s="26">
        <v>3.3274372194442772E-4</v>
      </c>
      <c r="X268" s="26">
        <v>4.4237614187522832E-2</v>
      </c>
      <c r="Y268" s="26">
        <v>4.5906260500757169E-2</v>
      </c>
      <c r="Z268" s="28">
        <v>0</v>
      </c>
      <c r="AA268" s="28">
        <v>3.1271735442865911E-3</v>
      </c>
      <c r="AB268" s="28">
        <v>1.5240283007201779E-4</v>
      </c>
      <c r="AC268" s="28">
        <v>1.5438989133449149E-4</v>
      </c>
      <c r="AD268" s="28">
        <v>1.4857418435077391E-4</v>
      </c>
      <c r="AE268" s="28">
        <v>4.8859484923827476E-3</v>
      </c>
      <c r="AF268" s="28">
        <v>8.4684889424266226E-3</v>
      </c>
      <c r="AG268" s="30">
        <v>0</v>
      </c>
      <c r="AH268" s="30">
        <v>1.6491053126472278E-5</v>
      </c>
      <c r="AI268" s="30">
        <v>5.7114445569050236E-4</v>
      </c>
      <c r="AJ268" s="30">
        <v>3.7507357872791961E-4</v>
      </c>
      <c r="AK268" s="30">
        <v>1.971963813979253E-4</v>
      </c>
      <c r="AL268" s="30">
        <v>1.6225130727688001E-2</v>
      </c>
      <c r="AM268" s="30">
        <v>1.7385036196630822E-2</v>
      </c>
      <c r="AN268" s="32">
        <v>0</v>
      </c>
      <c r="AO268" s="32">
        <v>1.179775095002105E-5</v>
      </c>
      <c r="AP268" s="32">
        <v>1.349363676490181E-6</v>
      </c>
      <c r="AQ268" s="32">
        <v>7.4641524221169363E-7</v>
      </c>
      <c r="AR268" s="32">
        <v>8.0030436812616762E-7</v>
      </c>
      <c r="AS268" s="32">
        <v>1.21926266825028E-5</v>
      </c>
      <c r="AT268" s="32">
        <v>2.6886460919351893E-5</v>
      </c>
      <c r="AU268" s="34">
        <v>0</v>
      </c>
      <c r="AV268" s="34">
        <v>0</v>
      </c>
      <c r="AW268" s="34">
        <v>1.5096129038281648E-2</v>
      </c>
      <c r="AX268" s="34">
        <v>0.17647448414364728</v>
      </c>
      <c r="AY268" s="34">
        <v>0.16900825091706656</v>
      </c>
      <c r="AZ268" s="34">
        <v>0.79362301645070976</v>
      </c>
      <c r="BA268" s="34">
        <v>1.1542018805497052</v>
      </c>
      <c r="BB268" s="6"/>
      <c r="BC268" s="6"/>
      <c r="BD268" t="s">
        <v>756</v>
      </c>
      <c r="BF268" s="5">
        <v>7.2455001000000005E-2</v>
      </c>
      <c r="BG268" s="5">
        <f t="shared" si="11"/>
        <v>-3.465855155585798E-3</v>
      </c>
      <c r="BH268" s="2">
        <v>200.16619</v>
      </c>
    </row>
    <row r="269" spans="1:60" x14ac:dyDescent="0.2">
      <c r="A269" t="str">
        <f t="shared" si="10"/>
        <v>Motorbike, electric, 11-35kW - 2040 - NCA - CH</v>
      </c>
      <c r="B269" t="s">
        <v>269</v>
      </c>
      <c r="D269" s="18">
        <v>2040</v>
      </c>
      <c r="E269" t="s">
        <v>37</v>
      </c>
      <c r="F269" t="s">
        <v>138</v>
      </c>
      <c r="G269" t="s">
        <v>39</v>
      </c>
      <c r="H269" t="s">
        <v>32</v>
      </c>
      <c r="I269" t="s">
        <v>45</v>
      </c>
      <c r="J269" t="s">
        <v>570</v>
      </c>
      <c r="L269" s="24">
        <v>0</v>
      </c>
      <c r="M269" s="24">
        <v>0</v>
      </c>
      <c r="N269" s="24">
        <v>1.5152004931467059E-3</v>
      </c>
      <c r="O269" s="24">
        <v>1.2306591692257861E-2</v>
      </c>
      <c r="P269" s="24">
        <v>4.8429982180027134E-3</v>
      </c>
      <c r="Q269" s="24">
        <v>5.5005342052566707E-2</v>
      </c>
      <c r="R269" s="24">
        <v>7.367013245597398E-2</v>
      </c>
      <c r="S269" s="26">
        <v>0</v>
      </c>
      <c r="T269" s="26">
        <v>0</v>
      </c>
      <c r="U269" s="26">
        <v>8.6368340895427004E-4</v>
      </c>
      <c r="V269" s="26">
        <v>4.722191823356421E-4</v>
      </c>
      <c r="W269" s="26">
        <v>3.3296328551572421E-4</v>
      </c>
      <c r="X269" s="26">
        <v>4.1002854221061542E-2</v>
      </c>
      <c r="Y269" s="26">
        <v>4.2671720097867176E-2</v>
      </c>
      <c r="Z269" s="28">
        <v>0</v>
      </c>
      <c r="AA269" s="28">
        <v>3.1271735442865911E-3</v>
      </c>
      <c r="AB269" s="28">
        <v>1.5240283007201779E-4</v>
      </c>
      <c r="AC269" s="28">
        <v>1.5438989133449149E-4</v>
      </c>
      <c r="AD269" s="28">
        <v>1.4867399044969431E-4</v>
      </c>
      <c r="AE269" s="28">
        <v>4.5362493918582594E-3</v>
      </c>
      <c r="AF269" s="28">
        <v>8.1188896480010545E-3</v>
      </c>
      <c r="AG269" s="30">
        <v>0</v>
      </c>
      <c r="AH269" s="30">
        <v>1.6491053126472278E-5</v>
      </c>
      <c r="AI269" s="30">
        <v>5.7114445569050236E-4</v>
      </c>
      <c r="AJ269" s="30">
        <v>3.7507357872791961E-4</v>
      </c>
      <c r="AK269" s="30">
        <v>1.9728952788093779E-4</v>
      </c>
      <c r="AL269" s="30">
        <v>1.51869670933979E-2</v>
      </c>
      <c r="AM269" s="30">
        <v>1.634696570882373E-2</v>
      </c>
      <c r="AN269" s="32">
        <v>0</v>
      </c>
      <c r="AO269" s="32">
        <v>1.179775095002105E-5</v>
      </c>
      <c r="AP269" s="32">
        <v>1.349363676490181E-6</v>
      </c>
      <c r="AQ269" s="32">
        <v>7.4641524221169363E-7</v>
      </c>
      <c r="AR269" s="32">
        <v>8.0067215828530021E-7</v>
      </c>
      <c r="AS269" s="32">
        <v>1.1386028012994291E-5</v>
      </c>
      <c r="AT269" s="32">
        <v>2.6080230040002517E-5</v>
      </c>
      <c r="AU269" s="34">
        <v>0</v>
      </c>
      <c r="AV269" s="34">
        <v>0</v>
      </c>
      <c r="AW269" s="34">
        <v>1.5096129038281648E-2</v>
      </c>
      <c r="AX269" s="34">
        <v>0.17647448414364728</v>
      </c>
      <c r="AY269" s="34">
        <v>0.16912208266399173</v>
      </c>
      <c r="AZ269" s="34">
        <v>0.75634011283807412</v>
      </c>
      <c r="BA269" s="34">
        <v>1.1170328086839949</v>
      </c>
      <c r="BB269" s="6"/>
      <c r="BC269" s="6"/>
      <c r="BD269" t="s">
        <v>757</v>
      </c>
      <c r="BF269" s="5">
        <v>7.0050471000000003E-2</v>
      </c>
      <c r="BG269" s="5">
        <f t="shared" si="11"/>
        <v>-3.619661455973977E-3</v>
      </c>
      <c r="BH269" s="2">
        <v>184.97057000000001</v>
      </c>
    </row>
    <row r="270" spans="1:60" x14ac:dyDescent="0.2">
      <c r="A270" t="str">
        <f t="shared" si="10"/>
        <v>Motorbike, electric, 11-35kW - 2050 - NCA - CH</v>
      </c>
      <c r="B270" t="s">
        <v>269</v>
      </c>
      <c r="D270" s="18">
        <v>2050</v>
      </c>
      <c r="E270" t="s">
        <v>37</v>
      </c>
      <c r="F270" t="s">
        <v>138</v>
      </c>
      <c r="G270" t="s">
        <v>39</v>
      </c>
      <c r="H270" t="s">
        <v>32</v>
      </c>
      <c r="I270" t="s">
        <v>45</v>
      </c>
      <c r="J270" t="s">
        <v>570</v>
      </c>
      <c r="L270" s="24">
        <v>0</v>
      </c>
      <c r="M270" s="24">
        <v>0</v>
      </c>
      <c r="N270" s="24">
        <v>1.5152004931467059E-3</v>
      </c>
      <c r="O270" s="24">
        <v>1.2306591692257861E-2</v>
      </c>
      <c r="P270" s="24">
        <v>4.8421333147694546E-3</v>
      </c>
      <c r="Q270" s="24">
        <v>5.2019069693802697E-2</v>
      </c>
      <c r="R270" s="24">
        <v>7.0682995193976722E-2</v>
      </c>
      <c r="S270" s="26">
        <v>0</v>
      </c>
      <c r="T270" s="26">
        <v>0</v>
      </c>
      <c r="U270" s="26">
        <v>8.6368340895427004E-4</v>
      </c>
      <c r="V270" s="26">
        <v>4.722191823356421E-4</v>
      </c>
      <c r="W270" s="26">
        <v>3.3290863432112197E-4</v>
      </c>
      <c r="X270" s="26">
        <v>3.7080662833818043E-2</v>
      </c>
      <c r="Y270" s="26">
        <v>3.8749474059429079E-2</v>
      </c>
      <c r="Z270" s="28">
        <v>0</v>
      </c>
      <c r="AA270" s="28">
        <v>3.1271735442865911E-3</v>
      </c>
      <c r="AB270" s="28">
        <v>1.5240283007201779E-4</v>
      </c>
      <c r="AC270" s="28">
        <v>1.5438989133449149E-4</v>
      </c>
      <c r="AD270" s="28">
        <v>1.486491478835875E-4</v>
      </c>
      <c r="AE270" s="28">
        <v>4.1011178103285131E-3</v>
      </c>
      <c r="AF270" s="28">
        <v>7.6837332239052016E-3</v>
      </c>
      <c r="AG270" s="30">
        <v>0</v>
      </c>
      <c r="AH270" s="30">
        <v>1.6491053126472278E-5</v>
      </c>
      <c r="AI270" s="30">
        <v>5.7114445569050236E-4</v>
      </c>
      <c r="AJ270" s="30">
        <v>3.7507357872791961E-4</v>
      </c>
      <c r="AK270" s="30">
        <v>1.9726634294848491E-4</v>
      </c>
      <c r="AL270" s="30">
        <v>1.389134425749195E-2</v>
      </c>
      <c r="AM270" s="30">
        <v>1.5051319687985329E-2</v>
      </c>
      <c r="AN270" s="32">
        <v>0</v>
      </c>
      <c r="AO270" s="32">
        <v>1.179775095002105E-5</v>
      </c>
      <c r="AP270" s="32">
        <v>1.349363676490181E-6</v>
      </c>
      <c r="AQ270" s="32">
        <v>7.4641524221169363E-7</v>
      </c>
      <c r="AR270" s="32">
        <v>8.0058061226315808E-7</v>
      </c>
      <c r="AS270" s="32">
        <v>1.0405388561626171E-5</v>
      </c>
      <c r="AT270" s="32">
        <v>2.5099499042612252E-5</v>
      </c>
      <c r="AU270" s="34">
        <v>0</v>
      </c>
      <c r="AV270" s="34">
        <v>0</v>
      </c>
      <c r="AW270" s="34">
        <v>1.5096129038281648E-2</v>
      </c>
      <c r="AX270" s="34">
        <v>0.17647448414364728</v>
      </c>
      <c r="AY270" s="34">
        <v>0.16909374899772653</v>
      </c>
      <c r="AZ270" s="34">
        <v>0.70860016296227279</v>
      </c>
      <c r="BA270" s="34">
        <v>1.0692645251419282</v>
      </c>
      <c r="BB270" s="6"/>
      <c r="BC270" s="6"/>
      <c r="BD270" t="s">
        <v>758</v>
      </c>
      <c r="BF270" s="5">
        <v>6.7046278000000001E-2</v>
      </c>
      <c r="BG270" s="5">
        <f t="shared" si="11"/>
        <v>-3.6367171939767212E-3</v>
      </c>
      <c r="BH270" s="2">
        <v>166.70124999999999</v>
      </c>
    </row>
    <row r="271" spans="1:60" x14ac:dyDescent="0.2">
      <c r="A271" t="str">
        <f t="shared" si="10"/>
        <v>Motorbike, electric, &gt;35kW - 2020 - NCA - CH</v>
      </c>
      <c r="B271" t="s">
        <v>270</v>
      </c>
      <c r="D271" s="18">
        <v>2020</v>
      </c>
      <c r="E271" t="s">
        <v>37</v>
      </c>
      <c r="F271" t="s">
        <v>138</v>
      </c>
      <c r="G271" t="s">
        <v>39</v>
      </c>
      <c r="H271" t="s">
        <v>32</v>
      </c>
      <c r="I271" t="s">
        <v>45</v>
      </c>
      <c r="J271" t="s">
        <v>570</v>
      </c>
      <c r="L271" s="24">
        <v>0</v>
      </c>
      <c r="M271" s="24">
        <v>0</v>
      </c>
      <c r="N271" s="24">
        <v>1.689725966023888E-3</v>
      </c>
      <c r="O271" s="24">
        <v>1.2306591692257861E-2</v>
      </c>
      <c r="P271" s="24">
        <v>5.1803144373403784E-3</v>
      </c>
      <c r="Q271" s="24">
        <v>9.226026278512707E-2</v>
      </c>
      <c r="R271" s="24">
        <v>0.1114368948807492</v>
      </c>
      <c r="S271" s="26">
        <v>0</v>
      </c>
      <c r="T271" s="26">
        <v>0</v>
      </c>
      <c r="U271" s="26">
        <v>9.63165131700334E-4</v>
      </c>
      <c r="V271" s="26">
        <v>4.722191823356421E-4</v>
      </c>
      <c r="W271" s="26">
        <v>3.5427750153045991E-4</v>
      </c>
      <c r="X271" s="26">
        <v>7.6149529955145595E-2</v>
      </c>
      <c r="Y271" s="26">
        <v>7.7939191770712027E-2</v>
      </c>
      <c r="Z271" s="28">
        <v>0</v>
      </c>
      <c r="AA271" s="28">
        <v>3.1271735442865911E-3</v>
      </c>
      <c r="AB271" s="28">
        <v>1.699570587740569E-4</v>
      </c>
      <c r="AC271" s="28">
        <v>1.5438989133449149E-4</v>
      </c>
      <c r="AD271" s="28">
        <v>1.5836270492731959E-4</v>
      </c>
      <c r="AE271" s="28">
        <v>8.7724561373138318E-3</v>
      </c>
      <c r="AF271" s="28">
        <v>1.2382339336636291E-2</v>
      </c>
      <c r="AG271" s="30">
        <v>0</v>
      </c>
      <c r="AH271" s="30">
        <v>1.6491053126472278E-5</v>
      </c>
      <c r="AI271" s="30">
        <v>6.3693063821975663E-4</v>
      </c>
      <c r="AJ271" s="30">
        <v>3.7507357872791961E-4</v>
      </c>
      <c r="AK271" s="30">
        <v>2.0633175764710139E-4</v>
      </c>
      <c r="AL271" s="30">
        <v>2.8152876096115151E-2</v>
      </c>
      <c r="AM271" s="30">
        <v>2.9387703123836401E-2</v>
      </c>
      <c r="AN271" s="32">
        <v>0</v>
      </c>
      <c r="AO271" s="32">
        <v>1.179775095002105E-5</v>
      </c>
      <c r="AP271" s="32">
        <v>1.5047875525962851E-6</v>
      </c>
      <c r="AQ271" s="32">
        <v>7.4641524221169363E-7</v>
      </c>
      <c r="AR271" s="32">
        <v>8.3637552589567275E-7</v>
      </c>
      <c r="AS271" s="32">
        <v>2.0873534009772648E-5</v>
      </c>
      <c r="AT271" s="32">
        <v>3.5758863280497345E-5</v>
      </c>
      <c r="AU271" s="34">
        <v>0</v>
      </c>
      <c r="AV271" s="34">
        <v>0</v>
      </c>
      <c r="AW271" s="34">
        <v>1.6834947809089666E-2</v>
      </c>
      <c r="AX271" s="34">
        <v>0.17647448414364728</v>
      </c>
      <c r="AY271" s="34">
        <v>0.18017234218095599</v>
      </c>
      <c r="AZ271" s="34">
        <v>1.2978873569553775</v>
      </c>
      <c r="BA271" s="34">
        <v>1.6713691310890704</v>
      </c>
      <c r="BB271" s="6"/>
      <c r="BC271" s="6"/>
      <c r="BD271" t="s">
        <v>950</v>
      </c>
      <c r="BF271" s="5">
        <v>0.10319212000000001</v>
      </c>
      <c r="BG271" s="5">
        <f t="shared" si="11"/>
        <v>-8.2447748807491922E-3</v>
      </c>
      <c r="BH271" s="2">
        <v>342.85048</v>
      </c>
    </row>
    <row r="272" spans="1:60" x14ac:dyDescent="0.2">
      <c r="A272" t="str">
        <f t="shared" si="10"/>
        <v>Motorbike, electric, &gt;35kW - 2030 - NCA - CH</v>
      </c>
      <c r="B272" t="s">
        <v>270</v>
      </c>
      <c r="D272" s="18">
        <v>2030</v>
      </c>
      <c r="E272" t="s">
        <v>37</v>
      </c>
      <c r="F272" t="s">
        <v>138</v>
      </c>
      <c r="G272" t="s">
        <v>39</v>
      </c>
      <c r="H272" t="s">
        <v>32</v>
      </c>
      <c r="I272" t="s">
        <v>45</v>
      </c>
      <c r="J272" t="s">
        <v>570</v>
      </c>
      <c r="L272" s="24">
        <v>0</v>
      </c>
      <c r="M272" s="24">
        <v>0</v>
      </c>
      <c r="N272" s="24">
        <v>1.689725966023888E-3</v>
      </c>
      <c r="O272" s="24">
        <v>1.2306591692257861E-2</v>
      </c>
      <c r="P272" s="24">
        <v>5.2456030862136592E-3</v>
      </c>
      <c r="Q272" s="24">
        <v>8.8669385559089264E-2</v>
      </c>
      <c r="R272" s="24">
        <v>0.10791130630358467</v>
      </c>
      <c r="S272" s="26">
        <v>0</v>
      </c>
      <c r="T272" s="26">
        <v>0</v>
      </c>
      <c r="U272" s="26">
        <v>9.63165131700334E-4</v>
      </c>
      <c r="V272" s="26">
        <v>4.722191823356421E-4</v>
      </c>
      <c r="W272" s="26">
        <v>3.5840293720659718E-4</v>
      </c>
      <c r="X272" s="26">
        <v>7.0518257967876377E-2</v>
      </c>
      <c r="Y272" s="26">
        <v>7.2312045219118951E-2</v>
      </c>
      <c r="Z272" s="28">
        <v>0</v>
      </c>
      <c r="AA272" s="28">
        <v>3.1271735442865911E-3</v>
      </c>
      <c r="AB272" s="28">
        <v>1.699570587740569E-4</v>
      </c>
      <c r="AC272" s="28">
        <v>1.5438989133449149E-4</v>
      </c>
      <c r="AD272" s="28">
        <v>1.6023798705518531E-4</v>
      </c>
      <c r="AE272" s="28">
        <v>8.1803069574040623E-3</v>
      </c>
      <c r="AF272" s="28">
        <v>1.1792065438854388E-2</v>
      </c>
      <c r="AG272" s="30">
        <v>0</v>
      </c>
      <c r="AH272" s="30">
        <v>1.6491053126472278E-5</v>
      </c>
      <c r="AI272" s="30">
        <v>6.3693063821975663E-4</v>
      </c>
      <c r="AJ272" s="30">
        <v>3.7507357872791961E-4</v>
      </c>
      <c r="AK272" s="30">
        <v>2.080819105611646E-4</v>
      </c>
      <c r="AL272" s="30">
        <v>2.6382423865752638E-2</v>
      </c>
      <c r="AM272" s="30">
        <v>2.7619001046387953E-2</v>
      </c>
      <c r="AN272" s="32">
        <v>0</v>
      </c>
      <c r="AO272" s="32">
        <v>1.179775095002105E-5</v>
      </c>
      <c r="AP272" s="32">
        <v>1.5047875525962851E-6</v>
      </c>
      <c r="AQ272" s="32">
        <v>7.4641524221169363E-7</v>
      </c>
      <c r="AR272" s="32">
        <v>8.4328602855719433E-7</v>
      </c>
      <c r="AS272" s="32">
        <v>1.9492613346882631E-5</v>
      </c>
      <c r="AT272" s="32">
        <v>3.4384853120268854E-5</v>
      </c>
      <c r="AU272" s="34">
        <v>0</v>
      </c>
      <c r="AV272" s="34">
        <v>0</v>
      </c>
      <c r="AW272" s="34">
        <v>1.6834947809089666E-2</v>
      </c>
      <c r="AX272" s="34">
        <v>0.17647448414364728</v>
      </c>
      <c r="AY272" s="34">
        <v>0.18231115576951787</v>
      </c>
      <c r="AZ272" s="34">
        <v>1.2367110840323652</v>
      </c>
      <c r="BA272" s="34">
        <v>1.6123316717546201</v>
      </c>
      <c r="BB272" s="6"/>
      <c r="BC272" s="6"/>
      <c r="BD272" t="s">
        <v>759</v>
      </c>
      <c r="BF272" s="5">
        <v>9.9280656000000009E-2</v>
      </c>
      <c r="BG272" s="5">
        <f t="shared" si="11"/>
        <v>-8.630650303584661E-3</v>
      </c>
      <c r="BH272" s="2">
        <v>316.58744000000002</v>
      </c>
    </row>
    <row r="273" spans="1:60" x14ac:dyDescent="0.2">
      <c r="A273" t="str">
        <f t="shared" si="10"/>
        <v>Motorbike, electric, &gt;35kW - 2040 - NCA - CH</v>
      </c>
      <c r="B273" t="s">
        <v>270</v>
      </c>
      <c r="D273" s="18">
        <v>2040</v>
      </c>
      <c r="E273" t="s">
        <v>37</v>
      </c>
      <c r="F273" t="s">
        <v>138</v>
      </c>
      <c r="G273" t="s">
        <v>39</v>
      </c>
      <c r="H273" t="s">
        <v>32</v>
      </c>
      <c r="I273" t="s">
        <v>45</v>
      </c>
      <c r="J273" t="s">
        <v>570</v>
      </c>
      <c r="L273" s="24">
        <v>0</v>
      </c>
      <c r="M273" s="24">
        <v>0</v>
      </c>
      <c r="N273" s="24">
        <v>1.689725966023888E-3</v>
      </c>
      <c r="O273" s="24">
        <v>1.2306591692257861E-2</v>
      </c>
      <c r="P273" s="24">
        <v>5.2483191858409056E-3</v>
      </c>
      <c r="Q273" s="24">
        <v>8.2743393760394676E-2</v>
      </c>
      <c r="R273" s="24">
        <v>0.10198803060451733</v>
      </c>
      <c r="S273" s="26">
        <v>0</v>
      </c>
      <c r="T273" s="26">
        <v>0</v>
      </c>
      <c r="U273" s="26">
        <v>9.63165131700334E-4</v>
      </c>
      <c r="V273" s="26">
        <v>4.722191823356421E-4</v>
      </c>
      <c r="W273" s="26">
        <v>3.5857456113350578E-4</v>
      </c>
      <c r="X273" s="26">
        <v>6.3473830003672987E-2</v>
      </c>
      <c r="Y273" s="26">
        <v>6.5267788878842464E-2</v>
      </c>
      <c r="Z273" s="28">
        <v>0</v>
      </c>
      <c r="AA273" s="28">
        <v>3.1271735442865911E-3</v>
      </c>
      <c r="AB273" s="28">
        <v>1.699570587740569E-4</v>
      </c>
      <c r="AC273" s="28">
        <v>1.5438989133449149E-4</v>
      </c>
      <c r="AD273" s="28">
        <v>1.6031600142945069E-4</v>
      </c>
      <c r="AE273" s="28">
        <v>7.3746976309239194E-3</v>
      </c>
      <c r="AF273" s="28">
        <v>1.098653412674851E-2</v>
      </c>
      <c r="AG273" s="30">
        <v>0</v>
      </c>
      <c r="AH273" s="30">
        <v>1.6491053126472278E-5</v>
      </c>
      <c r="AI273" s="30">
        <v>6.3693063821975663E-4</v>
      </c>
      <c r="AJ273" s="30">
        <v>3.7507357872791961E-4</v>
      </c>
      <c r="AK273" s="30">
        <v>2.081547193841308E-4</v>
      </c>
      <c r="AL273" s="30">
        <v>2.3969884678922589E-2</v>
      </c>
      <c r="AM273" s="30">
        <v>2.5206534668380867E-2</v>
      </c>
      <c r="AN273" s="32">
        <v>0</v>
      </c>
      <c r="AO273" s="32">
        <v>1.179775095002105E-5</v>
      </c>
      <c r="AP273" s="32">
        <v>1.5047875525962851E-6</v>
      </c>
      <c r="AQ273" s="32">
        <v>7.4641524221169363E-7</v>
      </c>
      <c r="AR273" s="32">
        <v>8.4357351518813197E-7</v>
      </c>
      <c r="AS273" s="32">
        <v>1.7731691392513211E-5</v>
      </c>
      <c r="AT273" s="32">
        <v>3.2624218652530372E-5</v>
      </c>
      <c r="AU273" s="34">
        <v>0</v>
      </c>
      <c r="AV273" s="34">
        <v>0</v>
      </c>
      <c r="AW273" s="34">
        <v>1.6834947809089666E-2</v>
      </c>
      <c r="AX273" s="34">
        <v>0.17647448414364728</v>
      </c>
      <c r="AY273" s="34">
        <v>0.18240013342322792</v>
      </c>
      <c r="AZ273" s="34">
        <v>1.1454565874296407</v>
      </c>
      <c r="BA273" s="34">
        <v>1.5211661528056055</v>
      </c>
      <c r="BB273" s="6"/>
      <c r="BC273" s="6"/>
      <c r="BD273" t="s">
        <v>760</v>
      </c>
      <c r="BF273" s="5">
        <v>9.3737426000000013E-2</v>
      </c>
      <c r="BG273" s="5">
        <f t="shared" si="11"/>
        <v>-8.2506046045173198E-3</v>
      </c>
      <c r="BH273" s="2">
        <v>284.23088999999999</v>
      </c>
    </row>
    <row r="274" spans="1:60" x14ac:dyDescent="0.2">
      <c r="A274" t="str">
        <f t="shared" si="10"/>
        <v>Motorbike, electric, &gt;35kW - 2050 - NCA - CH</v>
      </c>
      <c r="B274" t="s">
        <v>270</v>
      </c>
      <c r="D274" s="18">
        <v>2050</v>
      </c>
      <c r="E274" t="s">
        <v>37</v>
      </c>
      <c r="F274" t="s">
        <v>138</v>
      </c>
      <c r="G274" t="s">
        <v>39</v>
      </c>
      <c r="H274" t="s">
        <v>32</v>
      </c>
      <c r="I274" t="s">
        <v>45</v>
      </c>
      <c r="J274" t="s">
        <v>570</v>
      </c>
      <c r="L274" s="24">
        <v>0</v>
      </c>
      <c r="M274" s="24">
        <v>0</v>
      </c>
      <c r="N274" s="24">
        <v>1.689725966023888E-3</v>
      </c>
      <c r="O274" s="24">
        <v>1.2306591692257861E-2</v>
      </c>
      <c r="P274" s="24">
        <v>5.2470901128252243E-3</v>
      </c>
      <c r="Q274" s="24">
        <v>7.6080301246672824E-2</v>
      </c>
      <c r="R274" s="24">
        <v>9.5323709017779798E-2</v>
      </c>
      <c r="S274" s="26">
        <v>0</v>
      </c>
      <c r="T274" s="26">
        <v>0</v>
      </c>
      <c r="U274" s="26">
        <v>9.63165131700334E-4</v>
      </c>
      <c r="V274" s="26">
        <v>4.722191823356421E-4</v>
      </c>
      <c r="W274" s="26">
        <v>3.5849689890959751E-4</v>
      </c>
      <c r="X274" s="26">
        <v>5.5736333721866087E-2</v>
      </c>
      <c r="Y274" s="26">
        <v>5.7530214934811662E-2</v>
      </c>
      <c r="Z274" s="28">
        <v>0</v>
      </c>
      <c r="AA274" s="28">
        <v>3.1271735442865911E-3</v>
      </c>
      <c r="AB274" s="28">
        <v>1.699570587740569E-4</v>
      </c>
      <c r="AC274" s="28">
        <v>1.5438989133449149E-4</v>
      </c>
      <c r="AD274" s="28">
        <v>1.602806988355094E-4</v>
      </c>
      <c r="AE274" s="28">
        <v>6.4830224880350574E-3</v>
      </c>
      <c r="AF274" s="28">
        <v>1.0094823681265706E-2</v>
      </c>
      <c r="AG274" s="30">
        <v>0</v>
      </c>
      <c r="AH274" s="30">
        <v>1.6491053126472278E-5</v>
      </c>
      <c r="AI274" s="30">
        <v>6.3693063821975663E-4</v>
      </c>
      <c r="AJ274" s="30">
        <v>3.7507357872791961E-4</v>
      </c>
      <c r="AK274" s="30">
        <v>2.0812177237485561E-4</v>
      </c>
      <c r="AL274" s="30">
        <v>2.129777383274865E-2</v>
      </c>
      <c r="AM274" s="30">
        <v>2.2534390875197655E-2</v>
      </c>
      <c r="AN274" s="32">
        <v>0</v>
      </c>
      <c r="AO274" s="32">
        <v>1.179775095002105E-5</v>
      </c>
      <c r="AP274" s="32">
        <v>1.5047875525962851E-6</v>
      </c>
      <c r="AQ274" s="32">
        <v>7.4641524221169363E-7</v>
      </c>
      <c r="AR274" s="32">
        <v>8.4344342347245625E-7</v>
      </c>
      <c r="AS274" s="32">
        <v>1.5795554570516991E-5</v>
      </c>
      <c r="AT274" s="32">
        <v>3.0687951738818479E-5</v>
      </c>
      <c r="AU274" s="34">
        <v>0</v>
      </c>
      <c r="AV274" s="34">
        <v>0</v>
      </c>
      <c r="AW274" s="34">
        <v>1.6834947809089666E-2</v>
      </c>
      <c r="AX274" s="34">
        <v>0.17647448414364728</v>
      </c>
      <c r="AY274" s="34">
        <v>0.18235986979221949</v>
      </c>
      <c r="AZ274" s="34">
        <v>1.0436738540823072</v>
      </c>
      <c r="BA274" s="34">
        <v>1.4193431558272636</v>
      </c>
      <c r="BB274" s="6"/>
      <c r="BC274" s="6"/>
      <c r="BD274" t="s">
        <v>761</v>
      </c>
      <c r="BF274" s="5">
        <v>8.7575270999999996E-2</v>
      </c>
      <c r="BG274" s="5">
        <f t="shared" si="11"/>
        <v>-7.7484380177798018E-3</v>
      </c>
      <c r="BH274" s="2">
        <v>248.68481</v>
      </c>
    </row>
    <row r="275" spans="1:60" x14ac:dyDescent="0.2">
      <c r="A275" t="s">
        <v>951</v>
      </c>
      <c r="B275" t="s">
        <v>951</v>
      </c>
      <c r="D275" s="18">
        <v>2020</v>
      </c>
      <c r="E275" t="s">
        <v>37</v>
      </c>
      <c r="F275" t="s">
        <v>138</v>
      </c>
      <c r="G275" t="s">
        <v>39</v>
      </c>
      <c r="I275" t="s">
        <v>138</v>
      </c>
      <c r="J275" t="s">
        <v>138</v>
      </c>
      <c r="L275" s="24">
        <v>0.1523460930814716</v>
      </c>
      <c r="M275" s="24">
        <v>0</v>
      </c>
      <c r="N275" s="24">
        <v>0</v>
      </c>
      <c r="O275" s="24">
        <v>0</v>
      </c>
      <c r="P275" s="24">
        <v>0</v>
      </c>
      <c r="Q275" s="24">
        <v>0</v>
      </c>
      <c r="R275" s="24">
        <v>0.1523460930814716</v>
      </c>
      <c r="S275" s="26">
        <v>5.9362122354178967E-3</v>
      </c>
      <c r="T275" s="26">
        <v>0</v>
      </c>
      <c r="U275" s="26">
        <v>0</v>
      </c>
      <c r="V275" s="26">
        <v>0</v>
      </c>
      <c r="W275" s="26">
        <v>0</v>
      </c>
      <c r="X275" s="26">
        <v>0</v>
      </c>
      <c r="Y275" s="26">
        <v>5.9362122354178967E-3</v>
      </c>
      <c r="Z275" s="28">
        <v>9.5941544037531461E-3</v>
      </c>
      <c r="AA275" s="28">
        <v>0</v>
      </c>
      <c r="AB275" s="28">
        <v>0</v>
      </c>
      <c r="AC275" s="28">
        <v>0</v>
      </c>
      <c r="AD275" s="28">
        <v>0</v>
      </c>
      <c r="AE275" s="28">
        <v>0</v>
      </c>
      <c r="AF275" s="28">
        <v>9.5941544037531461E-3</v>
      </c>
      <c r="AG275" s="30">
        <v>2.906181003084271E-3</v>
      </c>
      <c r="AH275" s="30">
        <v>0</v>
      </c>
      <c r="AI275" s="30">
        <v>0</v>
      </c>
      <c r="AJ275" s="30">
        <v>0</v>
      </c>
      <c r="AK275" s="30">
        <v>0</v>
      </c>
      <c r="AL275" s="30">
        <v>0</v>
      </c>
      <c r="AM275" s="30">
        <v>2.906181003084271E-3</v>
      </c>
      <c r="AN275" s="32">
        <v>3.2838154623116922E-5</v>
      </c>
      <c r="AO275" s="32">
        <v>0</v>
      </c>
      <c r="AP275" s="32">
        <v>0</v>
      </c>
      <c r="AQ275" s="32">
        <v>0</v>
      </c>
      <c r="AR275" s="32">
        <v>0</v>
      </c>
      <c r="AS275" s="32">
        <v>0</v>
      </c>
      <c r="AT275" s="32">
        <v>3.2838154623116922E-5</v>
      </c>
      <c r="AU275" s="34">
        <v>2.3550164837955734</v>
      </c>
      <c r="AV275" s="34">
        <v>0</v>
      </c>
      <c r="AW275" s="34">
        <v>0</v>
      </c>
      <c r="AX275" s="34">
        <v>0</v>
      </c>
      <c r="AY275" s="34">
        <v>0</v>
      </c>
      <c r="AZ275" s="34">
        <v>0</v>
      </c>
      <c r="BA275" s="34">
        <v>2.3550164837955734</v>
      </c>
      <c r="BB275" s="6"/>
      <c r="BC275" s="6"/>
      <c r="BD275" s="6"/>
      <c r="BF275" s="5">
        <v>0.16200000000000001</v>
      </c>
      <c r="BG275" s="5"/>
      <c r="BH275" s="2">
        <v>161</v>
      </c>
    </row>
  </sheetData>
  <autoFilter ref="A2:BA275" xr:uid="{00000000-0009-0000-0000-000002000000}"/>
  <mergeCells count="6">
    <mergeCell ref="AN1:AT1"/>
    <mergeCell ref="AU1:BA1"/>
    <mergeCell ref="L1:R1"/>
    <mergeCell ref="S1:Y1"/>
    <mergeCell ref="Z1:AF1"/>
    <mergeCell ref="AG1:AM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335"/>
  <sheetViews>
    <sheetView topLeftCell="B1" zoomScale="70" zoomScaleNormal="70" workbookViewId="0">
      <selection activeCell="E45" sqref="E45"/>
    </sheetView>
  </sheetViews>
  <sheetFormatPr baseColWidth="10" defaultColWidth="8.83203125" defaultRowHeight="15" x14ac:dyDescent="0.2"/>
  <cols>
    <col min="1" max="1" width="67.33203125" bestFit="1" customWidth="1"/>
    <col min="2" max="2" width="49.5" bestFit="1" customWidth="1"/>
    <col min="3" max="3" width="29.5" customWidth="1"/>
    <col min="4" max="4" width="28.33203125" bestFit="1" customWidth="1"/>
    <col min="5" max="5" width="27.33203125" bestFit="1" customWidth="1"/>
    <col min="6" max="6" width="21.33203125" bestFit="1" customWidth="1"/>
    <col min="7" max="7" width="21.33203125" customWidth="1"/>
    <col min="8" max="8" width="12.5" bestFit="1" customWidth="1"/>
    <col min="9" max="9" width="16.5" bestFit="1" customWidth="1"/>
    <col min="10" max="10" width="24.5" bestFit="1" customWidth="1"/>
    <col min="11" max="11" width="26.6640625" bestFit="1" customWidth="1"/>
    <col min="12" max="12" width="19.6640625" customWidth="1"/>
    <col min="13" max="13" width="39.5" bestFit="1" customWidth="1"/>
    <col min="14" max="14" width="33.6640625" bestFit="1" customWidth="1"/>
    <col min="15" max="15" width="30.33203125" bestFit="1" customWidth="1"/>
    <col min="16" max="16" width="22" bestFit="1" customWidth="1"/>
    <col min="17" max="17" width="22.6640625" bestFit="1" customWidth="1"/>
    <col min="18" max="18" width="25.6640625" bestFit="1" customWidth="1"/>
    <col min="20" max="20" width="8.6640625"/>
    <col min="30" max="61" width="8.6640625"/>
  </cols>
  <sheetData>
    <row r="1" spans="1:64" x14ac:dyDescent="0.2">
      <c r="A1" t="s">
        <v>68</v>
      </c>
    </row>
    <row r="2" spans="1:64" x14ac:dyDescent="0.2">
      <c r="A2" t="s">
        <v>90</v>
      </c>
    </row>
    <row r="3" spans="1:64" x14ac:dyDescent="0.2">
      <c r="B3" t="s">
        <v>15</v>
      </c>
      <c r="C3" t="s">
        <v>14</v>
      </c>
      <c r="D3" t="s">
        <v>16</v>
      </c>
      <c r="E3" t="s">
        <v>276</v>
      </c>
      <c r="F3" t="s">
        <v>19</v>
      </c>
      <c r="G3" t="s">
        <v>20</v>
      </c>
      <c r="H3" t="s">
        <v>22</v>
      </c>
      <c r="I3" t="s">
        <v>24</v>
      </c>
      <c r="J3" t="s">
        <v>52</v>
      </c>
      <c r="K3" t="s">
        <v>27</v>
      </c>
      <c r="L3" t="s">
        <v>28</v>
      </c>
      <c r="M3" t="s">
        <v>116</v>
      </c>
      <c r="N3" t="s">
        <v>103</v>
      </c>
      <c r="O3" t="s">
        <v>110</v>
      </c>
      <c r="P3" t="s">
        <v>142</v>
      </c>
      <c r="Q3" t="s">
        <v>143</v>
      </c>
      <c r="R3" t="s">
        <v>144</v>
      </c>
      <c r="S3" t="s">
        <v>66</v>
      </c>
      <c r="T3" t="s">
        <v>552</v>
      </c>
      <c r="U3" t="s">
        <v>67</v>
      </c>
      <c r="V3" t="s">
        <v>55</v>
      </c>
      <c r="W3" t="s">
        <v>56</v>
      </c>
      <c r="X3" t="s">
        <v>57</v>
      </c>
      <c r="Y3" t="s">
        <v>58</v>
      </c>
      <c r="Z3" t="s">
        <v>59</v>
      </c>
      <c r="AA3" t="s">
        <v>61</v>
      </c>
      <c r="AB3" t="s">
        <v>60</v>
      </c>
      <c r="AC3" t="s">
        <v>62</v>
      </c>
      <c r="AD3" t="s">
        <v>368</v>
      </c>
      <c r="AE3" t="s">
        <v>316</v>
      </c>
      <c r="AF3" t="s">
        <v>317</v>
      </c>
      <c r="AG3" t="s">
        <v>318</v>
      </c>
      <c r="AH3" t="s">
        <v>319</v>
      </c>
      <c r="AI3" t="s">
        <v>320</v>
      </c>
      <c r="AJ3" t="s">
        <v>321</v>
      </c>
      <c r="AK3" t="s">
        <v>322</v>
      </c>
      <c r="AL3" t="s">
        <v>323</v>
      </c>
      <c r="AM3" t="s">
        <v>324</v>
      </c>
      <c r="AN3" t="s">
        <v>325</v>
      </c>
      <c r="AO3" t="s">
        <v>55</v>
      </c>
      <c r="AP3" t="s">
        <v>326</v>
      </c>
      <c r="AQ3" t="s">
        <v>327</v>
      </c>
      <c r="AR3" t="s">
        <v>328</v>
      </c>
      <c r="AS3" t="s">
        <v>329</v>
      </c>
      <c r="AT3" t="s">
        <v>330</v>
      </c>
      <c r="AU3" t="s">
        <v>331</v>
      </c>
      <c r="AV3" t="s">
        <v>332</v>
      </c>
      <c r="AW3" t="s">
        <v>335</v>
      </c>
      <c r="AX3" t="s">
        <v>333</v>
      </c>
      <c r="AY3" t="s">
        <v>334</v>
      </c>
      <c r="AZ3" t="s">
        <v>336</v>
      </c>
      <c r="BA3" t="s">
        <v>337</v>
      </c>
      <c r="BB3" t="s">
        <v>338</v>
      </c>
      <c r="BC3" t="s">
        <v>339</v>
      </c>
      <c r="BD3" t="s">
        <v>297</v>
      </c>
      <c r="BE3" t="s">
        <v>299</v>
      </c>
      <c r="BF3" t="s">
        <v>298</v>
      </c>
      <c r="BG3" t="s">
        <v>342</v>
      </c>
      <c r="BH3" t="s">
        <v>340</v>
      </c>
      <c r="BI3" t="s">
        <v>341</v>
      </c>
      <c r="BJ3" t="s">
        <v>29</v>
      </c>
      <c r="BK3" t="s">
        <v>30</v>
      </c>
      <c r="BL3" t="s">
        <v>31</v>
      </c>
    </row>
    <row r="4" spans="1:64" x14ac:dyDescent="0.2">
      <c r="A4" t="s">
        <v>393</v>
      </c>
      <c r="B4" t="s">
        <v>91</v>
      </c>
      <c r="C4" t="s">
        <v>796</v>
      </c>
      <c r="D4" t="s">
        <v>91</v>
      </c>
      <c r="E4" t="s">
        <v>227</v>
      </c>
      <c r="F4" t="s">
        <v>797</v>
      </c>
      <c r="G4" t="s">
        <v>799</v>
      </c>
      <c r="J4" t="s">
        <v>366</v>
      </c>
      <c r="L4" t="s">
        <v>98</v>
      </c>
      <c r="M4" t="s">
        <v>117</v>
      </c>
      <c r="N4" t="s">
        <v>107</v>
      </c>
      <c r="O4" t="s">
        <v>111</v>
      </c>
      <c r="P4" t="s">
        <v>289</v>
      </c>
      <c r="Q4" t="s">
        <v>147</v>
      </c>
      <c r="R4" t="s">
        <v>145</v>
      </c>
      <c r="S4" t="s">
        <v>152</v>
      </c>
      <c r="T4" t="s">
        <v>554</v>
      </c>
      <c r="U4" t="s">
        <v>212</v>
      </c>
      <c r="V4" t="s">
        <v>55</v>
      </c>
      <c r="W4" t="s">
        <v>153</v>
      </c>
      <c r="X4" t="s">
        <v>154</v>
      </c>
      <c r="Y4" t="s">
        <v>213</v>
      </c>
      <c r="Z4" t="s">
        <v>155</v>
      </c>
      <c r="AB4" t="s">
        <v>156</v>
      </c>
      <c r="AC4" t="s">
        <v>214</v>
      </c>
      <c r="AD4" t="s">
        <v>209</v>
      </c>
      <c r="AE4" t="s">
        <v>316</v>
      </c>
      <c r="AF4" t="s">
        <v>317</v>
      </c>
      <c r="AG4" t="s">
        <v>318</v>
      </c>
      <c r="AH4" t="s">
        <v>319</v>
      </c>
      <c r="AI4" t="s">
        <v>320</v>
      </c>
      <c r="AJ4" t="s">
        <v>321</v>
      </c>
      <c r="AK4" t="s">
        <v>322</v>
      </c>
      <c r="AL4" t="s">
        <v>323</v>
      </c>
      <c r="AM4" t="s">
        <v>324</v>
      </c>
      <c r="AN4" t="s">
        <v>325</v>
      </c>
      <c r="AO4" t="s">
        <v>55</v>
      </c>
      <c r="AP4" t="s">
        <v>326</v>
      </c>
      <c r="AQ4" t="s">
        <v>327</v>
      </c>
      <c r="AR4" t="s">
        <v>328</v>
      </c>
      <c r="AS4" t="s">
        <v>329</v>
      </c>
      <c r="AT4" t="s">
        <v>330</v>
      </c>
      <c r="AU4" t="s">
        <v>331</v>
      </c>
      <c r="AV4" t="s">
        <v>332</v>
      </c>
      <c r="AW4" t="s">
        <v>335</v>
      </c>
      <c r="AX4" t="s">
        <v>333</v>
      </c>
      <c r="AY4" t="s">
        <v>334</v>
      </c>
      <c r="AZ4" t="s">
        <v>343</v>
      </c>
      <c r="BA4" t="s">
        <v>337</v>
      </c>
      <c r="BB4" t="s">
        <v>338</v>
      </c>
      <c r="BC4" t="s">
        <v>339</v>
      </c>
      <c r="BD4" t="s">
        <v>297</v>
      </c>
      <c r="BE4" t="s">
        <v>299</v>
      </c>
      <c r="BF4" t="s">
        <v>298</v>
      </c>
      <c r="BG4" t="s">
        <v>342</v>
      </c>
      <c r="BH4" t="s">
        <v>340</v>
      </c>
      <c r="BI4" t="s">
        <v>341</v>
      </c>
      <c r="BJ4" t="s">
        <v>157</v>
      </c>
      <c r="BK4" t="s">
        <v>158</v>
      </c>
      <c r="BL4" t="s">
        <v>166</v>
      </c>
    </row>
    <row r="5" spans="1:64" x14ac:dyDescent="0.2">
      <c r="A5" t="s">
        <v>33</v>
      </c>
      <c r="B5" t="s">
        <v>91</v>
      </c>
      <c r="C5" t="s">
        <v>796</v>
      </c>
      <c r="D5" t="s">
        <v>91</v>
      </c>
      <c r="F5" t="s">
        <v>797</v>
      </c>
      <c r="G5" t="s">
        <v>799</v>
      </c>
      <c r="J5" t="s">
        <v>186</v>
      </c>
      <c r="L5" t="s">
        <v>98</v>
      </c>
      <c r="M5" t="s">
        <v>117</v>
      </c>
      <c r="N5" t="s">
        <v>107</v>
      </c>
      <c r="O5" t="s">
        <v>111</v>
      </c>
      <c r="P5" t="s">
        <v>289</v>
      </c>
      <c r="R5" t="s">
        <v>145</v>
      </c>
      <c r="S5" t="s">
        <v>152</v>
      </c>
      <c r="T5" t="s">
        <v>554</v>
      </c>
      <c r="U5" t="s">
        <v>212</v>
      </c>
      <c r="V5" t="s">
        <v>55</v>
      </c>
      <c r="W5" t="s">
        <v>153</v>
      </c>
      <c r="X5" t="s">
        <v>154</v>
      </c>
      <c r="Y5" t="s">
        <v>213</v>
      </c>
      <c r="Z5" t="s">
        <v>155</v>
      </c>
      <c r="AB5" t="s">
        <v>156</v>
      </c>
      <c r="AC5" t="s">
        <v>214</v>
      </c>
      <c r="AD5" t="s">
        <v>209</v>
      </c>
      <c r="AE5" t="s">
        <v>316</v>
      </c>
      <c r="AF5" t="s">
        <v>317</v>
      </c>
      <c r="AG5" t="s">
        <v>318</v>
      </c>
      <c r="AH5" t="s">
        <v>319</v>
      </c>
      <c r="AI5" t="s">
        <v>320</v>
      </c>
      <c r="AJ5" t="s">
        <v>321</v>
      </c>
      <c r="AK5" t="s">
        <v>322</v>
      </c>
      <c r="AL5" t="s">
        <v>323</v>
      </c>
      <c r="AM5" t="s">
        <v>324</v>
      </c>
      <c r="AN5" t="s">
        <v>325</v>
      </c>
      <c r="AO5" t="s">
        <v>55</v>
      </c>
      <c r="AP5" t="s">
        <v>326</v>
      </c>
      <c r="AQ5" t="s">
        <v>327</v>
      </c>
      <c r="AR5" t="s">
        <v>328</v>
      </c>
      <c r="AS5" t="s">
        <v>329</v>
      </c>
      <c r="AT5" t="s">
        <v>330</v>
      </c>
      <c r="AU5" t="s">
        <v>331</v>
      </c>
      <c r="AV5" t="s">
        <v>332</v>
      </c>
      <c r="AW5" t="s">
        <v>335</v>
      </c>
      <c r="AX5" t="s">
        <v>333</v>
      </c>
      <c r="AY5" t="s">
        <v>334</v>
      </c>
      <c r="AZ5" t="s">
        <v>343</v>
      </c>
      <c r="BA5" t="s">
        <v>337</v>
      </c>
      <c r="BB5" t="s">
        <v>338</v>
      </c>
      <c r="BC5" t="s">
        <v>339</v>
      </c>
      <c r="BD5" t="s">
        <v>297</v>
      </c>
      <c r="BE5" t="s">
        <v>299</v>
      </c>
      <c r="BF5" t="s">
        <v>298</v>
      </c>
      <c r="BG5" t="s">
        <v>342</v>
      </c>
      <c r="BH5" t="s">
        <v>340</v>
      </c>
      <c r="BI5" t="s">
        <v>341</v>
      </c>
      <c r="BJ5" t="s">
        <v>157</v>
      </c>
      <c r="BK5" t="s">
        <v>158</v>
      </c>
      <c r="BL5" t="s">
        <v>166</v>
      </c>
    </row>
    <row r="6" spans="1:64" x14ac:dyDescent="0.2">
      <c r="A6" t="s">
        <v>264</v>
      </c>
      <c r="B6" t="s">
        <v>249</v>
      </c>
      <c r="C6" t="s">
        <v>796</v>
      </c>
      <c r="D6" t="s">
        <v>249</v>
      </c>
      <c r="E6" t="s">
        <v>227</v>
      </c>
      <c r="F6" t="s">
        <v>797</v>
      </c>
      <c r="G6" t="s">
        <v>799</v>
      </c>
      <c r="J6" t="s">
        <v>186</v>
      </c>
      <c r="L6" t="s">
        <v>98</v>
      </c>
      <c r="M6" t="s">
        <v>250</v>
      </c>
      <c r="N6" t="s">
        <v>107</v>
      </c>
      <c r="O6" t="s">
        <v>111</v>
      </c>
      <c r="P6" t="s">
        <v>147</v>
      </c>
      <c r="Q6" t="s">
        <v>147</v>
      </c>
      <c r="R6" t="s">
        <v>145</v>
      </c>
      <c r="S6" t="s">
        <v>152</v>
      </c>
      <c r="T6" t="s">
        <v>554</v>
      </c>
      <c r="U6" t="s">
        <v>212</v>
      </c>
      <c r="V6" t="s">
        <v>55</v>
      </c>
      <c r="W6" t="s">
        <v>153</v>
      </c>
      <c r="X6" t="s">
        <v>154</v>
      </c>
      <c r="Y6" t="s">
        <v>213</v>
      </c>
      <c r="Z6" t="s">
        <v>155</v>
      </c>
      <c r="AB6" t="s">
        <v>156</v>
      </c>
      <c r="AC6" t="s">
        <v>214</v>
      </c>
      <c r="AD6" t="s">
        <v>209</v>
      </c>
      <c r="AE6" t="s">
        <v>316</v>
      </c>
      <c r="AF6" t="s">
        <v>317</v>
      </c>
      <c r="AG6" t="s">
        <v>318</v>
      </c>
      <c r="AH6" t="s">
        <v>319</v>
      </c>
      <c r="AI6" t="s">
        <v>320</v>
      </c>
      <c r="AJ6" t="s">
        <v>321</v>
      </c>
      <c r="AK6" t="s">
        <v>322</v>
      </c>
      <c r="AL6" t="s">
        <v>323</v>
      </c>
      <c r="AM6" t="s">
        <v>324</v>
      </c>
      <c r="AN6" t="s">
        <v>325</v>
      </c>
      <c r="AO6" t="s">
        <v>55</v>
      </c>
      <c r="AP6" t="s">
        <v>326</v>
      </c>
      <c r="AQ6" t="s">
        <v>327</v>
      </c>
      <c r="AR6" t="s">
        <v>328</v>
      </c>
      <c r="AS6" t="s">
        <v>329</v>
      </c>
      <c r="AT6" t="s">
        <v>330</v>
      </c>
      <c r="AU6" t="s">
        <v>331</v>
      </c>
      <c r="AV6" t="s">
        <v>332</v>
      </c>
      <c r="AW6" t="s">
        <v>335</v>
      </c>
      <c r="AX6" t="s">
        <v>333</v>
      </c>
      <c r="AY6" t="s">
        <v>334</v>
      </c>
      <c r="AZ6" t="s">
        <v>343</v>
      </c>
      <c r="BA6" t="s">
        <v>337</v>
      </c>
      <c r="BB6" t="s">
        <v>338</v>
      </c>
      <c r="BC6" t="s">
        <v>339</v>
      </c>
      <c r="BD6" t="s">
        <v>297</v>
      </c>
      <c r="BE6" t="s">
        <v>299</v>
      </c>
      <c r="BF6" t="s">
        <v>298</v>
      </c>
      <c r="BG6" t="s">
        <v>342</v>
      </c>
      <c r="BH6" t="s">
        <v>340</v>
      </c>
      <c r="BI6" t="s">
        <v>341</v>
      </c>
      <c r="BJ6" t="s">
        <v>157</v>
      </c>
      <c r="BK6" t="s">
        <v>158</v>
      </c>
      <c r="BL6" t="s">
        <v>166</v>
      </c>
    </row>
    <row r="7" spans="1:64" x14ac:dyDescent="0.2">
      <c r="A7" t="s">
        <v>265</v>
      </c>
      <c r="B7" t="s">
        <v>249</v>
      </c>
      <c r="C7" t="s">
        <v>796</v>
      </c>
      <c r="D7" t="s">
        <v>249</v>
      </c>
      <c r="E7" t="s">
        <v>227</v>
      </c>
      <c r="F7" t="s">
        <v>797</v>
      </c>
      <c r="G7" t="s">
        <v>799</v>
      </c>
      <c r="J7" t="s">
        <v>186</v>
      </c>
      <c r="L7" t="s">
        <v>98</v>
      </c>
      <c r="M7" t="s">
        <v>250</v>
      </c>
      <c r="N7" t="s">
        <v>107</v>
      </c>
      <c r="O7" t="s">
        <v>111</v>
      </c>
      <c r="P7" t="s">
        <v>147</v>
      </c>
      <c r="Q7" t="s">
        <v>147</v>
      </c>
      <c r="R7" t="s">
        <v>145</v>
      </c>
      <c r="S7" t="s">
        <v>152</v>
      </c>
      <c r="T7" t="s">
        <v>554</v>
      </c>
      <c r="U7" t="s">
        <v>212</v>
      </c>
      <c r="V7" t="s">
        <v>55</v>
      </c>
      <c r="W7" t="s">
        <v>153</v>
      </c>
      <c r="X7" t="s">
        <v>154</v>
      </c>
      <c r="Y7" t="s">
        <v>213</v>
      </c>
      <c r="Z7" t="s">
        <v>155</v>
      </c>
      <c r="AB7" t="s">
        <v>156</v>
      </c>
      <c r="AC7" t="s">
        <v>214</v>
      </c>
      <c r="AD7" t="s">
        <v>209</v>
      </c>
      <c r="AE7" t="s">
        <v>316</v>
      </c>
      <c r="AF7" t="s">
        <v>317</v>
      </c>
      <c r="AG7" t="s">
        <v>318</v>
      </c>
      <c r="AH7" t="s">
        <v>319</v>
      </c>
      <c r="AI7" t="s">
        <v>320</v>
      </c>
      <c r="AJ7" t="s">
        <v>321</v>
      </c>
      <c r="AK7" t="s">
        <v>322</v>
      </c>
      <c r="AL7" t="s">
        <v>323</v>
      </c>
      <c r="AM7" t="s">
        <v>324</v>
      </c>
      <c r="AN7" t="s">
        <v>325</v>
      </c>
      <c r="AO7" t="s">
        <v>55</v>
      </c>
      <c r="AP7" t="s">
        <v>326</v>
      </c>
      <c r="AQ7" t="s">
        <v>327</v>
      </c>
      <c r="AR7" t="s">
        <v>328</v>
      </c>
      <c r="AS7" t="s">
        <v>329</v>
      </c>
      <c r="AT7" t="s">
        <v>330</v>
      </c>
      <c r="AU7" t="s">
        <v>331</v>
      </c>
      <c r="AV7" t="s">
        <v>332</v>
      </c>
      <c r="AW7" t="s">
        <v>335</v>
      </c>
      <c r="AX7" t="s">
        <v>333</v>
      </c>
      <c r="AY7" t="s">
        <v>334</v>
      </c>
      <c r="AZ7" t="s">
        <v>343</v>
      </c>
      <c r="BA7" t="s">
        <v>337</v>
      </c>
      <c r="BB7" t="s">
        <v>338</v>
      </c>
      <c r="BC7" t="s">
        <v>339</v>
      </c>
      <c r="BD7" t="s">
        <v>297</v>
      </c>
      <c r="BE7" t="s">
        <v>299</v>
      </c>
      <c r="BF7" t="s">
        <v>298</v>
      </c>
      <c r="BG7" t="s">
        <v>342</v>
      </c>
      <c r="BH7" t="s">
        <v>340</v>
      </c>
      <c r="BI7" t="s">
        <v>341</v>
      </c>
      <c r="BJ7" t="s">
        <v>157</v>
      </c>
      <c r="BK7" t="s">
        <v>158</v>
      </c>
      <c r="BL7" t="s">
        <v>166</v>
      </c>
    </row>
    <row r="8" spans="1:64" x14ac:dyDescent="0.2">
      <c r="A8" t="s">
        <v>271</v>
      </c>
      <c r="B8" t="s">
        <v>249</v>
      </c>
      <c r="C8" t="s">
        <v>796</v>
      </c>
      <c r="D8" t="s">
        <v>249</v>
      </c>
      <c r="E8" t="s">
        <v>227</v>
      </c>
      <c r="F8" t="s">
        <v>797</v>
      </c>
      <c r="G8" t="s">
        <v>799</v>
      </c>
      <c r="J8" t="s">
        <v>186</v>
      </c>
      <c r="L8" t="s">
        <v>98</v>
      </c>
      <c r="M8" t="s">
        <v>250</v>
      </c>
      <c r="N8" t="s">
        <v>107</v>
      </c>
      <c r="O8" t="s">
        <v>111</v>
      </c>
      <c r="P8" t="s">
        <v>147</v>
      </c>
      <c r="Q8" t="s">
        <v>147</v>
      </c>
      <c r="R8" t="s">
        <v>145</v>
      </c>
      <c r="S8" t="s">
        <v>152</v>
      </c>
      <c r="T8" t="s">
        <v>554</v>
      </c>
      <c r="U8" t="s">
        <v>212</v>
      </c>
      <c r="V8" t="s">
        <v>55</v>
      </c>
      <c r="W8" t="s">
        <v>153</v>
      </c>
      <c r="X8" t="s">
        <v>154</v>
      </c>
      <c r="Y8" t="s">
        <v>213</v>
      </c>
      <c r="Z8" t="s">
        <v>155</v>
      </c>
      <c r="AB8" t="s">
        <v>156</v>
      </c>
      <c r="AC8" t="s">
        <v>214</v>
      </c>
      <c r="AD8" t="s">
        <v>209</v>
      </c>
      <c r="AE8" t="s">
        <v>316</v>
      </c>
      <c r="AF8" t="s">
        <v>317</v>
      </c>
      <c r="AG8" t="s">
        <v>318</v>
      </c>
      <c r="AH8" t="s">
        <v>319</v>
      </c>
      <c r="AI8" t="s">
        <v>320</v>
      </c>
      <c r="AJ8" t="s">
        <v>321</v>
      </c>
      <c r="AK8" t="s">
        <v>322</v>
      </c>
      <c r="AL8" t="s">
        <v>323</v>
      </c>
      <c r="AM8" t="s">
        <v>324</v>
      </c>
      <c r="AN8" t="s">
        <v>325</v>
      </c>
      <c r="AO8" t="s">
        <v>55</v>
      </c>
      <c r="AP8" t="s">
        <v>326</v>
      </c>
      <c r="AQ8" t="s">
        <v>327</v>
      </c>
      <c r="AR8" t="s">
        <v>328</v>
      </c>
      <c r="AS8" t="s">
        <v>329</v>
      </c>
      <c r="AT8" t="s">
        <v>330</v>
      </c>
      <c r="AU8" t="s">
        <v>331</v>
      </c>
      <c r="AV8" t="s">
        <v>332</v>
      </c>
      <c r="AW8" t="s">
        <v>335</v>
      </c>
      <c r="AX8" t="s">
        <v>333</v>
      </c>
      <c r="AY8" t="s">
        <v>334</v>
      </c>
      <c r="AZ8" t="s">
        <v>343</v>
      </c>
      <c r="BA8" t="s">
        <v>337</v>
      </c>
      <c r="BB8" t="s">
        <v>338</v>
      </c>
      <c r="BC8" t="s">
        <v>339</v>
      </c>
      <c r="BD8" t="s">
        <v>297</v>
      </c>
      <c r="BE8" t="s">
        <v>299</v>
      </c>
      <c r="BF8" t="s">
        <v>298</v>
      </c>
      <c r="BG8" t="s">
        <v>342</v>
      </c>
      <c r="BH8" t="s">
        <v>340</v>
      </c>
      <c r="BI8" t="s">
        <v>341</v>
      </c>
      <c r="BJ8" t="s">
        <v>157</v>
      </c>
      <c r="BK8" t="s">
        <v>158</v>
      </c>
      <c r="BL8" t="s">
        <v>166</v>
      </c>
    </row>
    <row r="9" spans="1:64" x14ac:dyDescent="0.2">
      <c r="A9" t="s">
        <v>266</v>
      </c>
      <c r="B9" t="s">
        <v>102</v>
      </c>
      <c r="C9" t="s">
        <v>796</v>
      </c>
      <c r="D9" t="s">
        <v>102</v>
      </c>
      <c r="E9" t="s">
        <v>102</v>
      </c>
      <c r="F9" t="s">
        <v>797</v>
      </c>
      <c r="G9" t="s">
        <v>799</v>
      </c>
      <c r="L9" t="s">
        <v>109</v>
      </c>
      <c r="M9" t="s">
        <v>118</v>
      </c>
      <c r="N9" t="s">
        <v>104</v>
      </c>
      <c r="P9" t="s">
        <v>284</v>
      </c>
      <c r="Q9" t="s">
        <v>284</v>
      </c>
      <c r="R9" t="s">
        <v>145</v>
      </c>
      <c r="S9" t="s">
        <v>152</v>
      </c>
      <c r="T9" t="s">
        <v>554</v>
      </c>
      <c r="U9" t="s">
        <v>212</v>
      </c>
      <c r="V9" t="s">
        <v>55</v>
      </c>
      <c r="W9" t="s">
        <v>153</v>
      </c>
      <c r="X9" t="s">
        <v>154</v>
      </c>
      <c r="Y9" t="s">
        <v>213</v>
      </c>
      <c r="Z9" t="s">
        <v>155</v>
      </c>
      <c r="AB9" t="s">
        <v>156</v>
      </c>
      <c r="AC9" t="s">
        <v>214</v>
      </c>
      <c r="AD9" t="s">
        <v>209</v>
      </c>
      <c r="AE9" t="s">
        <v>316</v>
      </c>
      <c r="AF9" t="s">
        <v>317</v>
      </c>
      <c r="AG9" t="s">
        <v>318</v>
      </c>
      <c r="AH9" t="s">
        <v>319</v>
      </c>
      <c r="AI9" t="s">
        <v>320</v>
      </c>
      <c r="AJ9" t="s">
        <v>321</v>
      </c>
      <c r="AK9" t="s">
        <v>322</v>
      </c>
      <c r="AL9" t="s">
        <v>323</v>
      </c>
      <c r="AM9" t="s">
        <v>324</v>
      </c>
      <c r="AN9" t="s">
        <v>325</v>
      </c>
      <c r="AO9" t="s">
        <v>55</v>
      </c>
      <c r="AP9" t="s">
        <v>326</v>
      </c>
      <c r="AQ9" t="s">
        <v>327</v>
      </c>
      <c r="AR9" t="s">
        <v>328</v>
      </c>
      <c r="AS9" t="s">
        <v>329</v>
      </c>
      <c r="AT9" t="s">
        <v>330</v>
      </c>
      <c r="AU9" t="s">
        <v>331</v>
      </c>
      <c r="AV9" t="s">
        <v>332</v>
      </c>
      <c r="AW9" t="s">
        <v>335</v>
      </c>
      <c r="AX9" t="s">
        <v>333</v>
      </c>
      <c r="AY9" t="s">
        <v>334</v>
      </c>
      <c r="AZ9" t="s">
        <v>343</v>
      </c>
      <c r="BA9" t="s">
        <v>337</v>
      </c>
      <c r="BB9" t="s">
        <v>338</v>
      </c>
      <c r="BC9" t="s">
        <v>339</v>
      </c>
      <c r="BD9" t="s">
        <v>297</v>
      </c>
      <c r="BE9" t="s">
        <v>299</v>
      </c>
      <c r="BF9" t="s">
        <v>298</v>
      </c>
      <c r="BG9" t="s">
        <v>342</v>
      </c>
      <c r="BH9" t="s">
        <v>340</v>
      </c>
      <c r="BI9" t="s">
        <v>341</v>
      </c>
      <c r="BJ9" t="s">
        <v>157</v>
      </c>
      <c r="BK9" t="s">
        <v>158</v>
      </c>
      <c r="BL9" t="s">
        <v>166</v>
      </c>
    </row>
    <row r="10" spans="1:64" x14ac:dyDescent="0.2">
      <c r="A10" t="s">
        <v>354</v>
      </c>
      <c r="B10" t="s">
        <v>112</v>
      </c>
      <c r="C10" t="s">
        <v>796</v>
      </c>
      <c r="D10" t="s">
        <v>112</v>
      </c>
      <c r="I10" t="s">
        <v>114</v>
      </c>
      <c r="K10" t="s">
        <v>364</v>
      </c>
      <c r="M10" t="s">
        <v>119</v>
      </c>
      <c r="N10" t="s">
        <v>107</v>
      </c>
      <c r="O10" t="s">
        <v>111</v>
      </c>
      <c r="S10" t="s">
        <v>152</v>
      </c>
      <c r="T10" t="s">
        <v>554</v>
      </c>
      <c r="U10" t="s">
        <v>212</v>
      </c>
      <c r="V10" t="s">
        <v>55</v>
      </c>
      <c r="W10" t="s">
        <v>153</v>
      </c>
      <c r="X10" t="s">
        <v>154</v>
      </c>
      <c r="Y10" t="s">
        <v>213</v>
      </c>
      <c r="Z10" t="s">
        <v>155</v>
      </c>
      <c r="AB10" t="s">
        <v>156</v>
      </c>
      <c r="AC10" t="s">
        <v>214</v>
      </c>
      <c r="AD10" t="s">
        <v>209</v>
      </c>
      <c r="AE10" t="s">
        <v>316</v>
      </c>
      <c r="AF10" t="s">
        <v>317</v>
      </c>
      <c r="AG10" t="s">
        <v>318</v>
      </c>
      <c r="AH10" t="s">
        <v>319</v>
      </c>
      <c r="AI10" t="s">
        <v>320</v>
      </c>
      <c r="AJ10" t="s">
        <v>321</v>
      </c>
      <c r="AK10" t="s">
        <v>322</v>
      </c>
      <c r="AL10" t="s">
        <v>323</v>
      </c>
      <c r="AM10" t="s">
        <v>324</v>
      </c>
      <c r="AN10" t="s">
        <v>325</v>
      </c>
      <c r="AO10" t="s">
        <v>55</v>
      </c>
      <c r="AP10" t="s">
        <v>326</v>
      </c>
      <c r="AQ10" t="s">
        <v>327</v>
      </c>
      <c r="AR10" t="s">
        <v>328</v>
      </c>
      <c r="AS10" t="s">
        <v>329</v>
      </c>
      <c r="AT10" t="s">
        <v>330</v>
      </c>
      <c r="AU10" t="s">
        <v>331</v>
      </c>
      <c r="AV10" t="s">
        <v>332</v>
      </c>
      <c r="AW10" t="s">
        <v>335</v>
      </c>
      <c r="AX10" t="s">
        <v>333</v>
      </c>
      <c r="AY10" t="s">
        <v>334</v>
      </c>
      <c r="AZ10" t="s">
        <v>343</v>
      </c>
      <c r="BA10" t="s">
        <v>337</v>
      </c>
      <c r="BB10" t="s">
        <v>338</v>
      </c>
      <c r="BC10" t="s">
        <v>339</v>
      </c>
      <c r="BD10" t="s">
        <v>297</v>
      </c>
      <c r="BE10" t="s">
        <v>299</v>
      </c>
      <c r="BF10" t="s">
        <v>298</v>
      </c>
      <c r="BG10" t="s">
        <v>342</v>
      </c>
      <c r="BH10" t="s">
        <v>340</v>
      </c>
      <c r="BI10" t="s">
        <v>341</v>
      </c>
      <c r="BJ10" t="s">
        <v>157</v>
      </c>
      <c r="BK10" t="s">
        <v>158</v>
      </c>
      <c r="BL10" t="s">
        <v>166</v>
      </c>
    </row>
    <row r="11" spans="1:64" x14ac:dyDescent="0.2">
      <c r="A11" t="s">
        <v>355</v>
      </c>
      <c r="B11" t="s">
        <v>112</v>
      </c>
      <c r="C11" t="s">
        <v>796</v>
      </c>
      <c r="D11" t="s">
        <v>112</v>
      </c>
      <c r="I11" t="s">
        <v>114</v>
      </c>
      <c r="K11" t="s">
        <v>364</v>
      </c>
      <c r="M11" t="s">
        <v>119</v>
      </c>
      <c r="N11" t="s">
        <v>107</v>
      </c>
      <c r="O11" t="s">
        <v>111</v>
      </c>
      <c r="S11" t="s">
        <v>152</v>
      </c>
      <c r="T11" t="s">
        <v>554</v>
      </c>
      <c r="U11" t="s">
        <v>212</v>
      </c>
      <c r="V11" t="s">
        <v>55</v>
      </c>
      <c r="W11" t="s">
        <v>153</v>
      </c>
      <c r="X11" t="s">
        <v>154</v>
      </c>
      <c r="Y11" t="s">
        <v>213</v>
      </c>
      <c r="Z11" t="s">
        <v>155</v>
      </c>
      <c r="AB11" t="s">
        <v>156</v>
      </c>
      <c r="AC11" t="s">
        <v>214</v>
      </c>
      <c r="AD11" t="s">
        <v>209</v>
      </c>
      <c r="AE11" t="s">
        <v>316</v>
      </c>
      <c r="AF11" t="s">
        <v>317</v>
      </c>
      <c r="AG11" t="s">
        <v>318</v>
      </c>
      <c r="AH11" t="s">
        <v>319</v>
      </c>
      <c r="AI11" t="s">
        <v>320</v>
      </c>
      <c r="AJ11" t="s">
        <v>321</v>
      </c>
      <c r="AK11" t="s">
        <v>322</v>
      </c>
      <c r="AL11" t="s">
        <v>323</v>
      </c>
      <c r="AM11" t="s">
        <v>324</v>
      </c>
      <c r="AN11" t="s">
        <v>325</v>
      </c>
      <c r="AO11" t="s">
        <v>55</v>
      </c>
      <c r="AP11" t="s">
        <v>326</v>
      </c>
      <c r="AQ11" t="s">
        <v>327</v>
      </c>
      <c r="AR11" t="s">
        <v>328</v>
      </c>
      <c r="AS11" t="s">
        <v>329</v>
      </c>
      <c r="AT11" t="s">
        <v>330</v>
      </c>
      <c r="AU11" t="s">
        <v>331</v>
      </c>
      <c r="AV11" t="s">
        <v>332</v>
      </c>
      <c r="AW11" t="s">
        <v>335</v>
      </c>
      <c r="AX11" t="s">
        <v>333</v>
      </c>
      <c r="AY11" t="s">
        <v>334</v>
      </c>
      <c r="AZ11" t="s">
        <v>343</v>
      </c>
      <c r="BA11" t="s">
        <v>337</v>
      </c>
      <c r="BB11" t="s">
        <v>338</v>
      </c>
      <c r="BC11" t="s">
        <v>339</v>
      </c>
      <c r="BD11" t="s">
        <v>297</v>
      </c>
      <c r="BE11" t="s">
        <v>299</v>
      </c>
      <c r="BF11" t="s">
        <v>298</v>
      </c>
      <c r="BG11" t="s">
        <v>342</v>
      </c>
      <c r="BH11" t="s">
        <v>340</v>
      </c>
      <c r="BI11" t="s">
        <v>341</v>
      </c>
      <c r="BJ11" t="s">
        <v>157</v>
      </c>
      <c r="BK11" t="s">
        <v>158</v>
      </c>
      <c r="BL11" t="s">
        <v>166</v>
      </c>
    </row>
    <row r="12" spans="1:64" x14ac:dyDescent="0.2">
      <c r="A12" t="s">
        <v>356</v>
      </c>
      <c r="B12" t="s">
        <v>112</v>
      </c>
      <c r="C12" t="s">
        <v>796</v>
      </c>
      <c r="D12" t="s">
        <v>112</v>
      </c>
      <c r="I12" t="s">
        <v>114</v>
      </c>
      <c r="K12" t="s">
        <v>364</v>
      </c>
      <c r="M12" t="s">
        <v>119</v>
      </c>
      <c r="N12" t="s">
        <v>107</v>
      </c>
      <c r="O12" t="s">
        <v>111</v>
      </c>
      <c r="S12" t="s">
        <v>152</v>
      </c>
      <c r="T12" t="s">
        <v>554</v>
      </c>
      <c r="U12" t="s">
        <v>212</v>
      </c>
      <c r="V12" t="s">
        <v>55</v>
      </c>
      <c r="W12" t="s">
        <v>153</v>
      </c>
      <c r="X12" t="s">
        <v>154</v>
      </c>
      <c r="Y12" t="s">
        <v>213</v>
      </c>
      <c r="Z12" t="s">
        <v>155</v>
      </c>
      <c r="AB12" t="s">
        <v>156</v>
      </c>
      <c r="AC12" t="s">
        <v>214</v>
      </c>
      <c r="AD12" t="s">
        <v>209</v>
      </c>
      <c r="AE12" t="s">
        <v>316</v>
      </c>
      <c r="AF12" t="s">
        <v>317</v>
      </c>
      <c r="AG12" t="s">
        <v>318</v>
      </c>
      <c r="AH12" t="s">
        <v>319</v>
      </c>
      <c r="AI12" t="s">
        <v>320</v>
      </c>
      <c r="AJ12" t="s">
        <v>321</v>
      </c>
      <c r="AK12" t="s">
        <v>322</v>
      </c>
      <c r="AL12" t="s">
        <v>323</v>
      </c>
      <c r="AM12" t="s">
        <v>324</v>
      </c>
      <c r="AN12" t="s">
        <v>325</v>
      </c>
      <c r="AO12" t="s">
        <v>55</v>
      </c>
      <c r="AP12" t="s">
        <v>326</v>
      </c>
      <c r="AQ12" t="s">
        <v>327</v>
      </c>
      <c r="AR12" t="s">
        <v>328</v>
      </c>
      <c r="AS12" t="s">
        <v>329</v>
      </c>
      <c r="AT12" t="s">
        <v>330</v>
      </c>
      <c r="AU12" t="s">
        <v>331</v>
      </c>
      <c r="AV12" t="s">
        <v>332</v>
      </c>
      <c r="AW12" t="s">
        <v>335</v>
      </c>
      <c r="AX12" t="s">
        <v>333</v>
      </c>
      <c r="AY12" t="s">
        <v>334</v>
      </c>
      <c r="AZ12" t="s">
        <v>343</v>
      </c>
      <c r="BA12" t="s">
        <v>337</v>
      </c>
      <c r="BB12" t="s">
        <v>338</v>
      </c>
      <c r="BC12" t="s">
        <v>339</v>
      </c>
      <c r="BD12" t="s">
        <v>297</v>
      </c>
      <c r="BE12" t="s">
        <v>299</v>
      </c>
      <c r="BF12" t="s">
        <v>298</v>
      </c>
      <c r="BG12" t="s">
        <v>342</v>
      </c>
      <c r="BH12" t="s">
        <v>340</v>
      </c>
      <c r="BI12" t="s">
        <v>341</v>
      </c>
      <c r="BJ12" t="s">
        <v>157</v>
      </c>
      <c r="BK12" t="s">
        <v>158</v>
      </c>
      <c r="BL12" t="s">
        <v>166</v>
      </c>
    </row>
    <row r="13" spans="1:64" x14ac:dyDescent="0.2">
      <c r="A13" t="s">
        <v>384</v>
      </c>
      <c r="B13" t="s">
        <v>112</v>
      </c>
      <c r="C13" t="s">
        <v>796</v>
      </c>
      <c r="D13" t="s">
        <v>112</v>
      </c>
      <c r="I13" t="s">
        <v>114</v>
      </c>
      <c r="K13" t="s">
        <v>364</v>
      </c>
      <c r="M13" t="s">
        <v>119</v>
      </c>
      <c r="N13" t="s">
        <v>107</v>
      </c>
      <c r="O13" t="s">
        <v>111</v>
      </c>
      <c r="S13" t="s">
        <v>152</v>
      </c>
      <c r="T13" t="s">
        <v>554</v>
      </c>
      <c r="U13" t="s">
        <v>212</v>
      </c>
      <c r="V13" t="s">
        <v>55</v>
      </c>
      <c r="W13" t="s">
        <v>153</v>
      </c>
      <c r="X13" t="s">
        <v>154</v>
      </c>
      <c r="Y13" t="s">
        <v>213</v>
      </c>
      <c r="Z13" t="s">
        <v>155</v>
      </c>
      <c r="AB13" t="s">
        <v>156</v>
      </c>
      <c r="AC13" t="s">
        <v>214</v>
      </c>
      <c r="AD13" t="s">
        <v>209</v>
      </c>
      <c r="AE13" t="s">
        <v>316</v>
      </c>
      <c r="AF13" t="s">
        <v>317</v>
      </c>
      <c r="AG13" t="s">
        <v>318</v>
      </c>
      <c r="AH13" t="s">
        <v>319</v>
      </c>
      <c r="AI13" t="s">
        <v>320</v>
      </c>
      <c r="AJ13" t="s">
        <v>321</v>
      </c>
      <c r="AK13" t="s">
        <v>322</v>
      </c>
      <c r="AL13" t="s">
        <v>323</v>
      </c>
      <c r="AM13" t="s">
        <v>324</v>
      </c>
      <c r="AN13" t="s">
        <v>325</v>
      </c>
      <c r="AO13" t="s">
        <v>55</v>
      </c>
      <c r="AP13" t="s">
        <v>326</v>
      </c>
      <c r="AQ13" t="s">
        <v>327</v>
      </c>
      <c r="AR13" t="s">
        <v>328</v>
      </c>
      <c r="AS13" t="s">
        <v>329</v>
      </c>
      <c r="AT13" t="s">
        <v>330</v>
      </c>
      <c r="AU13" t="s">
        <v>331</v>
      </c>
      <c r="AV13" t="s">
        <v>332</v>
      </c>
      <c r="AW13" t="s">
        <v>335</v>
      </c>
      <c r="AX13" t="s">
        <v>333</v>
      </c>
      <c r="AY13" t="s">
        <v>334</v>
      </c>
      <c r="AZ13" t="s">
        <v>343</v>
      </c>
      <c r="BA13" t="s">
        <v>337</v>
      </c>
      <c r="BB13" t="s">
        <v>338</v>
      </c>
      <c r="BC13" t="s">
        <v>339</v>
      </c>
      <c r="BD13" t="s">
        <v>297</v>
      </c>
      <c r="BE13" t="s">
        <v>299</v>
      </c>
      <c r="BF13" t="s">
        <v>298</v>
      </c>
      <c r="BG13" t="s">
        <v>342</v>
      </c>
      <c r="BH13" t="s">
        <v>340</v>
      </c>
      <c r="BI13" t="s">
        <v>341</v>
      </c>
      <c r="BJ13" t="s">
        <v>157</v>
      </c>
      <c r="BK13" t="s">
        <v>158</v>
      </c>
      <c r="BL13" t="s">
        <v>166</v>
      </c>
    </row>
    <row r="14" spans="1:64" x14ac:dyDescent="0.2">
      <c r="A14" t="s">
        <v>385</v>
      </c>
      <c r="B14" t="s">
        <v>112</v>
      </c>
      <c r="C14" t="s">
        <v>796</v>
      </c>
      <c r="D14" t="s">
        <v>112</v>
      </c>
      <c r="I14" t="s">
        <v>114</v>
      </c>
      <c r="K14" t="s">
        <v>364</v>
      </c>
      <c r="M14" t="s">
        <v>119</v>
      </c>
      <c r="N14" t="s">
        <v>107</v>
      </c>
      <c r="O14" t="s">
        <v>111</v>
      </c>
      <c r="S14" t="s">
        <v>152</v>
      </c>
      <c r="T14" t="s">
        <v>554</v>
      </c>
      <c r="U14" t="s">
        <v>212</v>
      </c>
      <c r="V14" t="s">
        <v>55</v>
      </c>
      <c r="W14" t="s">
        <v>153</v>
      </c>
      <c r="X14" t="s">
        <v>154</v>
      </c>
      <c r="Y14" t="s">
        <v>213</v>
      </c>
      <c r="Z14" t="s">
        <v>155</v>
      </c>
      <c r="AB14" t="s">
        <v>156</v>
      </c>
      <c r="AC14" t="s">
        <v>214</v>
      </c>
      <c r="AD14" t="s">
        <v>209</v>
      </c>
      <c r="AE14" t="s">
        <v>316</v>
      </c>
      <c r="AF14" t="s">
        <v>317</v>
      </c>
      <c r="AG14" t="s">
        <v>318</v>
      </c>
      <c r="AH14" t="s">
        <v>319</v>
      </c>
      <c r="AI14" t="s">
        <v>320</v>
      </c>
      <c r="AJ14" t="s">
        <v>321</v>
      </c>
      <c r="AK14" t="s">
        <v>322</v>
      </c>
      <c r="AL14" t="s">
        <v>323</v>
      </c>
      <c r="AM14" t="s">
        <v>324</v>
      </c>
      <c r="AN14" t="s">
        <v>325</v>
      </c>
      <c r="AO14" t="s">
        <v>55</v>
      </c>
      <c r="AP14" t="s">
        <v>326</v>
      </c>
      <c r="AQ14" t="s">
        <v>327</v>
      </c>
      <c r="AR14" t="s">
        <v>328</v>
      </c>
      <c r="AS14" t="s">
        <v>329</v>
      </c>
      <c r="AT14" t="s">
        <v>330</v>
      </c>
      <c r="AU14" t="s">
        <v>331</v>
      </c>
      <c r="AV14" t="s">
        <v>332</v>
      </c>
      <c r="AW14" t="s">
        <v>335</v>
      </c>
      <c r="AX14" t="s">
        <v>333</v>
      </c>
      <c r="AY14" t="s">
        <v>334</v>
      </c>
      <c r="AZ14" t="s">
        <v>343</v>
      </c>
      <c r="BA14" t="s">
        <v>337</v>
      </c>
      <c r="BB14" t="s">
        <v>338</v>
      </c>
      <c r="BC14" t="s">
        <v>339</v>
      </c>
      <c r="BD14" t="s">
        <v>297</v>
      </c>
      <c r="BE14" t="s">
        <v>299</v>
      </c>
      <c r="BF14" t="s">
        <v>298</v>
      </c>
      <c r="BG14" t="s">
        <v>342</v>
      </c>
      <c r="BH14" t="s">
        <v>340</v>
      </c>
      <c r="BI14" t="s">
        <v>341</v>
      </c>
      <c r="BJ14" t="s">
        <v>157</v>
      </c>
      <c r="BK14" t="s">
        <v>158</v>
      </c>
      <c r="BL14" t="s">
        <v>166</v>
      </c>
    </row>
    <row r="15" spans="1:64" x14ac:dyDescent="0.2">
      <c r="A15" t="s">
        <v>386</v>
      </c>
      <c r="B15" t="s">
        <v>112</v>
      </c>
      <c r="C15" t="s">
        <v>796</v>
      </c>
      <c r="D15" t="s">
        <v>112</v>
      </c>
      <c r="I15" t="s">
        <v>114</v>
      </c>
      <c r="K15" t="s">
        <v>364</v>
      </c>
      <c r="M15" t="s">
        <v>119</v>
      </c>
      <c r="N15" t="s">
        <v>107</v>
      </c>
      <c r="O15" t="s">
        <v>111</v>
      </c>
      <c r="S15" t="s">
        <v>152</v>
      </c>
      <c r="T15" t="s">
        <v>554</v>
      </c>
      <c r="U15" t="s">
        <v>212</v>
      </c>
      <c r="V15" t="s">
        <v>55</v>
      </c>
      <c r="W15" t="s">
        <v>153</v>
      </c>
      <c r="X15" t="s">
        <v>154</v>
      </c>
      <c r="Y15" t="s">
        <v>213</v>
      </c>
      <c r="Z15" t="s">
        <v>155</v>
      </c>
      <c r="AB15" t="s">
        <v>156</v>
      </c>
      <c r="AC15" t="s">
        <v>214</v>
      </c>
      <c r="AD15" t="s">
        <v>209</v>
      </c>
      <c r="AE15" t="s">
        <v>316</v>
      </c>
      <c r="AF15" t="s">
        <v>317</v>
      </c>
      <c r="AG15" t="s">
        <v>318</v>
      </c>
      <c r="AH15" t="s">
        <v>319</v>
      </c>
      <c r="AI15" t="s">
        <v>320</v>
      </c>
      <c r="AJ15" t="s">
        <v>321</v>
      </c>
      <c r="AK15" t="s">
        <v>322</v>
      </c>
      <c r="AL15" t="s">
        <v>323</v>
      </c>
      <c r="AM15" t="s">
        <v>324</v>
      </c>
      <c r="AN15" t="s">
        <v>325</v>
      </c>
      <c r="AO15" t="s">
        <v>55</v>
      </c>
      <c r="AP15" t="s">
        <v>326</v>
      </c>
      <c r="AQ15" t="s">
        <v>327</v>
      </c>
      <c r="AR15" t="s">
        <v>328</v>
      </c>
      <c r="AS15" t="s">
        <v>329</v>
      </c>
      <c r="AT15" t="s">
        <v>330</v>
      </c>
      <c r="AU15" t="s">
        <v>331</v>
      </c>
      <c r="AV15" t="s">
        <v>332</v>
      </c>
      <c r="AW15" t="s">
        <v>335</v>
      </c>
      <c r="AX15" t="s">
        <v>333</v>
      </c>
      <c r="AY15" t="s">
        <v>334</v>
      </c>
      <c r="AZ15" t="s">
        <v>343</v>
      </c>
      <c r="BA15" t="s">
        <v>337</v>
      </c>
      <c r="BB15" t="s">
        <v>338</v>
      </c>
      <c r="BC15" t="s">
        <v>339</v>
      </c>
      <c r="BD15" t="s">
        <v>297</v>
      </c>
      <c r="BE15" t="s">
        <v>299</v>
      </c>
      <c r="BF15" t="s">
        <v>298</v>
      </c>
      <c r="BG15" t="s">
        <v>342</v>
      </c>
      <c r="BH15" t="s">
        <v>340</v>
      </c>
      <c r="BI15" t="s">
        <v>341</v>
      </c>
      <c r="BJ15" t="s">
        <v>157</v>
      </c>
      <c r="BK15" t="s">
        <v>158</v>
      </c>
      <c r="BL15" t="s">
        <v>166</v>
      </c>
    </row>
    <row r="16" spans="1:64" x14ac:dyDescent="0.2">
      <c r="A16" t="s">
        <v>345</v>
      </c>
      <c r="B16" t="s">
        <v>112</v>
      </c>
      <c r="C16" t="s">
        <v>796</v>
      </c>
      <c r="D16" t="s">
        <v>112</v>
      </c>
      <c r="I16" t="s">
        <v>114</v>
      </c>
      <c r="K16" t="s">
        <v>557</v>
      </c>
      <c r="M16" t="s">
        <v>119</v>
      </c>
      <c r="N16" t="s">
        <v>107</v>
      </c>
      <c r="O16" t="s">
        <v>111</v>
      </c>
      <c r="S16" t="s">
        <v>152</v>
      </c>
      <c r="T16" t="s">
        <v>554</v>
      </c>
      <c r="U16" t="s">
        <v>212</v>
      </c>
      <c r="V16" t="s">
        <v>55</v>
      </c>
      <c r="W16" t="s">
        <v>153</v>
      </c>
      <c r="X16" t="s">
        <v>154</v>
      </c>
      <c r="Y16" t="s">
        <v>213</v>
      </c>
      <c r="Z16" t="s">
        <v>155</v>
      </c>
      <c r="AB16" t="s">
        <v>156</v>
      </c>
      <c r="AC16" t="s">
        <v>214</v>
      </c>
      <c r="AD16" t="s">
        <v>209</v>
      </c>
      <c r="AE16" t="s">
        <v>316</v>
      </c>
      <c r="AF16" t="s">
        <v>317</v>
      </c>
      <c r="AG16" t="s">
        <v>318</v>
      </c>
      <c r="AH16" t="s">
        <v>319</v>
      </c>
      <c r="AI16" t="s">
        <v>320</v>
      </c>
      <c r="AJ16" t="s">
        <v>321</v>
      </c>
      <c r="AK16" t="s">
        <v>322</v>
      </c>
      <c r="AL16" t="s">
        <v>323</v>
      </c>
      <c r="AM16" t="s">
        <v>324</v>
      </c>
      <c r="AN16" t="s">
        <v>325</v>
      </c>
      <c r="AO16" t="s">
        <v>55</v>
      </c>
      <c r="AP16" t="s">
        <v>326</v>
      </c>
      <c r="AQ16" t="s">
        <v>327</v>
      </c>
      <c r="AR16" t="s">
        <v>328</v>
      </c>
      <c r="AS16" t="s">
        <v>329</v>
      </c>
      <c r="AT16" t="s">
        <v>330</v>
      </c>
      <c r="AU16" t="s">
        <v>331</v>
      </c>
      <c r="AV16" t="s">
        <v>332</v>
      </c>
      <c r="AW16" t="s">
        <v>335</v>
      </c>
      <c r="AX16" t="s">
        <v>333</v>
      </c>
      <c r="AY16" t="s">
        <v>334</v>
      </c>
      <c r="AZ16" t="s">
        <v>343</v>
      </c>
      <c r="BA16" t="s">
        <v>337</v>
      </c>
      <c r="BB16" t="s">
        <v>338</v>
      </c>
      <c r="BC16" t="s">
        <v>339</v>
      </c>
      <c r="BD16" t="s">
        <v>297</v>
      </c>
      <c r="BE16" t="s">
        <v>299</v>
      </c>
      <c r="BF16" t="s">
        <v>298</v>
      </c>
      <c r="BG16" t="s">
        <v>342</v>
      </c>
      <c r="BH16" t="s">
        <v>340</v>
      </c>
      <c r="BI16" t="s">
        <v>341</v>
      </c>
      <c r="BJ16" t="s">
        <v>157</v>
      </c>
      <c r="BK16" t="s">
        <v>158</v>
      </c>
      <c r="BL16" t="s">
        <v>166</v>
      </c>
    </row>
    <row r="17" spans="1:64" x14ac:dyDescent="0.2">
      <c r="A17" t="s">
        <v>346</v>
      </c>
      <c r="B17" t="s">
        <v>112</v>
      </c>
      <c r="C17" t="s">
        <v>796</v>
      </c>
      <c r="D17" t="s">
        <v>112</v>
      </c>
      <c r="I17" t="s">
        <v>114</v>
      </c>
      <c r="K17" t="s">
        <v>557</v>
      </c>
      <c r="M17" t="s">
        <v>119</v>
      </c>
      <c r="N17" t="s">
        <v>107</v>
      </c>
      <c r="O17" t="s">
        <v>111</v>
      </c>
      <c r="S17" t="s">
        <v>152</v>
      </c>
      <c r="T17" t="s">
        <v>554</v>
      </c>
      <c r="U17" t="s">
        <v>212</v>
      </c>
      <c r="V17" t="s">
        <v>55</v>
      </c>
      <c r="W17" t="s">
        <v>153</v>
      </c>
      <c r="X17" t="s">
        <v>154</v>
      </c>
      <c r="Y17" t="s">
        <v>213</v>
      </c>
      <c r="Z17" t="s">
        <v>155</v>
      </c>
      <c r="AB17" t="s">
        <v>156</v>
      </c>
      <c r="AC17" t="s">
        <v>214</v>
      </c>
      <c r="AD17" t="s">
        <v>209</v>
      </c>
      <c r="AE17" t="s">
        <v>316</v>
      </c>
      <c r="AF17" t="s">
        <v>317</v>
      </c>
      <c r="AG17" t="s">
        <v>318</v>
      </c>
      <c r="AH17" t="s">
        <v>319</v>
      </c>
      <c r="AI17" t="s">
        <v>320</v>
      </c>
      <c r="AJ17" t="s">
        <v>321</v>
      </c>
      <c r="AK17" t="s">
        <v>322</v>
      </c>
      <c r="AL17" t="s">
        <v>323</v>
      </c>
      <c r="AM17" t="s">
        <v>324</v>
      </c>
      <c r="AN17" t="s">
        <v>325</v>
      </c>
      <c r="AO17" t="s">
        <v>55</v>
      </c>
      <c r="AP17" t="s">
        <v>326</v>
      </c>
      <c r="AQ17" t="s">
        <v>327</v>
      </c>
      <c r="AR17" t="s">
        <v>328</v>
      </c>
      <c r="AS17" t="s">
        <v>329</v>
      </c>
      <c r="AT17" t="s">
        <v>330</v>
      </c>
      <c r="AU17" t="s">
        <v>331</v>
      </c>
      <c r="AV17" t="s">
        <v>332</v>
      </c>
      <c r="AW17" t="s">
        <v>335</v>
      </c>
      <c r="AX17" t="s">
        <v>333</v>
      </c>
      <c r="AY17" t="s">
        <v>334</v>
      </c>
      <c r="AZ17" t="s">
        <v>343</v>
      </c>
      <c r="BA17" t="s">
        <v>337</v>
      </c>
      <c r="BB17" t="s">
        <v>338</v>
      </c>
      <c r="BC17" t="s">
        <v>339</v>
      </c>
      <c r="BD17" t="s">
        <v>297</v>
      </c>
      <c r="BE17" t="s">
        <v>299</v>
      </c>
      <c r="BF17" t="s">
        <v>298</v>
      </c>
      <c r="BG17" t="s">
        <v>342</v>
      </c>
      <c r="BH17" t="s">
        <v>340</v>
      </c>
      <c r="BI17" t="s">
        <v>341</v>
      </c>
      <c r="BJ17" t="s">
        <v>157</v>
      </c>
      <c r="BK17" t="s">
        <v>158</v>
      </c>
      <c r="BL17" t="s">
        <v>166</v>
      </c>
    </row>
    <row r="18" spans="1:64" x14ac:dyDescent="0.2">
      <c r="A18" t="s">
        <v>347</v>
      </c>
      <c r="B18" t="s">
        <v>112</v>
      </c>
      <c r="C18" t="s">
        <v>796</v>
      </c>
      <c r="D18" t="s">
        <v>112</v>
      </c>
      <c r="I18" t="s">
        <v>114</v>
      </c>
      <c r="K18" t="s">
        <v>557</v>
      </c>
      <c r="M18" t="s">
        <v>119</v>
      </c>
      <c r="N18" t="s">
        <v>107</v>
      </c>
      <c r="O18" t="s">
        <v>111</v>
      </c>
      <c r="S18" t="s">
        <v>152</v>
      </c>
      <c r="T18" t="s">
        <v>554</v>
      </c>
      <c r="U18" t="s">
        <v>212</v>
      </c>
      <c r="V18" t="s">
        <v>55</v>
      </c>
      <c r="W18" t="s">
        <v>153</v>
      </c>
      <c r="X18" t="s">
        <v>154</v>
      </c>
      <c r="Y18" t="s">
        <v>213</v>
      </c>
      <c r="Z18" t="s">
        <v>155</v>
      </c>
      <c r="AB18" t="s">
        <v>156</v>
      </c>
      <c r="AC18" t="s">
        <v>214</v>
      </c>
      <c r="AD18" t="s">
        <v>209</v>
      </c>
      <c r="AE18" t="s">
        <v>316</v>
      </c>
      <c r="AF18" t="s">
        <v>317</v>
      </c>
      <c r="AG18" t="s">
        <v>318</v>
      </c>
      <c r="AH18" t="s">
        <v>319</v>
      </c>
      <c r="AI18" t="s">
        <v>320</v>
      </c>
      <c r="AJ18" t="s">
        <v>321</v>
      </c>
      <c r="AK18" t="s">
        <v>322</v>
      </c>
      <c r="AL18" t="s">
        <v>323</v>
      </c>
      <c r="AM18" t="s">
        <v>324</v>
      </c>
      <c r="AN18" t="s">
        <v>325</v>
      </c>
      <c r="AO18" t="s">
        <v>55</v>
      </c>
      <c r="AP18" t="s">
        <v>326</v>
      </c>
      <c r="AQ18" t="s">
        <v>327</v>
      </c>
      <c r="AR18" t="s">
        <v>328</v>
      </c>
      <c r="AS18" t="s">
        <v>329</v>
      </c>
      <c r="AT18" t="s">
        <v>330</v>
      </c>
      <c r="AU18" t="s">
        <v>331</v>
      </c>
      <c r="AV18" t="s">
        <v>332</v>
      </c>
      <c r="AW18" t="s">
        <v>335</v>
      </c>
      <c r="AX18" t="s">
        <v>333</v>
      </c>
      <c r="AY18" t="s">
        <v>334</v>
      </c>
      <c r="AZ18" t="s">
        <v>343</v>
      </c>
      <c r="BA18" t="s">
        <v>337</v>
      </c>
      <c r="BB18" t="s">
        <v>338</v>
      </c>
      <c r="BC18" t="s">
        <v>339</v>
      </c>
      <c r="BD18" t="s">
        <v>297</v>
      </c>
      <c r="BE18" t="s">
        <v>299</v>
      </c>
      <c r="BF18" t="s">
        <v>298</v>
      </c>
      <c r="BG18" t="s">
        <v>342</v>
      </c>
      <c r="BH18" t="s">
        <v>340</v>
      </c>
      <c r="BI18" t="s">
        <v>341</v>
      </c>
      <c r="BJ18" t="s">
        <v>157</v>
      </c>
      <c r="BK18" t="s">
        <v>158</v>
      </c>
      <c r="BL18" t="s">
        <v>166</v>
      </c>
    </row>
    <row r="19" spans="1:64" x14ac:dyDescent="0.2">
      <c r="A19" t="s">
        <v>383</v>
      </c>
      <c r="B19" t="s">
        <v>189</v>
      </c>
      <c r="C19" t="s">
        <v>796</v>
      </c>
      <c r="D19" t="s">
        <v>189</v>
      </c>
      <c r="E19" t="s">
        <v>188</v>
      </c>
      <c r="F19" t="s">
        <v>797</v>
      </c>
      <c r="G19" t="s">
        <v>799</v>
      </c>
      <c r="J19" t="s">
        <v>187</v>
      </c>
      <c r="L19" t="s">
        <v>98</v>
      </c>
      <c r="M19" t="s">
        <v>190</v>
      </c>
      <c r="N19" t="s">
        <v>107</v>
      </c>
      <c r="O19" t="s">
        <v>111</v>
      </c>
      <c r="P19" t="s">
        <v>151</v>
      </c>
      <c r="Q19" t="s">
        <v>151</v>
      </c>
      <c r="R19" t="s">
        <v>145</v>
      </c>
      <c r="S19" t="s">
        <v>152</v>
      </c>
      <c r="T19" t="s">
        <v>554</v>
      </c>
      <c r="U19" t="s">
        <v>212</v>
      </c>
      <c r="V19" t="s">
        <v>55</v>
      </c>
      <c r="W19" t="s">
        <v>153</v>
      </c>
      <c r="X19" t="s">
        <v>154</v>
      </c>
      <c r="Y19" t="s">
        <v>213</v>
      </c>
      <c r="Z19" t="s">
        <v>155</v>
      </c>
      <c r="AB19" t="s">
        <v>156</v>
      </c>
      <c r="AC19" t="s">
        <v>214</v>
      </c>
      <c r="AD19" t="s">
        <v>209</v>
      </c>
      <c r="AE19" t="s">
        <v>316</v>
      </c>
      <c r="AF19" t="s">
        <v>317</v>
      </c>
      <c r="AG19" t="s">
        <v>318</v>
      </c>
      <c r="AH19" t="s">
        <v>319</v>
      </c>
      <c r="AI19" t="s">
        <v>320</v>
      </c>
      <c r="AJ19" t="s">
        <v>321</v>
      </c>
      <c r="AK19" t="s">
        <v>322</v>
      </c>
      <c r="AL19" t="s">
        <v>323</v>
      </c>
      <c r="AM19" t="s">
        <v>324</v>
      </c>
      <c r="AN19" t="s">
        <v>325</v>
      </c>
      <c r="AO19" t="s">
        <v>55</v>
      </c>
      <c r="AP19" t="s">
        <v>326</v>
      </c>
      <c r="AQ19" t="s">
        <v>327</v>
      </c>
      <c r="AR19" t="s">
        <v>328</v>
      </c>
      <c r="AS19" t="s">
        <v>329</v>
      </c>
      <c r="AT19" t="s">
        <v>330</v>
      </c>
      <c r="AU19" t="s">
        <v>331</v>
      </c>
      <c r="AV19" t="s">
        <v>332</v>
      </c>
      <c r="AW19" t="s">
        <v>335</v>
      </c>
      <c r="AX19" t="s">
        <v>333</v>
      </c>
      <c r="AY19" t="s">
        <v>334</v>
      </c>
      <c r="AZ19" t="s">
        <v>343</v>
      </c>
      <c r="BA19" t="s">
        <v>337</v>
      </c>
      <c r="BB19" t="s">
        <v>338</v>
      </c>
      <c r="BC19" t="s">
        <v>339</v>
      </c>
      <c r="BD19" t="s">
        <v>297</v>
      </c>
      <c r="BE19" t="s">
        <v>299</v>
      </c>
      <c r="BF19" t="s">
        <v>298</v>
      </c>
      <c r="BG19" t="s">
        <v>342</v>
      </c>
      <c r="BH19" t="s">
        <v>340</v>
      </c>
      <c r="BI19" t="s">
        <v>341</v>
      </c>
      <c r="BJ19" t="s">
        <v>157</v>
      </c>
      <c r="BK19" t="s">
        <v>158</v>
      </c>
      <c r="BL19" t="s">
        <v>166</v>
      </c>
    </row>
    <row r="20" spans="1:64" x14ac:dyDescent="0.2">
      <c r="A20" t="s">
        <v>344</v>
      </c>
      <c r="B20" t="s">
        <v>189</v>
      </c>
      <c r="C20" t="s">
        <v>796</v>
      </c>
      <c r="D20" t="s">
        <v>189</v>
      </c>
      <c r="E20" t="s">
        <v>188</v>
      </c>
      <c r="F20" t="s">
        <v>797</v>
      </c>
      <c r="G20" t="s">
        <v>799</v>
      </c>
      <c r="J20" t="s">
        <v>187</v>
      </c>
      <c r="L20" t="s">
        <v>98</v>
      </c>
      <c r="M20" t="s">
        <v>190</v>
      </c>
      <c r="N20" t="s">
        <v>107</v>
      </c>
      <c r="O20" t="s">
        <v>111</v>
      </c>
      <c r="P20" t="s">
        <v>151</v>
      </c>
      <c r="Q20" t="s">
        <v>151</v>
      </c>
      <c r="R20" t="s">
        <v>145</v>
      </c>
      <c r="S20" t="s">
        <v>152</v>
      </c>
      <c r="T20" t="s">
        <v>554</v>
      </c>
      <c r="U20" t="s">
        <v>212</v>
      </c>
      <c r="V20" t="s">
        <v>55</v>
      </c>
      <c r="W20" t="s">
        <v>153</v>
      </c>
      <c r="X20" t="s">
        <v>154</v>
      </c>
      <c r="Y20" t="s">
        <v>213</v>
      </c>
      <c r="Z20" t="s">
        <v>155</v>
      </c>
      <c r="AB20" t="s">
        <v>156</v>
      </c>
      <c r="AC20" t="s">
        <v>214</v>
      </c>
      <c r="AD20" t="s">
        <v>209</v>
      </c>
      <c r="AE20" t="s">
        <v>316</v>
      </c>
      <c r="AF20" t="s">
        <v>317</v>
      </c>
      <c r="AG20" t="s">
        <v>318</v>
      </c>
      <c r="AH20" t="s">
        <v>319</v>
      </c>
      <c r="AI20" t="s">
        <v>320</v>
      </c>
      <c r="AJ20" t="s">
        <v>321</v>
      </c>
      <c r="AK20" t="s">
        <v>322</v>
      </c>
      <c r="AL20" t="s">
        <v>323</v>
      </c>
      <c r="AM20" t="s">
        <v>324</v>
      </c>
      <c r="AN20" t="s">
        <v>325</v>
      </c>
      <c r="AO20" t="s">
        <v>55</v>
      </c>
      <c r="AP20" t="s">
        <v>326</v>
      </c>
      <c r="AQ20" t="s">
        <v>327</v>
      </c>
      <c r="AR20" t="s">
        <v>328</v>
      </c>
      <c r="AS20" t="s">
        <v>329</v>
      </c>
      <c r="AT20" t="s">
        <v>330</v>
      </c>
      <c r="AU20" t="s">
        <v>331</v>
      </c>
      <c r="AV20" t="s">
        <v>332</v>
      </c>
      <c r="AW20" t="s">
        <v>335</v>
      </c>
      <c r="AX20" t="s">
        <v>333</v>
      </c>
      <c r="AY20" t="s">
        <v>334</v>
      </c>
      <c r="AZ20" t="s">
        <v>343</v>
      </c>
      <c r="BA20" t="s">
        <v>337</v>
      </c>
      <c r="BB20" t="s">
        <v>338</v>
      </c>
      <c r="BC20" t="s">
        <v>339</v>
      </c>
      <c r="BD20" t="s">
        <v>297</v>
      </c>
      <c r="BE20" t="s">
        <v>299</v>
      </c>
      <c r="BF20" t="s">
        <v>298</v>
      </c>
      <c r="BG20" t="s">
        <v>342</v>
      </c>
      <c r="BH20" t="s">
        <v>340</v>
      </c>
      <c r="BI20" t="s">
        <v>341</v>
      </c>
      <c r="BJ20" t="s">
        <v>157</v>
      </c>
      <c r="BK20" t="s">
        <v>158</v>
      </c>
      <c r="BL20" t="s">
        <v>166</v>
      </c>
    </row>
    <row r="21" spans="1:64" x14ac:dyDescent="0.2">
      <c r="A21" t="s">
        <v>413</v>
      </c>
      <c r="B21" t="s">
        <v>112</v>
      </c>
      <c r="C21" t="s">
        <v>796</v>
      </c>
      <c r="D21" t="s">
        <v>112</v>
      </c>
      <c r="I21" t="s">
        <v>114</v>
      </c>
      <c r="K21" t="s">
        <v>557</v>
      </c>
      <c r="M21" t="s">
        <v>119</v>
      </c>
      <c r="N21" t="s">
        <v>107</v>
      </c>
      <c r="O21" t="s">
        <v>111</v>
      </c>
      <c r="S21" t="s">
        <v>152</v>
      </c>
      <c r="T21" t="s">
        <v>554</v>
      </c>
      <c r="U21" t="s">
        <v>212</v>
      </c>
      <c r="V21" t="s">
        <v>55</v>
      </c>
      <c r="W21" t="s">
        <v>153</v>
      </c>
      <c r="X21" t="s">
        <v>154</v>
      </c>
      <c r="Y21" t="s">
        <v>213</v>
      </c>
      <c r="Z21" t="s">
        <v>155</v>
      </c>
      <c r="AB21" t="s">
        <v>156</v>
      </c>
      <c r="AC21" t="s">
        <v>214</v>
      </c>
      <c r="AD21" t="s">
        <v>209</v>
      </c>
      <c r="AE21" t="s">
        <v>316</v>
      </c>
      <c r="AF21" t="s">
        <v>317</v>
      </c>
      <c r="AG21" t="s">
        <v>318</v>
      </c>
      <c r="AH21" t="s">
        <v>319</v>
      </c>
      <c r="AI21" t="s">
        <v>320</v>
      </c>
      <c r="AJ21" t="s">
        <v>321</v>
      </c>
      <c r="AK21" t="s">
        <v>322</v>
      </c>
      <c r="AL21" t="s">
        <v>323</v>
      </c>
      <c r="AM21" t="s">
        <v>324</v>
      </c>
      <c r="AN21" t="s">
        <v>325</v>
      </c>
      <c r="AO21" t="s">
        <v>55</v>
      </c>
      <c r="AP21" t="s">
        <v>326</v>
      </c>
      <c r="AQ21" t="s">
        <v>327</v>
      </c>
      <c r="AR21" t="s">
        <v>328</v>
      </c>
      <c r="AS21" t="s">
        <v>329</v>
      </c>
      <c r="AT21" t="s">
        <v>330</v>
      </c>
      <c r="AU21" t="s">
        <v>331</v>
      </c>
      <c r="AV21" t="s">
        <v>332</v>
      </c>
      <c r="AW21" t="s">
        <v>335</v>
      </c>
      <c r="AX21" t="s">
        <v>333</v>
      </c>
      <c r="AY21" t="s">
        <v>334</v>
      </c>
      <c r="AZ21" t="s">
        <v>343</v>
      </c>
      <c r="BA21" t="s">
        <v>337</v>
      </c>
      <c r="BB21" t="s">
        <v>338</v>
      </c>
      <c r="BC21" t="s">
        <v>339</v>
      </c>
      <c r="BD21" t="s">
        <v>297</v>
      </c>
      <c r="BE21" t="s">
        <v>299</v>
      </c>
      <c r="BF21" t="s">
        <v>298</v>
      </c>
      <c r="BG21" t="s">
        <v>342</v>
      </c>
      <c r="BH21" t="s">
        <v>340</v>
      </c>
      <c r="BI21" t="s">
        <v>341</v>
      </c>
      <c r="BJ21" t="s">
        <v>157</v>
      </c>
      <c r="BK21" t="s">
        <v>158</v>
      </c>
      <c r="BL21" t="s">
        <v>166</v>
      </c>
    </row>
    <row r="22" spans="1:64" x14ac:dyDescent="0.2">
      <c r="A22" t="s">
        <v>414</v>
      </c>
      <c r="B22" t="s">
        <v>112</v>
      </c>
      <c r="C22" t="s">
        <v>796</v>
      </c>
      <c r="D22" t="s">
        <v>112</v>
      </c>
      <c r="I22" t="s">
        <v>114</v>
      </c>
      <c r="K22" t="s">
        <v>557</v>
      </c>
      <c r="M22" t="s">
        <v>119</v>
      </c>
      <c r="N22" t="s">
        <v>107</v>
      </c>
      <c r="O22" t="s">
        <v>111</v>
      </c>
      <c r="S22" t="s">
        <v>152</v>
      </c>
      <c r="T22" t="s">
        <v>554</v>
      </c>
      <c r="U22" t="s">
        <v>212</v>
      </c>
      <c r="V22" t="s">
        <v>55</v>
      </c>
      <c r="W22" t="s">
        <v>153</v>
      </c>
      <c r="X22" t="s">
        <v>154</v>
      </c>
      <c r="Y22" t="s">
        <v>213</v>
      </c>
      <c r="Z22" t="s">
        <v>155</v>
      </c>
      <c r="AB22" t="s">
        <v>156</v>
      </c>
      <c r="AC22" t="s">
        <v>214</v>
      </c>
      <c r="AD22" t="s">
        <v>209</v>
      </c>
      <c r="AE22" t="s">
        <v>316</v>
      </c>
      <c r="AF22" t="s">
        <v>317</v>
      </c>
      <c r="AG22" t="s">
        <v>318</v>
      </c>
      <c r="AH22" t="s">
        <v>319</v>
      </c>
      <c r="AI22" t="s">
        <v>320</v>
      </c>
      <c r="AJ22" t="s">
        <v>321</v>
      </c>
      <c r="AK22" t="s">
        <v>322</v>
      </c>
      <c r="AL22" t="s">
        <v>323</v>
      </c>
      <c r="AM22" t="s">
        <v>324</v>
      </c>
      <c r="AN22" t="s">
        <v>325</v>
      </c>
      <c r="AO22" t="s">
        <v>55</v>
      </c>
      <c r="AP22" t="s">
        <v>326</v>
      </c>
      <c r="AQ22" t="s">
        <v>327</v>
      </c>
      <c r="AR22" t="s">
        <v>328</v>
      </c>
      <c r="AS22" t="s">
        <v>329</v>
      </c>
      <c r="AT22" t="s">
        <v>330</v>
      </c>
      <c r="AU22" t="s">
        <v>331</v>
      </c>
      <c r="AV22" t="s">
        <v>332</v>
      </c>
      <c r="AW22" t="s">
        <v>335</v>
      </c>
      <c r="AX22" t="s">
        <v>333</v>
      </c>
      <c r="AY22" t="s">
        <v>334</v>
      </c>
      <c r="AZ22" t="s">
        <v>343</v>
      </c>
      <c r="BA22" t="s">
        <v>337</v>
      </c>
      <c r="BB22" t="s">
        <v>338</v>
      </c>
      <c r="BC22" t="s">
        <v>339</v>
      </c>
      <c r="BD22" t="s">
        <v>297</v>
      </c>
      <c r="BE22" t="s">
        <v>299</v>
      </c>
      <c r="BF22" t="s">
        <v>298</v>
      </c>
      <c r="BG22" t="s">
        <v>342</v>
      </c>
      <c r="BH22" t="s">
        <v>340</v>
      </c>
      <c r="BI22" t="s">
        <v>341</v>
      </c>
      <c r="BJ22" t="s">
        <v>157</v>
      </c>
      <c r="BK22" t="s">
        <v>158</v>
      </c>
      <c r="BL22" t="s">
        <v>166</v>
      </c>
    </row>
    <row r="23" spans="1:64" x14ac:dyDescent="0.2">
      <c r="A23" t="s">
        <v>415</v>
      </c>
      <c r="B23" t="s">
        <v>112</v>
      </c>
      <c r="C23" t="s">
        <v>796</v>
      </c>
      <c r="D23" t="s">
        <v>112</v>
      </c>
      <c r="I23" t="s">
        <v>114</v>
      </c>
      <c r="K23" t="s">
        <v>557</v>
      </c>
      <c r="M23" t="s">
        <v>119</v>
      </c>
      <c r="N23" t="s">
        <v>107</v>
      </c>
      <c r="O23" t="s">
        <v>111</v>
      </c>
      <c r="S23" t="s">
        <v>152</v>
      </c>
      <c r="T23" t="s">
        <v>554</v>
      </c>
      <c r="U23" t="s">
        <v>212</v>
      </c>
      <c r="V23" t="s">
        <v>55</v>
      </c>
      <c r="W23" t="s">
        <v>153</v>
      </c>
      <c r="X23" t="s">
        <v>154</v>
      </c>
      <c r="Y23" t="s">
        <v>213</v>
      </c>
      <c r="Z23" t="s">
        <v>155</v>
      </c>
      <c r="AB23" t="s">
        <v>156</v>
      </c>
      <c r="AC23" t="s">
        <v>214</v>
      </c>
      <c r="AD23" t="s">
        <v>209</v>
      </c>
      <c r="AE23" t="s">
        <v>316</v>
      </c>
      <c r="AF23" t="s">
        <v>317</v>
      </c>
      <c r="AG23" t="s">
        <v>318</v>
      </c>
      <c r="AH23" t="s">
        <v>319</v>
      </c>
      <c r="AI23" t="s">
        <v>320</v>
      </c>
      <c r="AJ23" t="s">
        <v>321</v>
      </c>
      <c r="AK23" t="s">
        <v>322</v>
      </c>
      <c r="AL23" t="s">
        <v>323</v>
      </c>
      <c r="AM23" t="s">
        <v>324</v>
      </c>
      <c r="AN23" t="s">
        <v>325</v>
      </c>
      <c r="AO23" t="s">
        <v>55</v>
      </c>
      <c r="AP23" t="s">
        <v>326</v>
      </c>
      <c r="AQ23" t="s">
        <v>327</v>
      </c>
      <c r="AR23" t="s">
        <v>328</v>
      </c>
      <c r="AS23" t="s">
        <v>329</v>
      </c>
      <c r="AT23" t="s">
        <v>330</v>
      </c>
      <c r="AU23" t="s">
        <v>331</v>
      </c>
      <c r="AV23" t="s">
        <v>332</v>
      </c>
      <c r="AW23" t="s">
        <v>335</v>
      </c>
      <c r="AX23" t="s">
        <v>333</v>
      </c>
      <c r="AY23" t="s">
        <v>334</v>
      </c>
      <c r="AZ23" t="s">
        <v>343</v>
      </c>
      <c r="BA23" t="s">
        <v>337</v>
      </c>
      <c r="BB23" t="s">
        <v>338</v>
      </c>
      <c r="BC23" t="s">
        <v>339</v>
      </c>
      <c r="BD23" t="s">
        <v>297</v>
      </c>
      <c r="BE23" t="s">
        <v>299</v>
      </c>
      <c r="BF23" t="s">
        <v>298</v>
      </c>
      <c r="BG23" t="s">
        <v>342</v>
      </c>
      <c r="BH23" t="s">
        <v>340</v>
      </c>
      <c r="BI23" t="s">
        <v>341</v>
      </c>
      <c r="BJ23" t="s">
        <v>157</v>
      </c>
      <c r="BK23" t="s">
        <v>158</v>
      </c>
      <c r="BL23" t="s">
        <v>166</v>
      </c>
    </row>
    <row r="24" spans="1:64" x14ac:dyDescent="0.2">
      <c r="A24" t="s">
        <v>395</v>
      </c>
      <c r="B24" t="s">
        <v>112</v>
      </c>
      <c r="C24" t="s">
        <v>796</v>
      </c>
      <c r="D24" t="s">
        <v>112</v>
      </c>
      <c r="I24" t="s">
        <v>114</v>
      </c>
      <c r="K24" t="s">
        <v>557</v>
      </c>
      <c r="M24" t="s">
        <v>119</v>
      </c>
      <c r="N24" t="s">
        <v>107</v>
      </c>
      <c r="O24" t="s">
        <v>111</v>
      </c>
      <c r="S24" t="s">
        <v>152</v>
      </c>
      <c r="T24" t="s">
        <v>554</v>
      </c>
      <c r="U24" t="s">
        <v>212</v>
      </c>
      <c r="V24" t="s">
        <v>55</v>
      </c>
      <c r="W24" t="s">
        <v>153</v>
      </c>
      <c r="X24" t="s">
        <v>154</v>
      </c>
      <c r="Y24" t="s">
        <v>213</v>
      </c>
      <c r="Z24" t="s">
        <v>155</v>
      </c>
      <c r="AB24" t="s">
        <v>156</v>
      </c>
      <c r="AC24" t="s">
        <v>214</v>
      </c>
      <c r="AD24" t="s">
        <v>209</v>
      </c>
      <c r="AE24" t="s">
        <v>316</v>
      </c>
      <c r="AF24" t="s">
        <v>317</v>
      </c>
      <c r="AG24" t="s">
        <v>318</v>
      </c>
      <c r="AH24" t="s">
        <v>319</v>
      </c>
      <c r="AI24" t="s">
        <v>320</v>
      </c>
      <c r="AJ24" t="s">
        <v>321</v>
      </c>
      <c r="AK24" t="s">
        <v>322</v>
      </c>
      <c r="AL24" t="s">
        <v>323</v>
      </c>
      <c r="AM24" t="s">
        <v>324</v>
      </c>
      <c r="AN24" t="s">
        <v>325</v>
      </c>
      <c r="AO24" t="s">
        <v>55</v>
      </c>
      <c r="AP24" t="s">
        <v>326</v>
      </c>
      <c r="AQ24" t="s">
        <v>327</v>
      </c>
      <c r="AR24" t="s">
        <v>328</v>
      </c>
      <c r="AS24" t="s">
        <v>329</v>
      </c>
      <c r="AT24" t="s">
        <v>330</v>
      </c>
      <c r="AU24" t="s">
        <v>331</v>
      </c>
      <c r="AV24" t="s">
        <v>332</v>
      </c>
      <c r="AW24" t="s">
        <v>335</v>
      </c>
      <c r="AX24" t="s">
        <v>333</v>
      </c>
      <c r="AY24" t="s">
        <v>334</v>
      </c>
      <c r="AZ24" t="s">
        <v>343</v>
      </c>
      <c r="BA24" t="s">
        <v>337</v>
      </c>
      <c r="BB24" t="s">
        <v>338</v>
      </c>
      <c r="BC24" t="s">
        <v>339</v>
      </c>
      <c r="BD24" t="s">
        <v>297</v>
      </c>
      <c r="BE24" t="s">
        <v>299</v>
      </c>
      <c r="BF24" t="s">
        <v>298</v>
      </c>
      <c r="BG24" t="s">
        <v>342</v>
      </c>
      <c r="BH24" t="s">
        <v>340</v>
      </c>
      <c r="BI24" t="s">
        <v>341</v>
      </c>
      <c r="BJ24" t="s">
        <v>157</v>
      </c>
      <c r="BK24" t="s">
        <v>158</v>
      </c>
      <c r="BL24" t="s">
        <v>166</v>
      </c>
    </row>
    <row r="25" spans="1:64" x14ac:dyDescent="0.2">
      <c r="A25" t="s">
        <v>396</v>
      </c>
      <c r="B25" t="s">
        <v>112</v>
      </c>
      <c r="C25" t="s">
        <v>796</v>
      </c>
      <c r="D25" t="s">
        <v>112</v>
      </c>
      <c r="I25" t="s">
        <v>114</v>
      </c>
      <c r="K25" t="s">
        <v>557</v>
      </c>
      <c r="M25" t="s">
        <v>119</v>
      </c>
      <c r="N25" t="s">
        <v>107</v>
      </c>
      <c r="O25" t="s">
        <v>111</v>
      </c>
      <c r="S25" t="s">
        <v>152</v>
      </c>
      <c r="T25" t="s">
        <v>554</v>
      </c>
      <c r="U25" t="s">
        <v>212</v>
      </c>
      <c r="V25" t="s">
        <v>55</v>
      </c>
      <c r="W25" t="s">
        <v>153</v>
      </c>
      <c r="X25" t="s">
        <v>154</v>
      </c>
      <c r="Y25" t="s">
        <v>213</v>
      </c>
      <c r="Z25" t="s">
        <v>155</v>
      </c>
      <c r="AB25" t="s">
        <v>156</v>
      </c>
      <c r="AC25" t="s">
        <v>214</v>
      </c>
      <c r="AD25" t="s">
        <v>209</v>
      </c>
      <c r="AE25" t="s">
        <v>316</v>
      </c>
      <c r="AF25" t="s">
        <v>317</v>
      </c>
      <c r="AG25" t="s">
        <v>318</v>
      </c>
      <c r="AH25" t="s">
        <v>319</v>
      </c>
      <c r="AI25" t="s">
        <v>320</v>
      </c>
      <c r="AJ25" t="s">
        <v>321</v>
      </c>
      <c r="AK25" t="s">
        <v>322</v>
      </c>
      <c r="AL25" t="s">
        <v>323</v>
      </c>
      <c r="AM25" t="s">
        <v>324</v>
      </c>
      <c r="AN25" t="s">
        <v>325</v>
      </c>
      <c r="AO25" t="s">
        <v>55</v>
      </c>
      <c r="AP25" t="s">
        <v>326</v>
      </c>
      <c r="AQ25" t="s">
        <v>327</v>
      </c>
      <c r="AR25" t="s">
        <v>328</v>
      </c>
      <c r="AS25" t="s">
        <v>329</v>
      </c>
      <c r="AT25" t="s">
        <v>330</v>
      </c>
      <c r="AU25" t="s">
        <v>331</v>
      </c>
      <c r="AV25" t="s">
        <v>332</v>
      </c>
      <c r="AW25" t="s">
        <v>335</v>
      </c>
      <c r="AX25" t="s">
        <v>333</v>
      </c>
      <c r="AY25" t="s">
        <v>334</v>
      </c>
      <c r="AZ25" t="s">
        <v>343</v>
      </c>
      <c r="BA25" t="s">
        <v>337</v>
      </c>
      <c r="BB25" t="s">
        <v>338</v>
      </c>
      <c r="BC25" t="s">
        <v>339</v>
      </c>
      <c r="BD25" t="s">
        <v>297</v>
      </c>
      <c r="BE25" t="s">
        <v>299</v>
      </c>
      <c r="BF25" t="s">
        <v>298</v>
      </c>
      <c r="BG25" t="s">
        <v>342</v>
      </c>
      <c r="BH25" t="s">
        <v>340</v>
      </c>
      <c r="BI25" t="s">
        <v>341</v>
      </c>
      <c r="BJ25" t="s">
        <v>157</v>
      </c>
      <c r="BK25" t="s">
        <v>158</v>
      </c>
      <c r="BL25" t="s">
        <v>166</v>
      </c>
    </row>
    <row r="26" spans="1:64" x14ac:dyDescent="0.2">
      <c r="A26" t="s">
        <v>397</v>
      </c>
      <c r="B26" t="s">
        <v>112</v>
      </c>
      <c r="C26" t="s">
        <v>796</v>
      </c>
      <c r="D26" t="s">
        <v>112</v>
      </c>
      <c r="I26" t="s">
        <v>114</v>
      </c>
      <c r="K26" t="s">
        <v>557</v>
      </c>
      <c r="M26" t="s">
        <v>119</v>
      </c>
      <c r="N26" t="s">
        <v>107</v>
      </c>
      <c r="O26" t="s">
        <v>111</v>
      </c>
      <c r="S26" t="s">
        <v>152</v>
      </c>
      <c r="T26" t="s">
        <v>554</v>
      </c>
      <c r="U26" t="s">
        <v>212</v>
      </c>
      <c r="V26" t="s">
        <v>55</v>
      </c>
      <c r="W26" t="s">
        <v>153</v>
      </c>
      <c r="X26" t="s">
        <v>154</v>
      </c>
      <c r="Y26" t="s">
        <v>213</v>
      </c>
      <c r="Z26" t="s">
        <v>155</v>
      </c>
      <c r="AB26" t="s">
        <v>156</v>
      </c>
      <c r="AC26" t="s">
        <v>214</v>
      </c>
      <c r="AD26" t="s">
        <v>209</v>
      </c>
      <c r="AE26" t="s">
        <v>316</v>
      </c>
      <c r="AF26" t="s">
        <v>317</v>
      </c>
      <c r="AG26" t="s">
        <v>318</v>
      </c>
      <c r="AH26" t="s">
        <v>319</v>
      </c>
      <c r="AI26" t="s">
        <v>320</v>
      </c>
      <c r="AJ26" t="s">
        <v>321</v>
      </c>
      <c r="AK26" t="s">
        <v>322</v>
      </c>
      <c r="AL26" t="s">
        <v>323</v>
      </c>
      <c r="AM26" t="s">
        <v>324</v>
      </c>
      <c r="AN26" t="s">
        <v>325</v>
      </c>
      <c r="AO26" t="s">
        <v>55</v>
      </c>
      <c r="AP26" t="s">
        <v>326</v>
      </c>
      <c r="AQ26" t="s">
        <v>327</v>
      </c>
      <c r="AR26" t="s">
        <v>328</v>
      </c>
      <c r="AS26" t="s">
        <v>329</v>
      </c>
      <c r="AT26" t="s">
        <v>330</v>
      </c>
      <c r="AU26" t="s">
        <v>331</v>
      </c>
      <c r="AV26" t="s">
        <v>332</v>
      </c>
      <c r="AW26" t="s">
        <v>335</v>
      </c>
      <c r="AX26" t="s">
        <v>333</v>
      </c>
      <c r="AY26" t="s">
        <v>334</v>
      </c>
      <c r="AZ26" t="s">
        <v>343</v>
      </c>
      <c r="BA26" t="s">
        <v>337</v>
      </c>
      <c r="BB26" t="s">
        <v>338</v>
      </c>
      <c r="BC26" t="s">
        <v>339</v>
      </c>
      <c r="BD26" t="s">
        <v>297</v>
      </c>
      <c r="BE26" t="s">
        <v>299</v>
      </c>
      <c r="BF26" t="s">
        <v>298</v>
      </c>
      <c r="BG26" t="s">
        <v>342</v>
      </c>
      <c r="BH26" t="s">
        <v>340</v>
      </c>
      <c r="BI26" t="s">
        <v>341</v>
      </c>
      <c r="BJ26" t="s">
        <v>157</v>
      </c>
      <c r="BK26" t="s">
        <v>158</v>
      </c>
      <c r="BL26" t="s">
        <v>166</v>
      </c>
    </row>
    <row r="27" spans="1:64" x14ac:dyDescent="0.2">
      <c r="A27" t="s">
        <v>404</v>
      </c>
      <c r="B27" t="s">
        <v>112</v>
      </c>
      <c r="C27" t="s">
        <v>796</v>
      </c>
      <c r="D27" t="s">
        <v>112</v>
      </c>
      <c r="I27" t="s">
        <v>114</v>
      </c>
      <c r="K27" t="s">
        <v>557</v>
      </c>
      <c r="M27" t="s">
        <v>119</v>
      </c>
      <c r="N27" t="s">
        <v>107</v>
      </c>
      <c r="O27" t="s">
        <v>111</v>
      </c>
      <c r="S27" t="s">
        <v>152</v>
      </c>
      <c r="T27" t="s">
        <v>554</v>
      </c>
      <c r="U27" t="s">
        <v>212</v>
      </c>
      <c r="V27" t="s">
        <v>55</v>
      </c>
      <c r="W27" t="s">
        <v>153</v>
      </c>
      <c r="X27" t="s">
        <v>154</v>
      </c>
      <c r="Y27" t="s">
        <v>213</v>
      </c>
      <c r="Z27" t="s">
        <v>155</v>
      </c>
      <c r="AB27" t="s">
        <v>156</v>
      </c>
      <c r="AC27" t="s">
        <v>214</v>
      </c>
      <c r="AD27" t="s">
        <v>209</v>
      </c>
      <c r="AE27" t="s">
        <v>316</v>
      </c>
      <c r="AF27" t="s">
        <v>317</v>
      </c>
      <c r="AG27" t="s">
        <v>318</v>
      </c>
      <c r="AH27" t="s">
        <v>319</v>
      </c>
      <c r="AI27" t="s">
        <v>320</v>
      </c>
      <c r="AJ27" t="s">
        <v>321</v>
      </c>
      <c r="AK27" t="s">
        <v>322</v>
      </c>
      <c r="AL27" t="s">
        <v>323</v>
      </c>
      <c r="AM27" t="s">
        <v>324</v>
      </c>
      <c r="AN27" t="s">
        <v>325</v>
      </c>
      <c r="AO27" t="s">
        <v>55</v>
      </c>
      <c r="AP27" t="s">
        <v>326</v>
      </c>
      <c r="AQ27" t="s">
        <v>327</v>
      </c>
      <c r="AR27" t="s">
        <v>328</v>
      </c>
      <c r="AS27" t="s">
        <v>329</v>
      </c>
      <c r="AT27" t="s">
        <v>330</v>
      </c>
      <c r="AU27" t="s">
        <v>331</v>
      </c>
      <c r="AV27" t="s">
        <v>332</v>
      </c>
      <c r="AW27" t="s">
        <v>335</v>
      </c>
      <c r="AX27" t="s">
        <v>333</v>
      </c>
      <c r="AY27" t="s">
        <v>334</v>
      </c>
      <c r="AZ27" t="s">
        <v>343</v>
      </c>
      <c r="BA27" t="s">
        <v>337</v>
      </c>
      <c r="BB27" t="s">
        <v>338</v>
      </c>
      <c r="BC27" t="s">
        <v>339</v>
      </c>
      <c r="BD27" t="s">
        <v>297</v>
      </c>
      <c r="BE27" t="s">
        <v>299</v>
      </c>
      <c r="BF27" t="s">
        <v>298</v>
      </c>
      <c r="BG27" t="s">
        <v>342</v>
      </c>
      <c r="BH27" t="s">
        <v>340</v>
      </c>
      <c r="BI27" t="s">
        <v>341</v>
      </c>
      <c r="BJ27" t="s">
        <v>157</v>
      </c>
      <c r="BK27" t="s">
        <v>158</v>
      </c>
      <c r="BL27" t="s">
        <v>166</v>
      </c>
    </row>
    <row r="28" spans="1:64" x14ac:dyDescent="0.2">
      <c r="A28" t="s">
        <v>405</v>
      </c>
      <c r="B28" t="s">
        <v>112</v>
      </c>
      <c r="C28" t="s">
        <v>796</v>
      </c>
      <c r="D28" t="s">
        <v>112</v>
      </c>
      <c r="I28" t="s">
        <v>114</v>
      </c>
      <c r="K28" t="s">
        <v>557</v>
      </c>
      <c r="M28" t="s">
        <v>119</v>
      </c>
      <c r="N28" t="s">
        <v>107</v>
      </c>
      <c r="O28" t="s">
        <v>111</v>
      </c>
      <c r="S28" t="s">
        <v>152</v>
      </c>
      <c r="T28" t="s">
        <v>554</v>
      </c>
      <c r="U28" t="s">
        <v>212</v>
      </c>
      <c r="V28" t="s">
        <v>55</v>
      </c>
      <c r="W28" t="s">
        <v>153</v>
      </c>
      <c r="X28" t="s">
        <v>154</v>
      </c>
      <c r="Y28" t="s">
        <v>213</v>
      </c>
      <c r="Z28" t="s">
        <v>155</v>
      </c>
      <c r="AB28" t="s">
        <v>156</v>
      </c>
      <c r="AC28" t="s">
        <v>214</v>
      </c>
      <c r="AD28" t="s">
        <v>209</v>
      </c>
      <c r="AE28" t="s">
        <v>316</v>
      </c>
      <c r="AF28" t="s">
        <v>317</v>
      </c>
      <c r="AG28" t="s">
        <v>318</v>
      </c>
      <c r="AH28" t="s">
        <v>319</v>
      </c>
      <c r="AI28" t="s">
        <v>320</v>
      </c>
      <c r="AJ28" t="s">
        <v>321</v>
      </c>
      <c r="AK28" t="s">
        <v>322</v>
      </c>
      <c r="AL28" t="s">
        <v>323</v>
      </c>
      <c r="AM28" t="s">
        <v>324</v>
      </c>
      <c r="AN28" t="s">
        <v>325</v>
      </c>
      <c r="AO28" t="s">
        <v>55</v>
      </c>
      <c r="AP28" t="s">
        <v>326</v>
      </c>
      <c r="AQ28" t="s">
        <v>327</v>
      </c>
      <c r="AR28" t="s">
        <v>328</v>
      </c>
      <c r="AS28" t="s">
        <v>329</v>
      </c>
      <c r="AT28" t="s">
        <v>330</v>
      </c>
      <c r="AU28" t="s">
        <v>331</v>
      </c>
      <c r="AV28" t="s">
        <v>332</v>
      </c>
      <c r="AW28" t="s">
        <v>335</v>
      </c>
      <c r="AX28" t="s">
        <v>333</v>
      </c>
      <c r="AY28" t="s">
        <v>334</v>
      </c>
      <c r="AZ28" t="s">
        <v>343</v>
      </c>
      <c r="BA28" t="s">
        <v>337</v>
      </c>
      <c r="BB28" t="s">
        <v>338</v>
      </c>
      <c r="BC28" t="s">
        <v>339</v>
      </c>
      <c r="BD28" t="s">
        <v>297</v>
      </c>
      <c r="BE28" t="s">
        <v>299</v>
      </c>
      <c r="BF28" t="s">
        <v>298</v>
      </c>
      <c r="BG28" t="s">
        <v>342</v>
      </c>
      <c r="BH28" t="s">
        <v>340</v>
      </c>
      <c r="BI28" t="s">
        <v>341</v>
      </c>
      <c r="BJ28" t="s">
        <v>157</v>
      </c>
      <c r="BK28" t="s">
        <v>158</v>
      </c>
      <c r="BL28" t="s">
        <v>166</v>
      </c>
    </row>
    <row r="29" spans="1:64" x14ac:dyDescent="0.2">
      <c r="A29" t="s">
        <v>406</v>
      </c>
      <c r="B29" t="s">
        <v>112</v>
      </c>
      <c r="C29" t="s">
        <v>796</v>
      </c>
      <c r="D29" t="s">
        <v>112</v>
      </c>
      <c r="I29" t="s">
        <v>114</v>
      </c>
      <c r="K29" t="s">
        <v>557</v>
      </c>
      <c r="M29" t="s">
        <v>119</v>
      </c>
      <c r="N29" t="s">
        <v>107</v>
      </c>
      <c r="O29" t="s">
        <v>111</v>
      </c>
      <c r="S29" t="s">
        <v>152</v>
      </c>
      <c r="T29" t="s">
        <v>554</v>
      </c>
      <c r="U29" t="s">
        <v>212</v>
      </c>
      <c r="V29" t="s">
        <v>55</v>
      </c>
      <c r="W29" t="s">
        <v>153</v>
      </c>
      <c r="X29" t="s">
        <v>154</v>
      </c>
      <c r="Y29" t="s">
        <v>213</v>
      </c>
      <c r="Z29" t="s">
        <v>155</v>
      </c>
      <c r="AB29" t="s">
        <v>156</v>
      </c>
      <c r="AC29" t="s">
        <v>214</v>
      </c>
      <c r="AD29" t="s">
        <v>209</v>
      </c>
      <c r="AE29" t="s">
        <v>316</v>
      </c>
      <c r="AF29" t="s">
        <v>317</v>
      </c>
      <c r="AG29" t="s">
        <v>318</v>
      </c>
      <c r="AH29" t="s">
        <v>319</v>
      </c>
      <c r="AI29" t="s">
        <v>320</v>
      </c>
      <c r="AJ29" t="s">
        <v>321</v>
      </c>
      <c r="AK29" t="s">
        <v>322</v>
      </c>
      <c r="AL29" t="s">
        <v>323</v>
      </c>
      <c r="AM29" t="s">
        <v>324</v>
      </c>
      <c r="AN29" t="s">
        <v>325</v>
      </c>
      <c r="AO29" t="s">
        <v>55</v>
      </c>
      <c r="AP29" t="s">
        <v>326</v>
      </c>
      <c r="AQ29" t="s">
        <v>327</v>
      </c>
      <c r="AR29" t="s">
        <v>328</v>
      </c>
      <c r="AS29" t="s">
        <v>329</v>
      </c>
      <c r="AT29" t="s">
        <v>330</v>
      </c>
      <c r="AU29" t="s">
        <v>331</v>
      </c>
      <c r="AV29" t="s">
        <v>332</v>
      </c>
      <c r="AW29" t="s">
        <v>335</v>
      </c>
      <c r="AX29" t="s">
        <v>333</v>
      </c>
      <c r="AY29" t="s">
        <v>334</v>
      </c>
      <c r="AZ29" t="s">
        <v>343</v>
      </c>
      <c r="BA29" t="s">
        <v>337</v>
      </c>
      <c r="BB29" t="s">
        <v>338</v>
      </c>
      <c r="BC29" t="s">
        <v>339</v>
      </c>
      <c r="BD29" t="s">
        <v>297</v>
      </c>
      <c r="BE29" t="s">
        <v>299</v>
      </c>
      <c r="BF29" t="s">
        <v>298</v>
      </c>
      <c r="BG29" t="s">
        <v>342</v>
      </c>
      <c r="BH29" t="s">
        <v>340</v>
      </c>
      <c r="BI29" t="s">
        <v>341</v>
      </c>
      <c r="BJ29" t="s">
        <v>157</v>
      </c>
      <c r="BK29" t="s">
        <v>158</v>
      </c>
      <c r="BL29" t="s">
        <v>166</v>
      </c>
    </row>
    <row r="30" spans="1:64" x14ac:dyDescent="0.2">
      <c r="A30" t="s">
        <v>267</v>
      </c>
      <c r="B30" t="s">
        <v>189</v>
      </c>
      <c r="C30" t="s">
        <v>796</v>
      </c>
      <c r="D30" t="s">
        <v>189</v>
      </c>
      <c r="E30" t="s">
        <v>188</v>
      </c>
      <c r="F30" t="s">
        <v>797</v>
      </c>
      <c r="G30" t="s">
        <v>799</v>
      </c>
      <c r="J30" t="s">
        <v>187</v>
      </c>
      <c r="L30" t="s">
        <v>98</v>
      </c>
      <c r="M30" t="s">
        <v>190</v>
      </c>
      <c r="N30" t="s">
        <v>107</v>
      </c>
      <c r="O30" t="s">
        <v>111</v>
      </c>
      <c r="P30" t="s">
        <v>151</v>
      </c>
      <c r="Q30" t="s">
        <v>151</v>
      </c>
      <c r="R30" t="s">
        <v>145</v>
      </c>
      <c r="S30" t="s">
        <v>152</v>
      </c>
      <c r="T30" t="s">
        <v>554</v>
      </c>
      <c r="U30" t="s">
        <v>212</v>
      </c>
      <c r="V30" t="s">
        <v>55</v>
      </c>
      <c r="W30" t="s">
        <v>153</v>
      </c>
      <c r="X30" t="s">
        <v>154</v>
      </c>
      <c r="Y30" t="s">
        <v>213</v>
      </c>
      <c r="Z30" t="s">
        <v>155</v>
      </c>
      <c r="AB30" t="s">
        <v>156</v>
      </c>
      <c r="AC30" t="s">
        <v>214</v>
      </c>
      <c r="AD30" t="s">
        <v>209</v>
      </c>
      <c r="AE30" t="s">
        <v>316</v>
      </c>
      <c r="AF30" t="s">
        <v>317</v>
      </c>
      <c r="AG30" t="s">
        <v>318</v>
      </c>
      <c r="AH30" t="s">
        <v>319</v>
      </c>
      <c r="AI30" t="s">
        <v>320</v>
      </c>
      <c r="AJ30" t="s">
        <v>321</v>
      </c>
      <c r="AK30" t="s">
        <v>322</v>
      </c>
      <c r="AL30" t="s">
        <v>323</v>
      </c>
      <c r="AM30" t="s">
        <v>324</v>
      </c>
      <c r="AN30" t="s">
        <v>325</v>
      </c>
      <c r="AO30" t="s">
        <v>55</v>
      </c>
      <c r="AP30" t="s">
        <v>326</v>
      </c>
      <c r="AQ30" t="s">
        <v>327</v>
      </c>
      <c r="AR30" t="s">
        <v>328</v>
      </c>
      <c r="AS30" t="s">
        <v>329</v>
      </c>
      <c r="AT30" t="s">
        <v>330</v>
      </c>
      <c r="AU30" t="s">
        <v>331</v>
      </c>
      <c r="AV30" t="s">
        <v>332</v>
      </c>
      <c r="AW30" t="s">
        <v>335</v>
      </c>
      <c r="AX30" t="s">
        <v>333</v>
      </c>
      <c r="AY30" t="s">
        <v>334</v>
      </c>
      <c r="AZ30" t="s">
        <v>343</v>
      </c>
      <c r="BA30" t="s">
        <v>337</v>
      </c>
      <c r="BB30" t="s">
        <v>338</v>
      </c>
      <c r="BC30" t="s">
        <v>339</v>
      </c>
      <c r="BD30" t="s">
        <v>297</v>
      </c>
      <c r="BE30" t="s">
        <v>299</v>
      </c>
      <c r="BF30" t="s">
        <v>298</v>
      </c>
      <c r="BG30" t="s">
        <v>342</v>
      </c>
      <c r="BH30" t="s">
        <v>340</v>
      </c>
      <c r="BI30" t="s">
        <v>341</v>
      </c>
      <c r="BJ30" t="s">
        <v>157</v>
      </c>
      <c r="BK30" t="s">
        <v>158</v>
      </c>
      <c r="BL30" t="s">
        <v>166</v>
      </c>
    </row>
    <row r="31" spans="1:64" x14ac:dyDescent="0.2">
      <c r="A31" t="s">
        <v>268</v>
      </c>
      <c r="B31" t="s">
        <v>189</v>
      </c>
      <c r="C31" t="s">
        <v>796</v>
      </c>
      <c r="D31" t="s">
        <v>189</v>
      </c>
      <c r="E31" t="s">
        <v>188</v>
      </c>
      <c r="F31" t="s">
        <v>797</v>
      </c>
      <c r="G31" t="s">
        <v>799</v>
      </c>
      <c r="J31" t="s">
        <v>187</v>
      </c>
      <c r="L31" t="s">
        <v>98</v>
      </c>
      <c r="M31" t="s">
        <v>190</v>
      </c>
      <c r="N31" t="s">
        <v>107</v>
      </c>
      <c r="O31" t="s">
        <v>111</v>
      </c>
      <c r="P31" t="s">
        <v>151</v>
      </c>
      <c r="Q31" t="s">
        <v>151</v>
      </c>
      <c r="R31" t="s">
        <v>145</v>
      </c>
      <c r="S31" t="s">
        <v>152</v>
      </c>
      <c r="T31" t="s">
        <v>554</v>
      </c>
      <c r="U31" t="s">
        <v>212</v>
      </c>
      <c r="V31" t="s">
        <v>55</v>
      </c>
      <c r="W31" t="s">
        <v>153</v>
      </c>
      <c r="X31" t="s">
        <v>154</v>
      </c>
      <c r="Y31" t="s">
        <v>213</v>
      </c>
      <c r="Z31" t="s">
        <v>155</v>
      </c>
      <c r="AB31" t="s">
        <v>156</v>
      </c>
      <c r="AC31" t="s">
        <v>214</v>
      </c>
      <c r="AD31" t="s">
        <v>209</v>
      </c>
      <c r="AE31" t="s">
        <v>316</v>
      </c>
      <c r="AF31" t="s">
        <v>317</v>
      </c>
      <c r="AG31" t="s">
        <v>318</v>
      </c>
      <c r="AH31" t="s">
        <v>319</v>
      </c>
      <c r="AI31" t="s">
        <v>320</v>
      </c>
      <c r="AJ31" t="s">
        <v>321</v>
      </c>
      <c r="AK31" t="s">
        <v>322</v>
      </c>
      <c r="AL31" t="s">
        <v>323</v>
      </c>
      <c r="AM31" t="s">
        <v>324</v>
      </c>
      <c r="AN31" t="s">
        <v>325</v>
      </c>
      <c r="AO31" t="s">
        <v>55</v>
      </c>
      <c r="AP31" t="s">
        <v>326</v>
      </c>
      <c r="AQ31" t="s">
        <v>327</v>
      </c>
      <c r="AR31" t="s">
        <v>328</v>
      </c>
      <c r="AS31" t="s">
        <v>329</v>
      </c>
      <c r="AT31" t="s">
        <v>330</v>
      </c>
      <c r="AU31" t="s">
        <v>331</v>
      </c>
      <c r="AV31" t="s">
        <v>332</v>
      </c>
      <c r="AW31" t="s">
        <v>335</v>
      </c>
      <c r="AX31" t="s">
        <v>333</v>
      </c>
      <c r="AY31" t="s">
        <v>334</v>
      </c>
      <c r="AZ31" t="s">
        <v>343</v>
      </c>
      <c r="BA31" t="s">
        <v>337</v>
      </c>
      <c r="BB31" t="s">
        <v>338</v>
      </c>
      <c r="BC31" t="s">
        <v>339</v>
      </c>
      <c r="BD31" t="s">
        <v>297</v>
      </c>
      <c r="BE31" t="s">
        <v>299</v>
      </c>
      <c r="BF31" t="s">
        <v>298</v>
      </c>
      <c r="BG31" t="s">
        <v>342</v>
      </c>
      <c r="BH31" t="s">
        <v>340</v>
      </c>
      <c r="BI31" t="s">
        <v>341</v>
      </c>
      <c r="BJ31" t="s">
        <v>157</v>
      </c>
      <c r="BK31" t="s">
        <v>158</v>
      </c>
      <c r="BL31" t="s">
        <v>166</v>
      </c>
    </row>
    <row r="32" spans="1:64" x14ac:dyDescent="0.2">
      <c r="A32" t="s">
        <v>269</v>
      </c>
      <c r="B32" t="s">
        <v>189</v>
      </c>
      <c r="C32" t="s">
        <v>796</v>
      </c>
      <c r="D32" t="s">
        <v>189</v>
      </c>
      <c r="E32" t="s">
        <v>188</v>
      </c>
      <c r="F32" t="s">
        <v>797</v>
      </c>
      <c r="G32" t="s">
        <v>799</v>
      </c>
      <c r="J32" t="s">
        <v>187</v>
      </c>
      <c r="L32" t="s">
        <v>98</v>
      </c>
      <c r="M32" t="s">
        <v>190</v>
      </c>
      <c r="N32" t="s">
        <v>107</v>
      </c>
      <c r="O32" t="s">
        <v>111</v>
      </c>
      <c r="P32" t="s">
        <v>151</v>
      </c>
      <c r="Q32" t="s">
        <v>151</v>
      </c>
      <c r="R32" t="s">
        <v>145</v>
      </c>
      <c r="S32" t="s">
        <v>152</v>
      </c>
      <c r="T32" t="s">
        <v>554</v>
      </c>
      <c r="U32" t="s">
        <v>212</v>
      </c>
      <c r="V32" t="s">
        <v>55</v>
      </c>
      <c r="W32" t="s">
        <v>153</v>
      </c>
      <c r="X32" t="s">
        <v>154</v>
      </c>
      <c r="Y32" t="s">
        <v>213</v>
      </c>
      <c r="Z32" t="s">
        <v>155</v>
      </c>
      <c r="AB32" t="s">
        <v>156</v>
      </c>
      <c r="AC32" t="s">
        <v>214</v>
      </c>
      <c r="AD32" t="s">
        <v>209</v>
      </c>
      <c r="AE32" t="s">
        <v>316</v>
      </c>
      <c r="AF32" t="s">
        <v>317</v>
      </c>
      <c r="AG32" t="s">
        <v>318</v>
      </c>
      <c r="AH32" t="s">
        <v>319</v>
      </c>
      <c r="AI32" t="s">
        <v>320</v>
      </c>
      <c r="AJ32" t="s">
        <v>321</v>
      </c>
      <c r="AK32" t="s">
        <v>322</v>
      </c>
      <c r="AL32" t="s">
        <v>323</v>
      </c>
      <c r="AM32" t="s">
        <v>324</v>
      </c>
      <c r="AN32" t="s">
        <v>325</v>
      </c>
      <c r="AO32" t="s">
        <v>55</v>
      </c>
      <c r="AP32" t="s">
        <v>326</v>
      </c>
      <c r="AQ32" t="s">
        <v>327</v>
      </c>
      <c r="AR32" t="s">
        <v>328</v>
      </c>
      <c r="AS32" t="s">
        <v>329</v>
      </c>
      <c r="AT32" t="s">
        <v>330</v>
      </c>
      <c r="AU32" t="s">
        <v>331</v>
      </c>
      <c r="AV32" t="s">
        <v>332</v>
      </c>
      <c r="AW32" t="s">
        <v>335</v>
      </c>
      <c r="AX32" t="s">
        <v>333</v>
      </c>
      <c r="AY32" t="s">
        <v>334</v>
      </c>
      <c r="AZ32" t="s">
        <v>343</v>
      </c>
      <c r="BA32" t="s">
        <v>337</v>
      </c>
      <c r="BB32" t="s">
        <v>338</v>
      </c>
      <c r="BC32" t="s">
        <v>339</v>
      </c>
      <c r="BD32" t="s">
        <v>297</v>
      </c>
      <c r="BE32" t="s">
        <v>299</v>
      </c>
      <c r="BF32" t="s">
        <v>298</v>
      </c>
      <c r="BG32" t="s">
        <v>342</v>
      </c>
      <c r="BH32" t="s">
        <v>340</v>
      </c>
      <c r="BI32" t="s">
        <v>341</v>
      </c>
      <c r="BJ32" t="s">
        <v>157</v>
      </c>
      <c r="BK32" t="s">
        <v>158</v>
      </c>
      <c r="BL32" t="s">
        <v>166</v>
      </c>
    </row>
    <row r="33" spans="1:64" x14ac:dyDescent="0.2">
      <c r="A33" t="s">
        <v>270</v>
      </c>
      <c r="B33" t="s">
        <v>189</v>
      </c>
      <c r="C33" t="s">
        <v>796</v>
      </c>
      <c r="D33" t="s">
        <v>189</v>
      </c>
      <c r="E33" t="s">
        <v>188</v>
      </c>
      <c r="F33" t="s">
        <v>797</v>
      </c>
      <c r="G33" t="s">
        <v>799</v>
      </c>
      <c r="J33" t="s">
        <v>187</v>
      </c>
      <c r="L33" t="s">
        <v>98</v>
      </c>
      <c r="M33" t="s">
        <v>190</v>
      </c>
      <c r="N33" t="s">
        <v>107</v>
      </c>
      <c r="O33" t="s">
        <v>111</v>
      </c>
      <c r="P33" t="s">
        <v>151</v>
      </c>
      <c r="Q33" t="s">
        <v>151</v>
      </c>
      <c r="R33" t="s">
        <v>145</v>
      </c>
      <c r="S33" t="s">
        <v>152</v>
      </c>
      <c r="T33" t="s">
        <v>554</v>
      </c>
      <c r="U33" t="s">
        <v>212</v>
      </c>
      <c r="V33" t="s">
        <v>55</v>
      </c>
      <c r="W33" t="s">
        <v>153</v>
      </c>
      <c r="X33" t="s">
        <v>154</v>
      </c>
      <c r="Y33" t="s">
        <v>213</v>
      </c>
      <c r="Z33" t="s">
        <v>155</v>
      </c>
      <c r="AB33" t="s">
        <v>156</v>
      </c>
      <c r="AC33" t="s">
        <v>214</v>
      </c>
      <c r="AD33" t="s">
        <v>209</v>
      </c>
      <c r="AE33" t="s">
        <v>316</v>
      </c>
      <c r="AF33" t="s">
        <v>317</v>
      </c>
      <c r="AG33" t="s">
        <v>318</v>
      </c>
      <c r="AH33" t="s">
        <v>319</v>
      </c>
      <c r="AI33" t="s">
        <v>320</v>
      </c>
      <c r="AJ33" t="s">
        <v>321</v>
      </c>
      <c r="AK33" t="s">
        <v>322</v>
      </c>
      <c r="AL33" t="s">
        <v>323</v>
      </c>
      <c r="AM33" t="s">
        <v>324</v>
      </c>
      <c r="AN33" t="s">
        <v>325</v>
      </c>
      <c r="AO33" t="s">
        <v>55</v>
      </c>
      <c r="AP33" t="s">
        <v>326</v>
      </c>
      <c r="AQ33" t="s">
        <v>327</v>
      </c>
      <c r="AR33" t="s">
        <v>328</v>
      </c>
      <c r="AS33" t="s">
        <v>329</v>
      </c>
      <c r="AT33" t="s">
        <v>330</v>
      </c>
      <c r="AU33" t="s">
        <v>331</v>
      </c>
      <c r="AV33" t="s">
        <v>332</v>
      </c>
      <c r="AW33" t="s">
        <v>335</v>
      </c>
      <c r="AX33" t="s">
        <v>333</v>
      </c>
      <c r="AY33" t="s">
        <v>334</v>
      </c>
      <c r="AZ33" t="s">
        <v>343</v>
      </c>
      <c r="BA33" t="s">
        <v>337</v>
      </c>
      <c r="BB33" t="s">
        <v>338</v>
      </c>
      <c r="BC33" t="s">
        <v>339</v>
      </c>
      <c r="BD33" t="s">
        <v>297</v>
      </c>
      <c r="BE33" t="s">
        <v>299</v>
      </c>
      <c r="BF33" t="s">
        <v>298</v>
      </c>
      <c r="BG33" t="s">
        <v>342</v>
      </c>
      <c r="BH33" t="s">
        <v>340</v>
      </c>
      <c r="BI33" t="s">
        <v>341</v>
      </c>
      <c r="BJ33" t="s">
        <v>157</v>
      </c>
      <c r="BK33" t="s">
        <v>158</v>
      </c>
      <c r="BL33" t="s">
        <v>166</v>
      </c>
    </row>
    <row r="36" spans="1:64" x14ac:dyDescent="0.2">
      <c r="A36" t="s">
        <v>72</v>
      </c>
    </row>
    <row r="37" spans="1:64" x14ac:dyDescent="0.2">
      <c r="B37" t="s">
        <v>15</v>
      </c>
      <c r="C37" t="s">
        <v>14</v>
      </c>
      <c r="D37" t="s">
        <v>16</v>
      </c>
      <c r="E37" t="s">
        <v>276</v>
      </c>
      <c r="F37" t="s">
        <v>19</v>
      </c>
      <c r="G37" t="s">
        <v>20</v>
      </c>
      <c r="H37" t="s">
        <v>22</v>
      </c>
      <c r="I37" t="s">
        <v>24</v>
      </c>
      <c r="J37" t="s">
        <v>52</v>
      </c>
      <c r="K37" t="s">
        <v>27</v>
      </c>
      <c r="L37" t="s">
        <v>28</v>
      </c>
      <c r="M37" t="s">
        <v>116</v>
      </c>
      <c r="N37" t="s">
        <v>103</v>
      </c>
      <c r="O37" t="s">
        <v>110</v>
      </c>
      <c r="P37" t="s">
        <v>142</v>
      </c>
      <c r="Q37" t="s">
        <v>143</v>
      </c>
      <c r="R37" t="s">
        <v>144</v>
      </c>
      <c r="S37" t="s">
        <v>66</v>
      </c>
      <c r="T37" t="s">
        <v>552</v>
      </c>
      <c r="U37" t="s">
        <v>67</v>
      </c>
      <c r="V37" t="s">
        <v>55</v>
      </c>
      <c r="W37" t="s">
        <v>56</v>
      </c>
      <c r="X37" t="s">
        <v>57</v>
      </c>
      <c r="Y37" t="s">
        <v>58</v>
      </c>
      <c r="Z37" t="s">
        <v>59</v>
      </c>
      <c r="AA37" t="s">
        <v>61</v>
      </c>
      <c r="AB37" t="s">
        <v>60</v>
      </c>
      <c r="AC37" t="s">
        <v>62</v>
      </c>
      <c r="AD37" t="s">
        <v>368</v>
      </c>
      <c r="AE37" t="s">
        <v>316</v>
      </c>
      <c r="AF37" t="s">
        <v>317</v>
      </c>
      <c r="AG37" t="s">
        <v>318</v>
      </c>
      <c r="AH37" t="s">
        <v>319</v>
      </c>
      <c r="AI37" t="s">
        <v>320</v>
      </c>
      <c r="AJ37" t="s">
        <v>321</v>
      </c>
      <c r="AK37" t="s">
        <v>322</v>
      </c>
      <c r="AL37" t="s">
        <v>323</v>
      </c>
      <c r="AM37" t="s">
        <v>324</v>
      </c>
      <c r="AN37" t="s">
        <v>325</v>
      </c>
      <c r="AO37" t="s">
        <v>55</v>
      </c>
      <c r="AP37" t="s">
        <v>326</v>
      </c>
      <c r="AQ37" t="s">
        <v>327</v>
      </c>
      <c r="AR37" t="s">
        <v>328</v>
      </c>
      <c r="AS37" t="s">
        <v>329</v>
      </c>
      <c r="AT37" t="s">
        <v>330</v>
      </c>
      <c r="AU37" t="s">
        <v>331</v>
      </c>
      <c r="AV37" t="s">
        <v>332</v>
      </c>
      <c r="AW37" t="s">
        <v>335</v>
      </c>
      <c r="AX37" t="s">
        <v>333</v>
      </c>
      <c r="AY37" t="s">
        <v>334</v>
      </c>
      <c r="AZ37" t="s">
        <v>336</v>
      </c>
      <c r="BA37" t="s">
        <v>337</v>
      </c>
      <c r="BB37" t="s">
        <v>338</v>
      </c>
      <c r="BC37" t="s">
        <v>339</v>
      </c>
      <c r="BD37" t="s">
        <v>297</v>
      </c>
      <c r="BE37" t="s">
        <v>299</v>
      </c>
      <c r="BF37" t="s">
        <v>298</v>
      </c>
      <c r="BG37" t="s">
        <v>342</v>
      </c>
      <c r="BH37" t="s">
        <v>340</v>
      </c>
      <c r="BI37" t="s">
        <v>341</v>
      </c>
      <c r="BJ37" t="s">
        <v>29</v>
      </c>
      <c r="BK37" t="s">
        <v>30</v>
      </c>
      <c r="BL37" t="s">
        <v>31</v>
      </c>
    </row>
    <row r="38" spans="1:64" x14ac:dyDescent="0.2">
      <c r="A38" t="s">
        <v>393</v>
      </c>
      <c r="B38" t="s">
        <v>92</v>
      </c>
      <c r="C38" t="s">
        <v>95</v>
      </c>
      <c r="D38" t="s">
        <v>92</v>
      </c>
      <c r="E38" t="s">
        <v>95</v>
      </c>
      <c r="F38" t="s">
        <v>95</v>
      </c>
      <c r="G38" t="s">
        <v>95</v>
      </c>
      <c r="J38" t="s">
        <v>95</v>
      </c>
      <c r="L38" t="s">
        <v>37</v>
      </c>
      <c r="M38" t="s">
        <v>37</v>
      </c>
      <c r="N38" t="s">
        <v>37</v>
      </c>
      <c r="O38" t="s">
        <v>37</v>
      </c>
      <c r="P38" t="s">
        <v>37</v>
      </c>
      <c r="Q38" t="s">
        <v>37</v>
      </c>
      <c r="R38" t="s">
        <v>95</v>
      </c>
      <c r="BJ38" t="s">
        <v>92</v>
      </c>
      <c r="BK38" t="s">
        <v>92</v>
      </c>
      <c r="BL38" t="s">
        <v>92</v>
      </c>
    </row>
    <row r="39" spans="1:64" x14ac:dyDescent="0.2">
      <c r="A39" t="s">
        <v>33</v>
      </c>
      <c r="B39" t="s">
        <v>92</v>
      </c>
      <c r="C39" t="s">
        <v>95</v>
      </c>
      <c r="D39" t="s">
        <v>92</v>
      </c>
      <c r="F39" t="s">
        <v>95</v>
      </c>
      <c r="G39" t="s">
        <v>95</v>
      </c>
      <c r="J39" t="s">
        <v>95</v>
      </c>
      <c r="L39" t="s">
        <v>37</v>
      </c>
      <c r="M39" t="s">
        <v>37</v>
      </c>
      <c r="N39" t="s">
        <v>37</v>
      </c>
      <c r="O39" t="s">
        <v>37</v>
      </c>
      <c r="P39" t="s">
        <v>37</v>
      </c>
      <c r="R39" t="s">
        <v>95</v>
      </c>
      <c r="BJ39" t="s">
        <v>92</v>
      </c>
      <c r="BK39" t="s">
        <v>92</v>
      </c>
      <c r="BL39" t="s">
        <v>92</v>
      </c>
    </row>
    <row r="40" spans="1:64" x14ac:dyDescent="0.2">
      <c r="A40" t="s">
        <v>264</v>
      </c>
      <c r="B40" t="s">
        <v>92</v>
      </c>
      <c r="C40" t="s">
        <v>95</v>
      </c>
      <c r="D40" t="s">
        <v>92</v>
      </c>
      <c r="E40" t="s">
        <v>95</v>
      </c>
      <c r="F40" t="s">
        <v>95</v>
      </c>
      <c r="G40" t="s">
        <v>95</v>
      </c>
      <c r="J40" t="s">
        <v>95</v>
      </c>
      <c r="L40" t="s">
        <v>37</v>
      </c>
      <c r="M40" t="s">
        <v>37</v>
      </c>
      <c r="N40" t="s">
        <v>37</v>
      </c>
      <c r="O40" t="s">
        <v>37</v>
      </c>
      <c r="P40" t="s">
        <v>37</v>
      </c>
      <c r="Q40" t="s">
        <v>37</v>
      </c>
      <c r="R40" t="s">
        <v>95</v>
      </c>
      <c r="BJ40" t="s">
        <v>92</v>
      </c>
      <c r="BK40" t="s">
        <v>92</v>
      </c>
      <c r="BL40" t="s">
        <v>92</v>
      </c>
    </row>
    <row r="41" spans="1:64" x14ac:dyDescent="0.2">
      <c r="A41" t="s">
        <v>265</v>
      </c>
      <c r="B41" t="s">
        <v>92</v>
      </c>
      <c r="C41" t="s">
        <v>95</v>
      </c>
      <c r="D41" t="s">
        <v>92</v>
      </c>
      <c r="E41" t="s">
        <v>95</v>
      </c>
      <c r="F41" t="s">
        <v>95</v>
      </c>
      <c r="G41" t="s">
        <v>95</v>
      </c>
      <c r="J41" t="s">
        <v>95</v>
      </c>
      <c r="L41" t="s">
        <v>37</v>
      </c>
      <c r="M41" t="s">
        <v>37</v>
      </c>
      <c r="N41" t="s">
        <v>37</v>
      </c>
      <c r="O41" t="s">
        <v>37</v>
      </c>
      <c r="P41" t="s">
        <v>37</v>
      </c>
      <c r="Q41" t="s">
        <v>37</v>
      </c>
      <c r="R41" t="s">
        <v>95</v>
      </c>
      <c r="BJ41" t="s">
        <v>92</v>
      </c>
      <c r="BK41" t="s">
        <v>92</v>
      </c>
      <c r="BL41" t="s">
        <v>92</v>
      </c>
    </row>
    <row r="42" spans="1:64" x14ac:dyDescent="0.2">
      <c r="A42" t="s">
        <v>271</v>
      </c>
      <c r="B42" t="s">
        <v>92</v>
      </c>
      <c r="C42" t="s">
        <v>95</v>
      </c>
      <c r="D42" t="s">
        <v>92</v>
      </c>
      <c r="E42" t="s">
        <v>95</v>
      </c>
      <c r="F42" t="s">
        <v>95</v>
      </c>
      <c r="G42" t="s">
        <v>95</v>
      </c>
      <c r="J42" t="s">
        <v>95</v>
      </c>
      <c r="L42" t="s">
        <v>37</v>
      </c>
      <c r="M42" t="s">
        <v>37</v>
      </c>
      <c r="N42" t="s">
        <v>37</v>
      </c>
      <c r="O42" t="s">
        <v>37</v>
      </c>
      <c r="P42" t="s">
        <v>37</v>
      </c>
      <c r="Q42" t="s">
        <v>37</v>
      </c>
      <c r="R42" t="s">
        <v>95</v>
      </c>
      <c r="BJ42" t="s">
        <v>92</v>
      </c>
      <c r="BK42" t="s">
        <v>92</v>
      </c>
      <c r="BL42" t="s">
        <v>92</v>
      </c>
    </row>
    <row r="43" spans="1:64" x14ac:dyDescent="0.2">
      <c r="A43" t="s">
        <v>266</v>
      </c>
      <c r="B43" t="s">
        <v>92</v>
      </c>
      <c r="C43" t="s">
        <v>95</v>
      </c>
      <c r="D43" t="s">
        <v>92</v>
      </c>
      <c r="E43" t="s">
        <v>92</v>
      </c>
      <c r="F43" t="s">
        <v>95</v>
      </c>
      <c r="G43" t="s">
        <v>95</v>
      </c>
      <c r="L43" t="s">
        <v>37</v>
      </c>
      <c r="M43" t="s">
        <v>37</v>
      </c>
      <c r="N43" t="s">
        <v>37</v>
      </c>
      <c r="O43" t="s">
        <v>37</v>
      </c>
      <c r="P43" t="s">
        <v>37</v>
      </c>
      <c r="Q43" t="s">
        <v>37</v>
      </c>
      <c r="R43" t="s">
        <v>95</v>
      </c>
      <c r="BJ43" t="s">
        <v>92</v>
      </c>
      <c r="BK43" t="s">
        <v>92</v>
      </c>
      <c r="BL43" t="s">
        <v>92</v>
      </c>
    </row>
    <row r="44" spans="1:64" x14ac:dyDescent="0.2">
      <c r="A44" t="s">
        <v>354</v>
      </c>
      <c r="B44" t="s">
        <v>92</v>
      </c>
      <c r="C44" t="s">
        <v>95</v>
      </c>
      <c r="D44" t="s">
        <v>92</v>
      </c>
      <c r="I44" t="s">
        <v>92</v>
      </c>
      <c r="K44" t="s">
        <v>37</v>
      </c>
      <c r="M44" t="s">
        <v>37</v>
      </c>
      <c r="N44" t="s">
        <v>37</v>
      </c>
      <c r="O44" t="s">
        <v>37</v>
      </c>
      <c r="R44" t="s">
        <v>95</v>
      </c>
      <c r="BJ44" t="s">
        <v>92</v>
      </c>
      <c r="BK44" t="s">
        <v>92</v>
      </c>
      <c r="BL44" t="s">
        <v>92</v>
      </c>
    </row>
    <row r="45" spans="1:64" x14ac:dyDescent="0.2">
      <c r="A45" t="s">
        <v>355</v>
      </c>
      <c r="B45" t="s">
        <v>92</v>
      </c>
      <c r="C45" t="s">
        <v>95</v>
      </c>
      <c r="D45" t="s">
        <v>92</v>
      </c>
      <c r="I45" t="s">
        <v>92</v>
      </c>
      <c r="K45" t="s">
        <v>37</v>
      </c>
      <c r="M45" t="s">
        <v>37</v>
      </c>
      <c r="N45" t="s">
        <v>37</v>
      </c>
      <c r="O45" t="s">
        <v>37</v>
      </c>
      <c r="R45" t="s">
        <v>95</v>
      </c>
      <c r="BJ45" t="s">
        <v>92</v>
      </c>
      <c r="BK45" t="s">
        <v>92</v>
      </c>
      <c r="BL45" t="s">
        <v>92</v>
      </c>
    </row>
    <row r="46" spans="1:64" x14ac:dyDescent="0.2">
      <c r="A46" t="s">
        <v>356</v>
      </c>
      <c r="B46" t="s">
        <v>92</v>
      </c>
      <c r="C46" t="s">
        <v>95</v>
      </c>
      <c r="D46" t="s">
        <v>92</v>
      </c>
      <c r="I46" t="s">
        <v>92</v>
      </c>
      <c r="K46" t="s">
        <v>37</v>
      </c>
      <c r="M46" t="s">
        <v>37</v>
      </c>
      <c r="N46" t="s">
        <v>37</v>
      </c>
      <c r="O46" t="s">
        <v>37</v>
      </c>
      <c r="R46" t="s">
        <v>95</v>
      </c>
      <c r="BJ46" t="s">
        <v>92</v>
      </c>
      <c r="BK46" t="s">
        <v>92</v>
      </c>
      <c r="BL46" t="s">
        <v>92</v>
      </c>
    </row>
    <row r="47" spans="1:64" x14ac:dyDescent="0.2">
      <c r="A47" t="s">
        <v>384</v>
      </c>
      <c r="B47" t="s">
        <v>92</v>
      </c>
      <c r="C47" t="s">
        <v>95</v>
      </c>
      <c r="D47" t="s">
        <v>92</v>
      </c>
      <c r="I47" t="s">
        <v>92</v>
      </c>
      <c r="K47" t="s">
        <v>37</v>
      </c>
      <c r="M47" t="s">
        <v>37</v>
      </c>
      <c r="N47" t="s">
        <v>37</v>
      </c>
      <c r="O47" t="s">
        <v>37</v>
      </c>
      <c r="R47" t="s">
        <v>95</v>
      </c>
      <c r="BJ47" t="s">
        <v>92</v>
      </c>
      <c r="BK47" t="s">
        <v>92</v>
      </c>
      <c r="BL47" t="s">
        <v>92</v>
      </c>
    </row>
    <row r="48" spans="1:64" x14ac:dyDescent="0.2">
      <c r="A48" t="s">
        <v>385</v>
      </c>
      <c r="B48" t="s">
        <v>92</v>
      </c>
      <c r="C48" t="s">
        <v>95</v>
      </c>
      <c r="D48" t="s">
        <v>92</v>
      </c>
      <c r="I48" t="s">
        <v>92</v>
      </c>
      <c r="K48" t="s">
        <v>37</v>
      </c>
      <c r="M48" t="s">
        <v>37</v>
      </c>
      <c r="N48" t="s">
        <v>37</v>
      </c>
      <c r="O48" t="s">
        <v>37</v>
      </c>
      <c r="R48" t="s">
        <v>95</v>
      </c>
      <c r="BJ48" t="s">
        <v>92</v>
      </c>
      <c r="BK48" t="s">
        <v>92</v>
      </c>
      <c r="BL48" t="s">
        <v>92</v>
      </c>
    </row>
    <row r="49" spans="1:64" x14ac:dyDescent="0.2">
      <c r="A49" t="s">
        <v>386</v>
      </c>
      <c r="B49" t="s">
        <v>92</v>
      </c>
      <c r="C49" t="s">
        <v>95</v>
      </c>
      <c r="D49" t="s">
        <v>92</v>
      </c>
      <c r="I49" t="s">
        <v>92</v>
      </c>
      <c r="K49" t="s">
        <v>37</v>
      </c>
      <c r="M49" t="s">
        <v>37</v>
      </c>
      <c r="N49" t="s">
        <v>37</v>
      </c>
      <c r="O49" t="s">
        <v>37</v>
      </c>
      <c r="R49" t="s">
        <v>95</v>
      </c>
      <c r="BJ49" t="s">
        <v>92</v>
      </c>
      <c r="BK49" t="s">
        <v>92</v>
      </c>
      <c r="BL49" t="s">
        <v>92</v>
      </c>
    </row>
    <row r="50" spans="1:64" x14ac:dyDescent="0.2">
      <c r="A50" t="s">
        <v>345</v>
      </c>
      <c r="B50" t="s">
        <v>92</v>
      </c>
      <c r="C50" t="s">
        <v>95</v>
      </c>
      <c r="D50" t="s">
        <v>92</v>
      </c>
      <c r="I50" t="s">
        <v>92</v>
      </c>
      <c r="K50" t="s">
        <v>37</v>
      </c>
      <c r="M50" t="s">
        <v>37</v>
      </c>
      <c r="N50" t="s">
        <v>37</v>
      </c>
      <c r="O50" t="s">
        <v>37</v>
      </c>
      <c r="R50" t="s">
        <v>95</v>
      </c>
      <c r="BJ50" t="s">
        <v>92</v>
      </c>
      <c r="BK50" t="s">
        <v>92</v>
      </c>
      <c r="BL50" t="s">
        <v>92</v>
      </c>
    </row>
    <row r="51" spans="1:64" x14ac:dyDescent="0.2">
      <c r="A51" t="s">
        <v>346</v>
      </c>
      <c r="B51" t="s">
        <v>92</v>
      </c>
      <c r="C51" t="s">
        <v>95</v>
      </c>
      <c r="D51" t="s">
        <v>92</v>
      </c>
      <c r="I51" t="s">
        <v>92</v>
      </c>
      <c r="K51" t="s">
        <v>37</v>
      </c>
      <c r="M51" t="s">
        <v>37</v>
      </c>
      <c r="N51" t="s">
        <v>37</v>
      </c>
      <c r="O51" t="s">
        <v>37</v>
      </c>
      <c r="R51" t="s">
        <v>95</v>
      </c>
      <c r="BJ51" t="s">
        <v>92</v>
      </c>
      <c r="BK51" t="s">
        <v>92</v>
      </c>
      <c r="BL51" t="s">
        <v>92</v>
      </c>
    </row>
    <row r="52" spans="1:64" x14ac:dyDescent="0.2">
      <c r="A52" t="s">
        <v>347</v>
      </c>
      <c r="B52" t="s">
        <v>92</v>
      </c>
      <c r="C52" t="s">
        <v>95</v>
      </c>
      <c r="D52" t="s">
        <v>92</v>
      </c>
      <c r="I52" t="s">
        <v>92</v>
      </c>
      <c r="K52" t="s">
        <v>37</v>
      </c>
      <c r="M52" t="s">
        <v>37</v>
      </c>
      <c r="N52" t="s">
        <v>37</v>
      </c>
      <c r="O52" t="s">
        <v>37</v>
      </c>
      <c r="R52" t="s">
        <v>95</v>
      </c>
      <c r="BJ52" t="s">
        <v>92</v>
      </c>
      <c r="BK52" t="s">
        <v>92</v>
      </c>
      <c r="BL52" t="s">
        <v>92</v>
      </c>
    </row>
    <row r="53" spans="1:64" x14ac:dyDescent="0.2">
      <c r="A53" t="s">
        <v>383</v>
      </c>
      <c r="B53" t="s">
        <v>95</v>
      </c>
      <c r="C53" t="s">
        <v>95</v>
      </c>
      <c r="D53" t="s">
        <v>95</v>
      </c>
      <c r="E53" t="s">
        <v>95</v>
      </c>
      <c r="F53" t="s">
        <v>95</v>
      </c>
      <c r="G53" t="s">
        <v>95</v>
      </c>
      <c r="J53" t="s">
        <v>95</v>
      </c>
      <c r="L53" t="s">
        <v>37</v>
      </c>
      <c r="M53" t="s">
        <v>95</v>
      </c>
      <c r="N53" t="s">
        <v>37</v>
      </c>
      <c r="O53" t="s">
        <v>37</v>
      </c>
      <c r="P53" t="s">
        <v>95</v>
      </c>
      <c r="Q53" t="s">
        <v>95</v>
      </c>
      <c r="R53" t="s">
        <v>95</v>
      </c>
      <c r="BJ53" t="s">
        <v>92</v>
      </c>
      <c r="BK53" t="s">
        <v>92</v>
      </c>
      <c r="BL53" t="s">
        <v>92</v>
      </c>
    </row>
    <row r="54" spans="1:64" x14ac:dyDescent="0.2">
      <c r="A54" t="s">
        <v>344</v>
      </c>
      <c r="B54" t="s">
        <v>95</v>
      </c>
      <c r="C54" t="s">
        <v>95</v>
      </c>
      <c r="D54" t="s">
        <v>95</v>
      </c>
      <c r="E54" t="s">
        <v>95</v>
      </c>
      <c r="F54" t="s">
        <v>95</v>
      </c>
      <c r="G54" t="s">
        <v>95</v>
      </c>
      <c r="J54" t="s">
        <v>95</v>
      </c>
      <c r="L54" t="s">
        <v>37</v>
      </c>
      <c r="M54" t="s">
        <v>95</v>
      </c>
      <c r="N54" t="s">
        <v>37</v>
      </c>
      <c r="O54" t="s">
        <v>37</v>
      </c>
      <c r="P54" t="s">
        <v>95</v>
      </c>
      <c r="Q54" t="s">
        <v>95</v>
      </c>
      <c r="R54" t="s">
        <v>95</v>
      </c>
      <c r="BJ54" t="s">
        <v>92</v>
      </c>
      <c r="BK54" t="s">
        <v>92</v>
      </c>
      <c r="BL54" t="s">
        <v>92</v>
      </c>
    </row>
    <row r="55" spans="1:64" x14ac:dyDescent="0.2">
      <c r="A55" t="s">
        <v>413</v>
      </c>
      <c r="B55" t="s">
        <v>92</v>
      </c>
      <c r="C55" t="s">
        <v>95</v>
      </c>
      <c r="D55" t="s">
        <v>92</v>
      </c>
      <c r="I55" t="s">
        <v>92</v>
      </c>
      <c r="K55" t="s">
        <v>37</v>
      </c>
      <c r="M55" t="s">
        <v>37</v>
      </c>
      <c r="N55" t="s">
        <v>37</v>
      </c>
      <c r="O55" t="s">
        <v>37</v>
      </c>
      <c r="R55" t="s">
        <v>95</v>
      </c>
      <c r="BJ55" t="s">
        <v>92</v>
      </c>
      <c r="BK55" t="s">
        <v>92</v>
      </c>
      <c r="BL55" t="s">
        <v>92</v>
      </c>
    </row>
    <row r="56" spans="1:64" x14ac:dyDescent="0.2">
      <c r="A56" t="s">
        <v>414</v>
      </c>
      <c r="B56" t="s">
        <v>92</v>
      </c>
      <c r="C56" t="s">
        <v>95</v>
      </c>
      <c r="D56" t="s">
        <v>92</v>
      </c>
      <c r="I56" t="s">
        <v>92</v>
      </c>
      <c r="K56" t="s">
        <v>37</v>
      </c>
      <c r="M56" t="s">
        <v>37</v>
      </c>
      <c r="N56" t="s">
        <v>37</v>
      </c>
      <c r="O56" t="s">
        <v>37</v>
      </c>
      <c r="R56" t="s">
        <v>95</v>
      </c>
      <c r="BJ56" t="s">
        <v>92</v>
      </c>
      <c r="BK56" t="s">
        <v>92</v>
      </c>
      <c r="BL56" t="s">
        <v>92</v>
      </c>
    </row>
    <row r="57" spans="1:64" x14ac:dyDescent="0.2">
      <c r="A57" t="s">
        <v>415</v>
      </c>
      <c r="B57" t="s">
        <v>92</v>
      </c>
      <c r="C57" t="s">
        <v>95</v>
      </c>
      <c r="D57" t="s">
        <v>92</v>
      </c>
      <c r="I57" t="s">
        <v>92</v>
      </c>
      <c r="K57" t="s">
        <v>37</v>
      </c>
      <c r="M57" t="s">
        <v>37</v>
      </c>
      <c r="N57" t="s">
        <v>37</v>
      </c>
      <c r="O57" t="s">
        <v>37</v>
      </c>
      <c r="R57" t="s">
        <v>95</v>
      </c>
      <c r="BJ57" t="s">
        <v>92</v>
      </c>
      <c r="BK57" t="s">
        <v>92</v>
      </c>
      <c r="BL57" t="s">
        <v>92</v>
      </c>
    </row>
    <row r="58" spans="1:64" x14ac:dyDescent="0.2">
      <c r="A58" t="s">
        <v>395</v>
      </c>
      <c r="B58" t="s">
        <v>92</v>
      </c>
      <c r="C58" t="s">
        <v>95</v>
      </c>
      <c r="D58" t="s">
        <v>92</v>
      </c>
      <c r="I58" t="s">
        <v>92</v>
      </c>
      <c r="K58" t="s">
        <v>37</v>
      </c>
      <c r="M58" t="s">
        <v>37</v>
      </c>
      <c r="N58" t="s">
        <v>37</v>
      </c>
      <c r="O58" t="s">
        <v>37</v>
      </c>
      <c r="R58" t="s">
        <v>95</v>
      </c>
      <c r="BJ58" t="s">
        <v>92</v>
      </c>
      <c r="BK58" t="s">
        <v>92</v>
      </c>
      <c r="BL58" t="s">
        <v>92</v>
      </c>
    </row>
    <row r="59" spans="1:64" x14ac:dyDescent="0.2">
      <c r="A59" t="s">
        <v>396</v>
      </c>
      <c r="B59" t="s">
        <v>92</v>
      </c>
      <c r="C59" t="s">
        <v>95</v>
      </c>
      <c r="D59" t="s">
        <v>92</v>
      </c>
      <c r="I59" t="s">
        <v>92</v>
      </c>
      <c r="K59" t="s">
        <v>37</v>
      </c>
      <c r="M59" t="s">
        <v>37</v>
      </c>
      <c r="N59" t="s">
        <v>37</v>
      </c>
      <c r="O59" t="s">
        <v>37</v>
      </c>
      <c r="R59" t="s">
        <v>95</v>
      </c>
      <c r="BJ59" t="s">
        <v>92</v>
      </c>
      <c r="BK59" t="s">
        <v>92</v>
      </c>
      <c r="BL59" t="s">
        <v>92</v>
      </c>
    </row>
    <row r="60" spans="1:64" x14ac:dyDescent="0.2">
      <c r="A60" t="s">
        <v>397</v>
      </c>
      <c r="B60" t="s">
        <v>92</v>
      </c>
      <c r="C60" t="s">
        <v>95</v>
      </c>
      <c r="D60" t="s">
        <v>92</v>
      </c>
      <c r="I60" t="s">
        <v>92</v>
      </c>
      <c r="K60" t="s">
        <v>37</v>
      </c>
      <c r="M60" t="s">
        <v>37</v>
      </c>
      <c r="N60" t="s">
        <v>37</v>
      </c>
      <c r="O60" t="s">
        <v>37</v>
      </c>
      <c r="R60" t="s">
        <v>95</v>
      </c>
      <c r="BJ60" t="s">
        <v>92</v>
      </c>
      <c r="BK60" t="s">
        <v>92</v>
      </c>
      <c r="BL60" t="s">
        <v>92</v>
      </c>
    </row>
    <row r="61" spans="1:64" x14ac:dyDescent="0.2">
      <c r="A61" t="s">
        <v>404</v>
      </c>
      <c r="B61" t="s">
        <v>92</v>
      </c>
      <c r="C61" t="s">
        <v>95</v>
      </c>
      <c r="D61" t="s">
        <v>92</v>
      </c>
      <c r="I61" t="s">
        <v>92</v>
      </c>
      <c r="K61" t="s">
        <v>37</v>
      </c>
      <c r="M61" t="s">
        <v>37</v>
      </c>
      <c r="N61" t="s">
        <v>37</v>
      </c>
      <c r="O61" t="s">
        <v>37</v>
      </c>
      <c r="R61" t="s">
        <v>95</v>
      </c>
      <c r="BJ61" t="s">
        <v>92</v>
      </c>
      <c r="BK61" t="s">
        <v>92</v>
      </c>
      <c r="BL61" t="s">
        <v>92</v>
      </c>
    </row>
    <row r="62" spans="1:64" x14ac:dyDescent="0.2">
      <c r="A62" t="s">
        <v>405</v>
      </c>
      <c r="B62" t="s">
        <v>92</v>
      </c>
      <c r="C62" t="s">
        <v>95</v>
      </c>
      <c r="D62" t="s">
        <v>92</v>
      </c>
      <c r="I62" t="s">
        <v>92</v>
      </c>
      <c r="K62" t="s">
        <v>37</v>
      </c>
      <c r="M62" t="s">
        <v>37</v>
      </c>
      <c r="N62" t="s">
        <v>37</v>
      </c>
      <c r="O62" t="s">
        <v>37</v>
      </c>
      <c r="R62" t="s">
        <v>95</v>
      </c>
      <c r="BJ62" t="s">
        <v>92</v>
      </c>
      <c r="BK62" t="s">
        <v>92</v>
      </c>
      <c r="BL62" t="s">
        <v>92</v>
      </c>
    </row>
    <row r="63" spans="1:64" x14ac:dyDescent="0.2">
      <c r="A63" t="s">
        <v>406</v>
      </c>
      <c r="B63" t="s">
        <v>92</v>
      </c>
      <c r="C63" t="s">
        <v>95</v>
      </c>
      <c r="D63" t="s">
        <v>92</v>
      </c>
      <c r="I63" t="s">
        <v>92</v>
      </c>
      <c r="K63" t="s">
        <v>37</v>
      </c>
      <c r="M63" t="s">
        <v>37</v>
      </c>
      <c r="N63" t="s">
        <v>37</v>
      </c>
      <c r="O63" t="s">
        <v>37</v>
      </c>
      <c r="R63" t="s">
        <v>95</v>
      </c>
      <c r="BJ63" t="s">
        <v>92</v>
      </c>
      <c r="BK63" t="s">
        <v>92</v>
      </c>
      <c r="BL63" t="s">
        <v>92</v>
      </c>
    </row>
    <row r="64" spans="1:64" x14ac:dyDescent="0.2">
      <c r="A64" t="s">
        <v>267</v>
      </c>
      <c r="B64" t="s">
        <v>95</v>
      </c>
      <c r="C64" t="s">
        <v>95</v>
      </c>
      <c r="D64" t="s">
        <v>95</v>
      </c>
      <c r="E64" t="s">
        <v>95</v>
      </c>
      <c r="F64" t="s">
        <v>95</v>
      </c>
      <c r="G64" t="s">
        <v>95</v>
      </c>
      <c r="J64" t="s">
        <v>95</v>
      </c>
      <c r="L64" t="s">
        <v>37</v>
      </c>
      <c r="M64" t="s">
        <v>95</v>
      </c>
      <c r="N64" t="s">
        <v>37</v>
      </c>
      <c r="O64" t="s">
        <v>37</v>
      </c>
      <c r="P64" t="s">
        <v>95</v>
      </c>
      <c r="Q64" t="s">
        <v>95</v>
      </c>
      <c r="R64" t="s">
        <v>95</v>
      </c>
      <c r="BJ64" t="s">
        <v>92</v>
      </c>
      <c r="BK64" t="s">
        <v>92</v>
      </c>
      <c r="BL64" t="s">
        <v>92</v>
      </c>
    </row>
    <row r="65" spans="1:64" x14ac:dyDescent="0.2">
      <c r="A65" t="s">
        <v>268</v>
      </c>
      <c r="B65" t="s">
        <v>95</v>
      </c>
      <c r="C65" t="s">
        <v>95</v>
      </c>
      <c r="D65" t="s">
        <v>95</v>
      </c>
      <c r="E65" t="s">
        <v>95</v>
      </c>
      <c r="F65" t="s">
        <v>95</v>
      </c>
      <c r="G65" t="s">
        <v>95</v>
      </c>
      <c r="J65" t="s">
        <v>95</v>
      </c>
      <c r="L65" t="s">
        <v>37</v>
      </c>
      <c r="M65" t="s">
        <v>95</v>
      </c>
      <c r="N65" t="s">
        <v>37</v>
      </c>
      <c r="O65" t="s">
        <v>37</v>
      </c>
      <c r="P65" t="s">
        <v>95</v>
      </c>
      <c r="Q65" t="s">
        <v>95</v>
      </c>
      <c r="R65" t="s">
        <v>95</v>
      </c>
      <c r="BJ65" t="s">
        <v>92</v>
      </c>
      <c r="BK65" t="s">
        <v>92</v>
      </c>
      <c r="BL65" t="s">
        <v>92</v>
      </c>
    </row>
    <row r="66" spans="1:64" x14ac:dyDescent="0.2">
      <c r="A66" t="s">
        <v>269</v>
      </c>
      <c r="B66" t="s">
        <v>95</v>
      </c>
      <c r="C66" t="s">
        <v>95</v>
      </c>
      <c r="D66" t="s">
        <v>95</v>
      </c>
      <c r="E66" t="s">
        <v>95</v>
      </c>
      <c r="F66" t="s">
        <v>95</v>
      </c>
      <c r="G66" t="s">
        <v>95</v>
      </c>
      <c r="J66" t="s">
        <v>95</v>
      </c>
      <c r="L66" t="s">
        <v>37</v>
      </c>
      <c r="M66" t="s">
        <v>95</v>
      </c>
      <c r="N66" t="s">
        <v>37</v>
      </c>
      <c r="O66" t="s">
        <v>37</v>
      </c>
      <c r="P66" t="s">
        <v>95</v>
      </c>
      <c r="Q66" t="s">
        <v>95</v>
      </c>
      <c r="R66" t="s">
        <v>95</v>
      </c>
      <c r="BJ66" t="s">
        <v>92</v>
      </c>
      <c r="BK66" t="s">
        <v>92</v>
      </c>
      <c r="BL66" t="s">
        <v>92</v>
      </c>
    </row>
    <row r="67" spans="1:64" x14ac:dyDescent="0.2">
      <c r="A67" t="s">
        <v>270</v>
      </c>
      <c r="B67" t="s">
        <v>95</v>
      </c>
      <c r="C67" t="s">
        <v>95</v>
      </c>
      <c r="D67" t="s">
        <v>95</v>
      </c>
      <c r="E67" t="s">
        <v>95</v>
      </c>
      <c r="F67" t="s">
        <v>95</v>
      </c>
      <c r="G67" t="s">
        <v>95</v>
      </c>
      <c r="J67" t="s">
        <v>95</v>
      </c>
      <c r="L67" t="s">
        <v>37</v>
      </c>
      <c r="M67" t="s">
        <v>95</v>
      </c>
      <c r="N67" t="s">
        <v>37</v>
      </c>
      <c r="O67" t="s">
        <v>37</v>
      </c>
      <c r="P67" t="s">
        <v>95</v>
      </c>
      <c r="Q67" t="s">
        <v>95</v>
      </c>
      <c r="R67" t="s">
        <v>95</v>
      </c>
      <c r="BJ67" t="s">
        <v>92</v>
      </c>
      <c r="BK67" t="s">
        <v>92</v>
      </c>
      <c r="BL67" t="s">
        <v>92</v>
      </c>
    </row>
    <row r="69" spans="1:64" x14ac:dyDescent="0.2">
      <c r="A69" t="s">
        <v>73</v>
      </c>
    </row>
    <row r="70" spans="1:64" x14ac:dyDescent="0.2">
      <c r="B70" t="s">
        <v>15</v>
      </c>
      <c r="C70" t="s">
        <v>14</v>
      </c>
      <c r="D70" t="s">
        <v>16</v>
      </c>
      <c r="E70" t="s">
        <v>276</v>
      </c>
      <c r="F70" t="s">
        <v>19</v>
      </c>
      <c r="G70" t="s">
        <v>20</v>
      </c>
      <c r="H70" t="s">
        <v>22</v>
      </c>
      <c r="I70" t="s">
        <v>24</v>
      </c>
      <c r="J70" t="s">
        <v>52</v>
      </c>
      <c r="K70" t="s">
        <v>27</v>
      </c>
      <c r="L70" t="s">
        <v>28</v>
      </c>
      <c r="M70" t="s">
        <v>116</v>
      </c>
      <c r="N70" t="s">
        <v>103</v>
      </c>
      <c r="O70" t="s">
        <v>110</v>
      </c>
      <c r="P70" t="s">
        <v>142</v>
      </c>
      <c r="Q70" t="s">
        <v>143</v>
      </c>
      <c r="R70" t="s">
        <v>144</v>
      </c>
      <c r="S70" t="s">
        <v>66</v>
      </c>
      <c r="T70" t="s">
        <v>552</v>
      </c>
      <c r="U70" t="s">
        <v>67</v>
      </c>
      <c r="V70" t="s">
        <v>55</v>
      </c>
      <c r="W70" t="s">
        <v>56</v>
      </c>
      <c r="X70" t="s">
        <v>57</v>
      </c>
      <c r="Y70" t="s">
        <v>58</v>
      </c>
      <c r="Z70" t="s">
        <v>59</v>
      </c>
      <c r="AA70" t="s">
        <v>61</v>
      </c>
      <c r="AB70" t="s">
        <v>60</v>
      </c>
      <c r="AC70" t="s">
        <v>62</v>
      </c>
      <c r="AD70" t="s">
        <v>368</v>
      </c>
      <c r="AE70" t="s">
        <v>316</v>
      </c>
      <c r="AF70" t="s">
        <v>317</v>
      </c>
      <c r="AG70" t="s">
        <v>318</v>
      </c>
      <c r="AH70" t="s">
        <v>319</v>
      </c>
      <c r="AI70" t="s">
        <v>320</v>
      </c>
      <c r="AJ70" t="s">
        <v>321</v>
      </c>
      <c r="AK70" t="s">
        <v>322</v>
      </c>
      <c r="AL70" t="s">
        <v>323</v>
      </c>
      <c r="AM70" t="s">
        <v>324</v>
      </c>
      <c r="AN70" t="s">
        <v>325</v>
      </c>
      <c r="AO70" t="s">
        <v>55</v>
      </c>
      <c r="AP70" t="s">
        <v>326</v>
      </c>
      <c r="AQ70" t="s">
        <v>327</v>
      </c>
      <c r="AR70" t="s">
        <v>328</v>
      </c>
      <c r="AS70" t="s">
        <v>329</v>
      </c>
      <c r="AT70" t="s">
        <v>330</v>
      </c>
      <c r="AU70" t="s">
        <v>331</v>
      </c>
      <c r="AV70" t="s">
        <v>332</v>
      </c>
      <c r="AW70" t="s">
        <v>335</v>
      </c>
      <c r="AX70" t="s">
        <v>333</v>
      </c>
      <c r="AY70" t="s">
        <v>334</v>
      </c>
      <c r="AZ70" t="s">
        <v>336</v>
      </c>
      <c r="BA70" t="s">
        <v>337</v>
      </c>
      <c r="BB70" t="s">
        <v>338</v>
      </c>
      <c r="BC70" t="s">
        <v>339</v>
      </c>
      <c r="BD70" t="s">
        <v>297</v>
      </c>
      <c r="BE70" t="s">
        <v>299</v>
      </c>
      <c r="BF70" t="s">
        <v>298</v>
      </c>
      <c r="BG70" t="s">
        <v>342</v>
      </c>
      <c r="BH70" t="s">
        <v>340</v>
      </c>
      <c r="BI70" t="s">
        <v>341</v>
      </c>
      <c r="BJ70" t="s">
        <v>29</v>
      </c>
      <c r="BK70" t="s">
        <v>30</v>
      </c>
      <c r="BL70" t="s">
        <v>31</v>
      </c>
    </row>
    <row r="71" spans="1:64" x14ac:dyDescent="0.2">
      <c r="A71" t="s">
        <v>393</v>
      </c>
      <c r="B71" t="s">
        <v>93</v>
      </c>
      <c r="C71" t="s">
        <v>796</v>
      </c>
      <c r="D71" t="s">
        <v>93</v>
      </c>
      <c r="E71" t="s">
        <v>226</v>
      </c>
      <c r="F71" t="s">
        <v>798</v>
      </c>
      <c r="G71" t="s">
        <v>800</v>
      </c>
      <c r="J71" t="s">
        <v>366</v>
      </c>
      <c r="L71" t="s">
        <v>100</v>
      </c>
      <c r="M71" t="s">
        <v>117</v>
      </c>
      <c r="N71" t="s">
        <v>108</v>
      </c>
      <c r="O71" t="s">
        <v>111</v>
      </c>
      <c r="P71" t="s">
        <v>290</v>
      </c>
      <c r="Q71" t="s">
        <v>148</v>
      </c>
      <c r="R71" t="s">
        <v>146</v>
      </c>
      <c r="BJ71" t="s">
        <v>159</v>
      </c>
      <c r="BK71" t="s">
        <v>160</v>
      </c>
      <c r="BL71" t="s">
        <v>161</v>
      </c>
    </row>
    <row r="72" spans="1:64" x14ac:dyDescent="0.2">
      <c r="A72" t="s">
        <v>33</v>
      </c>
      <c r="B72" t="s">
        <v>93</v>
      </c>
      <c r="C72" t="s">
        <v>796</v>
      </c>
      <c r="D72" t="s">
        <v>93</v>
      </c>
      <c r="E72" s="13"/>
      <c r="F72" t="s">
        <v>798</v>
      </c>
      <c r="G72" t="s">
        <v>800</v>
      </c>
      <c r="J72" t="s">
        <v>186</v>
      </c>
      <c r="L72" t="s">
        <v>100</v>
      </c>
      <c r="M72" t="s">
        <v>117</v>
      </c>
      <c r="N72" t="s">
        <v>108</v>
      </c>
      <c r="O72" t="s">
        <v>111</v>
      </c>
      <c r="P72" t="s">
        <v>290</v>
      </c>
      <c r="R72" t="s">
        <v>146</v>
      </c>
      <c r="BJ72" t="s">
        <v>159</v>
      </c>
      <c r="BK72" t="s">
        <v>160</v>
      </c>
      <c r="BL72" t="s">
        <v>161</v>
      </c>
    </row>
    <row r="73" spans="1:64" x14ac:dyDescent="0.2">
      <c r="A73" t="s">
        <v>264</v>
      </c>
      <c r="B73" s="13" t="s">
        <v>248</v>
      </c>
      <c r="C73" t="s">
        <v>796</v>
      </c>
      <c r="D73" s="13" t="s">
        <v>248</v>
      </c>
      <c r="E73" t="s">
        <v>226</v>
      </c>
      <c r="F73" t="s">
        <v>798</v>
      </c>
      <c r="G73" t="s">
        <v>800</v>
      </c>
      <c r="J73" t="s">
        <v>186</v>
      </c>
      <c r="L73" t="s">
        <v>100</v>
      </c>
      <c r="M73" t="s">
        <v>250</v>
      </c>
      <c r="N73" t="s">
        <v>108</v>
      </c>
      <c r="O73" t="s">
        <v>111</v>
      </c>
      <c r="P73" t="s">
        <v>148</v>
      </c>
      <c r="Q73" t="s">
        <v>148</v>
      </c>
      <c r="R73" t="s">
        <v>146</v>
      </c>
      <c r="BJ73" t="s">
        <v>159</v>
      </c>
      <c r="BK73" t="s">
        <v>160</v>
      </c>
      <c r="BL73" t="s">
        <v>161</v>
      </c>
    </row>
    <row r="74" spans="1:64" x14ac:dyDescent="0.2">
      <c r="A74" t="s">
        <v>265</v>
      </c>
      <c r="B74" s="13" t="s">
        <v>248</v>
      </c>
      <c r="C74" t="s">
        <v>796</v>
      </c>
      <c r="D74" s="13" t="s">
        <v>248</v>
      </c>
      <c r="E74" t="s">
        <v>226</v>
      </c>
      <c r="F74" t="s">
        <v>798</v>
      </c>
      <c r="G74" t="s">
        <v>800</v>
      </c>
      <c r="J74" t="s">
        <v>186</v>
      </c>
      <c r="L74" t="s">
        <v>100</v>
      </c>
      <c r="M74" t="s">
        <v>250</v>
      </c>
      <c r="N74" t="s">
        <v>108</v>
      </c>
      <c r="O74" t="s">
        <v>111</v>
      </c>
      <c r="P74" t="s">
        <v>148</v>
      </c>
      <c r="Q74" t="s">
        <v>148</v>
      </c>
      <c r="R74" t="s">
        <v>146</v>
      </c>
      <c r="BJ74" t="s">
        <v>159</v>
      </c>
      <c r="BK74" t="s">
        <v>160</v>
      </c>
      <c r="BL74" t="s">
        <v>161</v>
      </c>
    </row>
    <row r="75" spans="1:64" x14ac:dyDescent="0.2">
      <c r="A75" t="s">
        <v>271</v>
      </c>
      <c r="B75" s="13" t="s">
        <v>248</v>
      </c>
      <c r="C75" t="s">
        <v>796</v>
      </c>
      <c r="D75" s="13" t="s">
        <v>248</v>
      </c>
      <c r="E75" t="s">
        <v>226</v>
      </c>
      <c r="F75" t="s">
        <v>798</v>
      </c>
      <c r="G75" t="s">
        <v>800</v>
      </c>
      <c r="J75" t="s">
        <v>186</v>
      </c>
      <c r="L75" t="s">
        <v>100</v>
      </c>
      <c r="M75" t="s">
        <v>250</v>
      </c>
      <c r="N75" t="s">
        <v>108</v>
      </c>
      <c r="O75" t="s">
        <v>111</v>
      </c>
      <c r="P75" t="s">
        <v>148</v>
      </c>
      <c r="Q75" t="s">
        <v>148</v>
      </c>
      <c r="R75" t="s">
        <v>146</v>
      </c>
      <c r="BJ75" t="s">
        <v>159</v>
      </c>
      <c r="BK75" t="s">
        <v>160</v>
      </c>
      <c r="BL75" t="s">
        <v>161</v>
      </c>
    </row>
    <row r="76" spans="1:64" x14ac:dyDescent="0.2">
      <c r="A76" t="s">
        <v>266</v>
      </c>
      <c r="B76" t="s">
        <v>101</v>
      </c>
      <c r="C76" t="s">
        <v>796</v>
      </c>
      <c r="D76" t="s">
        <v>101</v>
      </c>
      <c r="E76" t="s">
        <v>101</v>
      </c>
      <c r="F76" t="s">
        <v>798</v>
      </c>
      <c r="G76" t="s">
        <v>800</v>
      </c>
      <c r="L76" t="s">
        <v>122</v>
      </c>
      <c r="M76" t="s">
        <v>118</v>
      </c>
      <c r="N76" t="s">
        <v>106</v>
      </c>
      <c r="P76" t="s">
        <v>285</v>
      </c>
      <c r="Q76" t="s">
        <v>285</v>
      </c>
      <c r="R76" t="s">
        <v>146</v>
      </c>
      <c r="BJ76" t="s">
        <v>159</v>
      </c>
      <c r="BK76" t="s">
        <v>160</v>
      </c>
      <c r="BL76" t="s">
        <v>161</v>
      </c>
    </row>
    <row r="77" spans="1:64" x14ac:dyDescent="0.2">
      <c r="A77" t="s">
        <v>354</v>
      </c>
      <c r="B77" t="s">
        <v>113</v>
      </c>
      <c r="C77" t="s">
        <v>796</v>
      </c>
      <c r="D77" t="s">
        <v>113</v>
      </c>
      <c r="I77" t="s">
        <v>115</v>
      </c>
      <c r="K77" t="s">
        <v>365</v>
      </c>
      <c r="M77" t="s">
        <v>119</v>
      </c>
      <c r="N77" t="s">
        <v>108</v>
      </c>
      <c r="O77" t="s">
        <v>111</v>
      </c>
      <c r="R77" t="s">
        <v>146</v>
      </c>
      <c r="BJ77" t="s">
        <v>159</v>
      </c>
      <c r="BK77" t="s">
        <v>160</v>
      </c>
      <c r="BL77" t="s">
        <v>161</v>
      </c>
    </row>
    <row r="78" spans="1:64" x14ac:dyDescent="0.2">
      <c r="A78" t="s">
        <v>355</v>
      </c>
      <c r="B78" t="s">
        <v>113</v>
      </c>
      <c r="C78" t="s">
        <v>796</v>
      </c>
      <c r="D78" t="s">
        <v>113</v>
      </c>
      <c r="I78" t="s">
        <v>115</v>
      </c>
      <c r="K78" t="s">
        <v>365</v>
      </c>
      <c r="M78" t="s">
        <v>119</v>
      </c>
      <c r="N78" t="s">
        <v>108</v>
      </c>
      <c r="O78" t="s">
        <v>111</v>
      </c>
      <c r="R78" t="s">
        <v>146</v>
      </c>
      <c r="BJ78" t="s">
        <v>159</v>
      </c>
      <c r="BK78" t="s">
        <v>160</v>
      </c>
      <c r="BL78" t="s">
        <v>161</v>
      </c>
    </row>
    <row r="79" spans="1:64" x14ac:dyDescent="0.2">
      <c r="A79" t="s">
        <v>356</v>
      </c>
      <c r="B79" t="s">
        <v>113</v>
      </c>
      <c r="C79" t="s">
        <v>796</v>
      </c>
      <c r="D79" t="s">
        <v>113</v>
      </c>
      <c r="I79" t="s">
        <v>115</v>
      </c>
      <c r="K79" t="s">
        <v>365</v>
      </c>
      <c r="M79" t="s">
        <v>119</v>
      </c>
      <c r="N79" t="s">
        <v>108</v>
      </c>
      <c r="O79" t="s">
        <v>111</v>
      </c>
      <c r="R79" t="s">
        <v>146</v>
      </c>
      <c r="BJ79" t="s">
        <v>159</v>
      </c>
      <c r="BK79" t="s">
        <v>160</v>
      </c>
      <c r="BL79" t="s">
        <v>161</v>
      </c>
    </row>
    <row r="80" spans="1:64" x14ac:dyDescent="0.2">
      <c r="A80" t="s">
        <v>384</v>
      </c>
      <c r="B80" t="s">
        <v>113</v>
      </c>
      <c r="C80" t="s">
        <v>796</v>
      </c>
      <c r="D80" t="s">
        <v>113</v>
      </c>
      <c r="I80" t="s">
        <v>115</v>
      </c>
      <c r="K80" t="s">
        <v>365</v>
      </c>
      <c r="M80" t="s">
        <v>119</v>
      </c>
      <c r="N80" t="s">
        <v>108</v>
      </c>
      <c r="O80" t="s">
        <v>111</v>
      </c>
      <c r="R80" t="s">
        <v>146</v>
      </c>
      <c r="BJ80" t="s">
        <v>159</v>
      </c>
      <c r="BK80" t="s">
        <v>160</v>
      </c>
      <c r="BL80" t="s">
        <v>161</v>
      </c>
    </row>
    <row r="81" spans="1:64" x14ac:dyDescent="0.2">
      <c r="A81" t="s">
        <v>385</v>
      </c>
      <c r="B81" t="s">
        <v>113</v>
      </c>
      <c r="C81" t="s">
        <v>796</v>
      </c>
      <c r="D81" t="s">
        <v>113</v>
      </c>
      <c r="I81" t="s">
        <v>115</v>
      </c>
      <c r="K81" t="s">
        <v>365</v>
      </c>
      <c r="M81" t="s">
        <v>119</v>
      </c>
      <c r="N81" t="s">
        <v>108</v>
      </c>
      <c r="O81" t="s">
        <v>111</v>
      </c>
      <c r="R81" t="s">
        <v>146</v>
      </c>
      <c r="BJ81" t="s">
        <v>159</v>
      </c>
      <c r="BK81" t="s">
        <v>160</v>
      </c>
      <c r="BL81" t="s">
        <v>161</v>
      </c>
    </row>
    <row r="82" spans="1:64" x14ac:dyDescent="0.2">
      <c r="A82" t="s">
        <v>386</v>
      </c>
      <c r="B82" t="s">
        <v>113</v>
      </c>
      <c r="C82" t="s">
        <v>796</v>
      </c>
      <c r="D82" t="s">
        <v>113</v>
      </c>
      <c r="I82" t="s">
        <v>115</v>
      </c>
      <c r="K82" t="s">
        <v>365</v>
      </c>
      <c r="M82" t="s">
        <v>119</v>
      </c>
      <c r="N82" t="s">
        <v>108</v>
      </c>
      <c r="O82" t="s">
        <v>111</v>
      </c>
      <c r="R82" t="s">
        <v>146</v>
      </c>
      <c r="BJ82" t="s">
        <v>159</v>
      </c>
      <c r="BK82" t="s">
        <v>160</v>
      </c>
      <c r="BL82" t="s">
        <v>161</v>
      </c>
    </row>
    <row r="83" spans="1:64" x14ac:dyDescent="0.2">
      <c r="A83" t="s">
        <v>345</v>
      </c>
      <c r="B83" t="s">
        <v>113</v>
      </c>
      <c r="C83" t="s">
        <v>796</v>
      </c>
      <c r="D83" t="s">
        <v>113</v>
      </c>
      <c r="I83" t="s">
        <v>115</v>
      </c>
      <c r="K83" t="s">
        <v>558</v>
      </c>
      <c r="M83" t="s">
        <v>119</v>
      </c>
      <c r="N83" t="s">
        <v>108</v>
      </c>
      <c r="O83" t="s">
        <v>111</v>
      </c>
      <c r="R83" t="s">
        <v>146</v>
      </c>
      <c r="BJ83" t="s">
        <v>159</v>
      </c>
      <c r="BK83" t="s">
        <v>160</v>
      </c>
      <c r="BL83" t="s">
        <v>161</v>
      </c>
    </row>
    <row r="84" spans="1:64" x14ac:dyDescent="0.2">
      <c r="A84" t="s">
        <v>346</v>
      </c>
      <c r="B84" t="s">
        <v>113</v>
      </c>
      <c r="C84" t="s">
        <v>796</v>
      </c>
      <c r="D84" t="s">
        <v>113</v>
      </c>
      <c r="I84" t="s">
        <v>115</v>
      </c>
      <c r="K84" t="s">
        <v>558</v>
      </c>
      <c r="M84" t="s">
        <v>119</v>
      </c>
      <c r="N84" t="s">
        <v>108</v>
      </c>
      <c r="O84" t="s">
        <v>111</v>
      </c>
      <c r="R84" t="s">
        <v>146</v>
      </c>
      <c r="BJ84" t="s">
        <v>159</v>
      </c>
      <c r="BK84" t="s">
        <v>160</v>
      </c>
      <c r="BL84" t="s">
        <v>161</v>
      </c>
    </row>
    <row r="85" spans="1:64" x14ac:dyDescent="0.2">
      <c r="A85" t="s">
        <v>347</v>
      </c>
      <c r="B85" t="s">
        <v>113</v>
      </c>
      <c r="C85" t="s">
        <v>796</v>
      </c>
      <c r="D85" t="s">
        <v>113</v>
      </c>
      <c r="I85" t="s">
        <v>115</v>
      </c>
      <c r="K85" t="s">
        <v>558</v>
      </c>
      <c r="M85" t="s">
        <v>119</v>
      </c>
      <c r="N85" t="s">
        <v>108</v>
      </c>
      <c r="O85" t="s">
        <v>111</v>
      </c>
      <c r="R85" t="s">
        <v>146</v>
      </c>
      <c r="BJ85" t="s">
        <v>159</v>
      </c>
      <c r="BK85" t="s">
        <v>160</v>
      </c>
      <c r="BL85" t="s">
        <v>161</v>
      </c>
    </row>
    <row r="86" spans="1:64" x14ac:dyDescent="0.2">
      <c r="A86" t="s">
        <v>383</v>
      </c>
      <c r="B86" t="s">
        <v>121</v>
      </c>
      <c r="C86" t="s">
        <v>796</v>
      </c>
      <c r="D86" t="s">
        <v>121</v>
      </c>
      <c r="E86" t="s">
        <v>149</v>
      </c>
      <c r="F86" t="s">
        <v>798</v>
      </c>
      <c r="G86" t="s">
        <v>800</v>
      </c>
      <c r="J86" t="s">
        <v>187</v>
      </c>
      <c r="L86" t="s">
        <v>100</v>
      </c>
      <c r="M86" t="s">
        <v>120</v>
      </c>
      <c r="N86" t="s">
        <v>108</v>
      </c>
      <c r="O86" t="s">
        <v>111</v>
      </c>
      <c r="P86" t="s">
        <v>150</v>
      </c>
      <c r="Q86" t="s">
        <v>150</v>
      </c>
      <c r="R86" t="s">
        <v>146</v>
      </c>
      <c r="BJ86" t="s">
        <v>159</v>
      </c>
      <c r="BK86" t="s">
        <v>160</v>
      </c>
      <c r="BL86" t="s">
        <v>161</v>
      </c>
    </row>
    <row r="87" spans="1:64" x14ac:dyDescent="0.2">
      <c r="A87" t="s">
        <v>344</v>
      </c>
      <c r="B87" t="s">
        <v>121</v>
      </c>
      <c r="C87" t="s">
        <v>796</v>
      </c>
      <c r="D87" t="s">
        <v>121</v>
      </c>
      <c r="E87" t="s">
        <v>149</v>
      </c>
      <c r="F87" t="s">
        <v>798</v>
      </c>
      <c r="G87" t="s">
        <v>800</v>
      </c>
      <c r="J87" t="s">
        <v>187</v>
      </c>
      <c r="L87" t="s">
        <v>100</v>
      </c>
      <c r="M87" t="s">
        <v>120</v>
      </c>
      <c r="N87" t="s">
        <v>108</v>
      </c>
      <c r="O87" t="s">
        <v>111</v>
      </c>
      <c r="P87" t="s">
        <v>150</v>
      </c>
      <c r="Q87" t="s">
        <v>150</v>
      </c>
      <c r="R87" t="s">
        <v>146</v>
      </c>
      <c r="BJ87" t="s">
        <v>159</v>
      </c>
      <c r="BK87" t="s">
        <v>160</v>
      </c>
      <c r="BL87" t="s">
        <v>161</v>
      </c>
    </row>
    <row r="88" spans="1:64" x14ac:dyDescent="0.2">
      <c r="A88" t="s">
        <v>413</v>
      </c>
      <c r="B88" t="s">
        <v>113</v>
      </c>
      <c r="C88" t="s">
        <v>796</v>
      </c>
      <c r="D88" t="s">
        <v>113</v>
      </c>
      <c r="I88" t="s">
        <v>115</v>
      </c>
      <c r="K88" t="s">
        <v>558</v>
      </c>
      <c r="M88" t="s">
        <v>119</v>
      </c>
      <c r="N88" t="s">
        <v>108</v>
      </c>
      <c r="O88" t="s">
        <v>111</v>
      </c>
      <c r="R88" t="s">
        <v>146</v>
      </c>
      <c r="BJ88" t="s">
        <v>159</v>
      </c>
      <c r="BK88" t="s">
        <v>160</v>
      </c>
      <c r="BL88" t="s">
        <v>161</v>
      </c>
    </row>
    <row r="89" spans="1:64" x14ac:dyDescent="0.2">
      <c r="A89" t="s">
        <v>414</v>
      </c>
      <c r="B89" t="s">
        <v>113</v>
      </c>
      <c r="C89" t="s">
        <v>796</v>
      </c>
      <c r="D89" t="s">
        <v>113</v>
      </c>
      <c r="I89" t="s">
        <v>115</v>
      </c>
      <c r="K89" t="s">
        <v>558</v>
      </c>
      <c r="M89" t="s">
        <v>119</v>
      </c>
      <c r="N89" t="s">
        <v>108</v>
      </c>
      <c r="O89" t="s">
        <v>111</v>
      </c>
      <c r="R89" t="s">
        <v>146</v>
      </c>
      <c r="BJ89" t="s">
        <v>159</v>
      </c>
      <c r="BK89" t="s">
        <v>160</v>
      </c>
      <c r="BL89" t="s">
        <v>161</v>
      </c>
    </row>
    <row r="90" spans="1:64" x14ac:dyDescent="0.2">
      <c r="A90" t="s">
        <v>415</v>
      </c>
      <c r="B90" t="s">
        <v>113</v>
      </c>
      <c r="C90" t="s">
        <v>796</v>
      </c>
      <c r="D90" t="s">
        <v>113</v>
      </c>
      <c r="I90" t="s">
        <v>115</v>
      </c>
      <c r="K90" t="s">
        <v>558</v>
      </c>
      <c r="M90" t="s">
        <v>119</v>
      </c>
      <c r="N90" t="s">
        <v>108</v>
      </c>
      <c r="O90" t="s">
        <v>111</v>
      </c>
      <c r="R90" t="s">
        <v>146</v>
      </c>
      <c r="BJ90" t="s">
        <v>159</v>
      </c>
      <c r="BK90" t="s">
        <v>160</v>
      </c>
      <c r="BL90" t="s">
        <v>161</v>
      </c>
    </row>
    <row r="91" spans="1:64" x14ac:dyDescent="0.2">
      <c r="A91" t="s">
        <v>395</v>
      </c>
      <c r="B91" t="s">
        <v>113</v>
      </c>
      <c r="C91" t="s">
        <v>796</v>
      </c>
      <c r="D91" t="s">
        <v>113</v>
      </c>
      <c r="I91" t="s">
        <v>115</v>
      </c>
      <c r="K91" t="s">
        <v>558</v>
      </c>
      <c r="M91" t="s">
        <v>119</v>
      </c>
      <c r="N91" t="s">
        <v>108</v>
      </c>
      <c r="O91" t="s">
        <v>111</v>
      </c>
      <c r="R91" t="s">
        <v>146</v>
      </c>
      <c r="BJ91" t="s">
        <v>159</v>
      </c>
      <c r="BK91" t="s">
        <v>160</v>
      </c>
      <c r="BL91" t="s">
        <v>161</v>
      </c>
    </row>
    <row r="92" spans="1:64" x14ac:dyDescent="0.2">
      <c r="A92" t="s">
        <v>396</v>
      </c>
      <c r="B92" t="s">
        <v>113</v>
      </c>
      <c r="C92" t="s">
        <v>796</v>
      </c>
      <c r="D92" t="s">
        <v>113</v>
      </c>
      <c r="I92" t="s">
        <v>115</v>
      </c>
      <c r="K92" t="s">
        <v>558</v>
      </c>
      <c r="M92" t="s">
        <v>119</v>
      </c>
      <c r="N92" t="s">
        <v>108</v>
      </c>
      <c r="O92" t="s">
        <v>111</v>
      </c>
      <c r="R92" t="s">
        <v>146</v>
      </c>
      <c r="BJ92" t="s">
        <v>159</v>
      </c>
      <c r="BK92" t="s">
        <v>160</v>
      </c>
      <c r="BL92" t="s">
        <v>161</v>
      </c>
    </row>
    <row r="93" spans="1:64" x14ac:dyDescent="0.2">
      <c r="A93" t="s">
        <v>397</v>
      </c>
      <c r="B93" t="s">
        <v>113</v>
      </c>
      <c r="C93" t="s">
        <v>796</v>
      </c>
      <c r="D93" t="s">
        <v>113</v>
      </c>
      <c r="I93" t="s">
        <v>115</v>
      </c>
      <c r="K93" t="s">
        <v>558</v>
      </c>
      <c r="M93" t="s">
        <v>119</v>
      </c>
      <c r="N93" t="s">
        <v>108</v>
      </c>
      <c r="O93" t="s">
        <v>111</v>
      </c>
      <c r="R93" t="s">
        <v>146</v>
      </c>
      <c r="BJ93" t="s">
        <v>159</v>
      </c>
      <c r="BK93" t="s">
        <v>160</v>
      </c>
      <c r="BL93" t="s">
        <v>161</v>
      </c>
    </row>
    <row r="94" spans="1:64" x14ac:dyDescent="0.2">
      <c r="A94" t="s">
        <v>404</v>
      </c>
      <c r="B94" t="s">
        <v>113</v>
      </c>
      <c r="C94" t="s">
        <v>796</v>
      </c>
      <c r="D94" t="s">
        <v>113</v>
      </c>
      <c r="I94" t="s">
        <v>115</v>
      </c>
      <c r="K94" t="s">
        <v>558</v>
      </c>
      <c r="M94" t="s">
        <v>119</v>
      </c>
      <c r="N94" t="s">
        <v>108</v>
      </c>
      <c r="O94" t="s">
        <v>111</v>
      </c>
      <c r="R94" t="s">
        <v>146</v>
      </c>
      <c r="BJ94" t="s">
        <v>159</v>
      </c>
      <c r="BK94" t="s">
        <v>160</v>
      </c>
      <c r="BL94" t="s">
        <v>161</v>
      </c>
    </row>
    <row r="95" spans="1:64" x14ac:dyDescent="0.2">
      <c r="A95" t="s">
        <v>405</v>
      </c>
      <c r="B95" t="s">
        <v>113</v>
      </c>
      <c r="C95" t="s">
        <v>796</v>
      </c>
      <c r="D95" t="s">
        <v>113</v>
      </c>
      <c r="I95" t="s">
        <v>115</v>
      </c>
      <c r="K95" t="s">
        <v>558</v>
      </c>
      <c r="M95" t="s">
        <v>119</v>
      </c>
      <c r="N95" t="s">
        <v>108</v>
      </c>
      <c r="O95" t="s">
        <v>111</v>
      </c>
      <c r="R95" t="s">
        <v>146</v>
      </c>
      <c r="BJ95" t="s">
        <v>159</v>
      </c>
      <c r="BK95" t="s">
        <v>160</v>
      </c>
      <c r="BL95" t="s">
        <v>161</v>
      </c>
    </row>
    <row r="96" spans="1:64" x14ac:dyDescent="0.2">
      <c r="A96" t="s">
        <v>406</v>
      </c>
      <c r="B96" t="s">
        <v>113</v>
      </c>
      <c r="C96" t="s">
        <v>796</v>
      </c>
      <c r="D96" t="s">
        <v>113</v>
      </c>
      <c r="I96" t="s">
        <v>115</v>
      </c>
      <c r="K96" t="s">
        <v>558</v>
      </c>
      <c r="M96" t="s">
        <v>119</v>
      </c>
      <c r="N96" t="s">
        <v>108</v>
      </c>
      <c r="O96" t="s">
        <v>111</v>
      </c>
      <c r="R96" t="s">
        <v>146</v>
      </c>
      <c r="BJ96" t="s">
        <v>159</v>
      </c>
      <c r="BK96" t="s">
        <v>160</v>
      </c>
      <c r="BL96" t="s">
        <v>161</v>
      </c>
    </row>
    <row r="97" spans="1:64" x14ac:dyDescent="0.2">
      <c r="A97" t="s">
        <v>267</v>
      </c>
      <c r="B97" t="s">
        <v>121</v>
      </c>
      <c r="C97" t="s">
        <v>796</v>
      </c>
      <c r="D97" t="s">
        <v>121</v>
      </c>
      <c r="E97" t="s">
        <v>149</v>
      </c>
      <c r="F97" t="s">
        <v>798</v>
      </c>
      <c r="G97" t="s">
        <v>800</v>
      </c>
      <c r="J97" t="s">
        <v>187</v>
      </c>
      <c r="L97" t="s">
        <v>100</v>
      </c>
      <c r="M97" t="s">
        <v>120</v>
      </c>
      <c r="N97" t="s">
        <v>108</v>
      </c>
      <c r="O97" t="s">
        <v>111</v>
      </c>
      <c r="P97" t="s">
        <v>150</v>
      </c>
      <c r="Q97" t="s">
        <v>150</v>
      </c>
      <c r="R97" t="s">
        <v>146</v>
      </c>
      <c r="BJ97" t="s">
        <v>159</v>
      </c>
      <c r="BK97" t="s">
        <v>160</v>
      </c>
      <c r="BL97" t="s">
        <v>161</v>
      </c>
    </row>
    <row r="98" spans="1:64" x14ac:dyDescent="0.2">
      <c r="A98" t="s">
        <v>268</v>
      </c>
      <c r="B98" t="s">
        <v>121</v>
      </c>
      <c r="C98" t="s">
        <v>796</v>
      </c>
      <c r="D98" t="s">
        <v>121</v>
      </c>
      <c r="E98" t="s">
        <v>149</v>
      </c>
      <c r="F98" t="s">
        <v>798</v>
      </c>
      <c r="G98" t="s">
        <v>800</v>
      </c>
      <c r="J98" t="s">
        <v>187</v>
      </c>
      <c r="L98" t="s">
        <v>100</v>
      </c>
      <c r="M98" t="s">
        <v>120</v>
      </c>
      <c r="N98" t="s">
        <v>108</v>
      </c>
      <c r="O98" t="s">
        <v>111</v>
      </c>
      <c r="P98" t="s">
        <v>150</v>
      </c>
      <c r="Q98" t="s">
        <v>150</v>
      </c>
      <c r="R98" t="s">
        <v>146</v>
      </c>
      <c r="BJ98" t="s">
        <v>159</v>
      </c>
      <c r="BK98" t="s">
        <v>160</v>
      </c>
      <c r="BL98" t="s">
        <v>161</v>
      </c>
    </row>
    <row r="99" spans="1:64" x14ac:dyDescent="0.2">
      <c r="A99" t="s">
        <v>269</v>
      </c>
      <c r="B99" t="s">
        <v>121</v>
      </c>
      <c r="C99" t="s">
        <v>796</v>
      </c>
      <c r="D99" t="s">
        <v>121</v>
      </c>
      <c r="E99" t="s">
        <v>149</v>
      </c>
      <c r="F99" t="s">
        <v>798</v>
      </c>
      <c r="G99" t="s">
        <v>800</v>
      </c>
      <c r="J99" t="s">
        <v>187</v>
      </c>
      <c r="L99" t="s">
        <v>100</v>
      </c>
      <c r="M99" t="s">
        <v>120</v>
      </c>
      <c r="N99" t="s">
        <v>108</v>
      </c>
      <c r="O99" t="s">
        <v>111</v>
      </c>
      <c r="P99" t="s">
        <v>150</v>
      </c>
      <c r="Q99" t="s">
        <v>150</v>
      </c>
      <c r="R99" t="s">
        <v>146</v>
      </c>
      <c r="BJ99" t="s">
        <v>159</v>
      </c>
      <c r="BK99" t="s">
        <v>160</v>
      </c>
      <c r="BL99" t="s">
        <v>161</v>
      </c>
    </row>
    <row r="100" spans="1:64" x14ac:dyDescent="0.2">
      <c r="A100" t="s">
        <v>270</v>
      </c>
      <c r="B100" t="s">
        <v>121</v>
      </c>
      <c r="C100" t="s">
        <v>796</v>
      </c>
      <c r="D100" t="s">
        <v>121</v>
      </c>
      <c r="E100" t="s">
        <v>149</v>
      </c>
      <c r="F100" t="s">
        <v>798</v>
      </c>
      <c r="G100" t="s">
        <v>800</v>
      </c>
      <c r="J100" t="s">
        <v>187</v>
      </c>
      <c r="L100" t="s">
        <v>100</v>
      </c>
      <c r="M100" t="s">
        <v>120</v>
      </c>
      <c r="N100" t="s">
        <v>108</v>
      </c>
      <c r="O100" t="s">
        <v>111</v>
      </c>
      <c r="P100" t="s">
        <v>150</v>
      </c>
      <c r="Q100" t="s">
        <v>150</v>
      </c>
      <c r="R100" t="s">
        <v>146</v>
      </c>
      <c r="BJ100" t="s">
        <v>159</v>
      </c>
      <c r="BK100" t="s">
        <v>160</v>
      </c>
      <c r="BL100" t="s">
        <v>161</v>
      </c>
    </row>
    <row r="102" spans="1:64" x14ac:dyDescent="0.2">
      <c r="A102" t="s">
        <v>76</v>
      </c>
    </row>
    <row r="103" spans="1:64" x14ac:dyDescent="0.2">
      <c r="B103" t="s">
        <v>15</v>
      </c>
      <c r="C103" t="s">
        <v>14</v>
      </c>
      <c r="D103" t="s">
        <v>16</v>
      </c>
      <c r="E103" t="s">
        <v>276</v>
      </c>
      <c r="F103" t="s">
        <v>19</v>
      </c>
      <c r="G103" t="s">
        <v>20</v>
      </c>
      <c r="H103" t="s">
        <v>22</v>
      </c>
      <c r="I103" t="s">
        <v>24</v>
      </c>
      <c r="J103" t="s">
        <v>52</v>
      </c>
      <c r="K103" t="s">
        <v>27</v>
      </c>
      <c r="L103" t="s">
        <v>28</v>
      </c>
      <c r="M103" t="s">
        <v>116</v>
      </c>
      <c r="N103" t="s">
        <v>103</v>
      </c>
      <c r="O103" t="s">
        <v>110</v>
      </c>
      <c r="P103" t="s">
        <v>142</v>
      </c>
      <c r="Q103" t="s">
        <v>143</v>
      </c>
      <c r="R103" t="s">
        <v>144</v>
      </c>
      <c r="S103" t="s">
        <v>66</v>
      </c>
      <c r="T103" t="s">
        <v>552</v>
      </c>
      <c r="U103" t="s">
        <v>67</v>
      </c>
      <c r="V103" t="s">
        <v>55</v>
      </c>
      <c r="W103" t="s">
        <v>56</v>
      </c>
      <c r="X103" t="s">
        <v>57</v>
      </c>
      <c r="Y103" t="s">
        <v>58</v>
      </c>
      <c r="Z103" t="s">
        <v>59</v>
      </c>
      <c r="AA103" t="s">
        <v>61</v>
      </c>
      <c r="AB103" t="s">
        <v>60</v>
      </c>
      <c r="AC103" t="s">
        <v>62</v>
      </c>
      <c r="AD103" t="s">
        <v>368</v>
      </c>
      <c r="AE103" t="s">
        <v>316</v>
      </c>
      <c r="AF103" t="s">
        <v>317</v>
      </c>
      <c r="AG103" t="s">
        <v>318</v>
      </c>
      <c r="AH103" t="s">
        <v>319</v>
      </c>
      <c r="AI103" t="s">
        <v>320</v>
      </c>
      <c r="AJ103" t="s">
        <v>321</v>
      </c>
      <c r="AK103" t="s">
        <v>322</v>
      </c>
      <c r="AL103" t="s">
        <v>323</v>
      </c>
      <c r="AM103" t="s">
        <v>324</v>
      </c>
      <c r="AN103" t="s">
        <v>325</v>
      </c>
      <c r="AO103" t="s">
        <v>55</v>
      </c>
      <c r="AP103" t="s">
        <v>326</v>
      </c>
      <c r="AQ103" t="s">
        <v>327</v>
      </c>
      <c r="AR103" t="s">
        <v>328</v>
      </c>
      <c r="AS103" t="s">
        <v>329</v>
      </c>
      <c r="AT103" t="s">
        <v>330</v>
      </c>
      <c r="AU103" t="s">
        <v>331</v>
      </c>
      <c r="AV103" t="s">
        <v>332</v>
      </c>
      <c r="AW103" t="s">
        <v>335</v>
      </c>
      <c r="AX103" t="s">
        <v>333</v>
      </c>
      <c r="AY103" t="s">
        <v>334</v>
      </c>
      <c r="AZ103" t="s">
        <v>336</v>
      </c>
      <c r="BA103" t="s">
        <v>337</v>
      </c>
      <c r="BB103" t="s">
        <v>338</v>
      </c>
      <c r="BC103" t="s">
        <v>339</v>
      </c>
      <c r="BD103" t="s">
        <v>297</v>
      </c>
      <c r="BE103" t="s">
        <v>299</v>
      </c>
      <c r="BF103" t="s">
        <v>298</v>
      </c>
      <c r="BG103" t="s">
        <v>342</v>
      </c>
      <c r="BH103" t="s">
        <v>340</v>
      </c>
      <c r="BI103" t="s">
        <v>341</v>
      </c>
      <c r="BJ103" t="s">
        <v>29</v>
      </c>
      <c r="BK103" t="s">
        <v>30</v>
      </c>
      <c r="BL103" t="s">
        <v>31</v>
      </c>
    </row>
    <row r="104" spans="1:64" x14ac:dyDescent="0.2">
      <c r="A104" t="s">
        <v>393</v>
      </c>
      <c r="B104" t="s">
        <v>76</v>
      </c>
      <c r="C104" t="s">
        <v>77</v>
      </c>
      <c r="D104" t="s">
        <v>76</v>
      </c>
      <c r="E104" t="s">
        <v>77</v>
      </c>
      <c r="F104" t="s">
        <v>77</v>
      </c>
      <c r="G104" t="s">
        <v>77</v>
      </c>
      <c r="J104" t="s">
        <v>76</v>
      </c>
      <c r="K104" t="s">
        <v>77</v>
      </c>
      <c r="L104" t="s">
        <v>96</v>
      </c>
      <c r="M104" t="s">
        <v>76</v>
      </c>
      <c r="N104" t="s">
        <v>105</v>
      </c>
      <c r="O104" t="s">
        <v>105</v>
      </c>
      <c r="P104" t="s">
        <v>76</v>
      </c>
      <c r="Q104" t="s">
        <v>76</v>
      </c>
      <c r="R104" t="s">
        <v>77</v>
      </c>
      <c r="S104" t="s">
        <v>77</v>
      </c>
      <c r="T104" t="s">
        <v>77</v>
      </c>
      <c r="U104" t="s">
        <v>77</v>
      </c>
      <c r="V104" t="s">
        <v>77</v>
      </c>
      <c r="W104" t="s">
        <v>77</v>
      </c>
      <c r="X104" t="s">
        <v>77</v>
      </c>
      <c r="Y104" t="s">
        <v>77</v>
      </c>
      <c r="Z104" t="s">
        <v>77</v>
      </c>
      <c r="AA104" t="s">
        <v>77</v>
      </c>
      <c r="AB104" t="s">
        <v>77</v>
      </c>
      <c r="AC104" t="s">
        <v>77</v>
      </c>
      <c r="AD104" t="s">
        <v>77</v>
      </c>
      <c r="AE104" t="s">
        <v>77</v>
      </c>
      <c r="AF104" t="s">
        <v>77</v>
      </c>
      <c r="AG104" t="s">
        <v>77</v>
      </c>
      <c r="AH104" t="s">
        <v>77</v>
      </c>
      <c r="AI104" t="s">
        <v>77</v>
      </c>
      <c r="AJ104" t="s">
        <v>77</v>
      </c>
      <c r="AK104" t="s">
        <v>77</v>
      </c>
      <c r="AL104" t="s">
        <v>77</v>
      </c>
      <c r="AM104" t="s">
        <v>77</v>
      </c>
      <c r="AN104" t="s">
        <v>77</v>
      </c>
      <c r="AO104" t="s">
        <v>77</v>
      </c>
      <c r="AP104" t="s">
        <v>77</v>
      </c>
      <c r="AQ104" t="s">
        <v>77</v>
      </c>
      <c r="AR104" t="s">
        <v>77</v>
      </c>
      <c r="AS104" t="s">
        <v>77</v>
      </c>
      <c r="AT104" t="s">
        <v>77</v>
      </c>
      <c r="AU104" t="s">
        <v>77</v>
      </c>
      <c r="AV104" t="s">
        <v>77</v>
      </c>
      <c r="AW104" t="s">
        <v>77</v>
      </c>
      <c r="AX104" t="s">
        <v>77</v>
      </c>
      <c r="AY104" t="s">
        <v>77</v>
      </c>
      <c r="AZ104" t="s">
        <v>77</v>
      </c>
      <c r="BA104" t="s">
        <v>77</v>
      </c>
      <c r="BB104" t="s">
        <v>77</v>
      </c>
      <c r="BC104" t="s">
        <v>77</v>
      </c>
      <c r="BD104" t="s">
        <v>77</v>
      </c>
      <c r="BE104" t="s">
        <v>77</v>
      </c>
      <c r="BF104" t="s">
        <v>77</v>
      </c>
      <c r="BG104" t="s">
        <v>77</v>
      </c>
      <c r="BH104" t="s">
        <v>77</v>
      </c>
      <c r="BI104" t="s">
        <v>77</v>
      </c>
      <c r="BJ104" t="s">
        <v>77</v>
      </c>
      <c r="BK104" t="s">
        <v>77</v>
      </c>
      <c r="BL104" t="s">
        <v>77</v>
      </c>
    </row>
    <row r="105" spans="1:64" x14ac:dyDescent="0.2">
      <c r="A105" t="s">
        <v>33</v>
      </c>
      <c r="B105" t="s">
        <v>76</v>
      </c>
      <c r="C105" t="s">
        <v>77</v>
      </c>
      <c r="D105" t="s">
        <v>76</v>
      </c>
      <c r="F105" t="s">
        <v>77</v>
      </c>
      <c r="G105" t="s">
        <v>77</v>
      </c>
      <c r="J105" t="s">
        <v>76</v>
      </c>
      <c r="K105" t="s">
        <v>77</v>
      </c>
      <c r="L105" t="s">
        <v>96</v>
      </c>
      <c r="M105" t="s">
        <v>76</v>
      </c>
      <c r="N105" t="s">
        <v>105</v>
      </c>
      <c r="O105" t="s">
        <v>105</v>
      </c>
      <c r="P105" t="s">
        <v>76</v>
      </c>
      <c r="R105" t="s">
        <v>77</v>
      </c>
      <c r="S105" t="s">
        <v>77</v>
      </c>
      <c r="T105" t="s">
        <v>77</v>
      </c>
      <c r="U105" t="s">
        <v>77</v>
      </c>
      <c r="V105" t="s">
        <v>77</v>
      </c>
      <c r="W105" t="s">
        <v>77</v>
      </c>
      <c r="X105" t="s">
        <v>77</v>
      </c>
      <c r="Y105" t="s">
        <v>77</v>
      </c>
      <c r="Z105" t="s">
        <v>77</v>
      </c>
      <c r="AA105" t="s">
        <v>77</v>
      </c>
      <c r="AB105" t="s">
        <v>77</v>
      </c>
      <c r="AC105" t="s">
        <v>77</v>
      </c>
      <c r="AD105" t="s">
        <v>77</v>
      </c>
      <c r="AE105" t="s">
        <v>77</v>
      </c>
      <c r="AF105" t="s">
        <v>77</v>
      </c>
      <c r="AG105" t="s">
        <v>77</v>
      </c>
      <c r="AH105" t="s">
        <v>77</v>
      </c>
      <c r="AI105" t="s">
        <v>77</v>
      </c>
      <c r="AJ105" t="s">
        <v>77</v>
      </c>
      <c r="AK105" t="s">
        <v>77</v>
      </c>
      <c r="AL105" t="s">
        <v>77</v>
      </c>
      <c r="AM105" t="s">
        <v>77</v>
      </c>
      <c r="AN105" t="s">
        <v>77</v>
      </c>
      <c r="AO105" t="s">
        <v>77</v>
      </c>
      <c r="AP105" t="s">
        <v>77</v>
      </c>
      <c r="AQ105" t="s">
        <v>77</v>
      </c>
      <c r="AR105" t="s">
        <v>77</v>
      </c>
      <c r="AS105" t="s">
        <v>77</v>
      </c>
      <c r="AT105" t="s">
        <v>77</v>
      </c>
      <c r="AU105" t="s">
        <v>77</v>
      </c>
      <c r="AV105" t="s">
        <v>77</v>
      </c>
      <c r="AW105" t="s">
        <v>77</v>
      </c>
      <c r="AX105" t="s">
        <v>77</v>
      </c>
      <c r="AY105" t="s">
        <v>77</v>
      </c>
      <c r="AZ105" t="s">
        <v>77</v>
      </c>
      <c r="BA105" t="s">
        <v>77</v>
      </c>
      <c r="BB105" t="s">
        <v>77</v>
      </c>
      <c r="BC105" t="s">
        <v>77</v>
      </c>
      <c r="BD105" t="s">
        <v>77</v>
      </c>
      <c r="BE105" t="s">
        <v>77</v>
      </c>
      <c r="BF105" t="s">
        <v>77</v>
      </c>
      <c r="BG105" t="s">
        <v>77</v>
      </c>
      <c r="BH105" t="s">
        <v>77</v>
      </c>
      <c r="BI105" t="s">
        <v>77</v>
      </c>
      <c r="BJ105" t="s">
        <v>77</v>
      </c>
      <c r="BK105" t="s">
        <v>77</v>
      </c>
      <c r="BL105" t="s">
        <v>77</v>
      </c>
    </row>
    <row r="106" spans="1:64" x14ac:dyDescent="0.2">
      <c r="A106" t="s">
        <v>264</v>
      </c>
      <c r="B106" t="s">
        <v>76</v>
      </c>
      <c r="C106" t="s">
        <v>77</v>
      </c>
      <c r="D106" t="s">
        <v>76</v>
      </c>
      <c r="E106" t="s">
        <v>77</v>
      </c>
      <c r="F106" t="s">
        <v>77</v>
      </c>
      <c r="G106" t="s">
        <v>77</v>
      </c>
      <c r="J106" t="s">
        <v>76</v>
      </c>
      <c r="K106" t="s">
        <v>77</v>
      </c>
      <c r="L106" t="s">
        <v>96</v>
      </c>
      <c r="M106" t="s">
        <v>76</v>
      </c>
      <c r="N106" t="s">
        <v>105</v>
      </c>
      <c r="O106" t="s">
        <v>105</v>
      </c>
      <c r="P106" t="s">
        <v>76</v>
      </c>
      <c r="Q106" t="s">
        <v>76</v>
      </c>
      <c r="R106" t="s">
        <v>77</v>
      </c>
      <c r="S106" t="s">
        <v>77</v>
      </c>
      <c r="T106" t="s">
        <v>77</v>
      </c>
      <c r="U106" t="s">
        <v>77</v>
      </c>
      <c r="V106" t="s">
        <v>77</v>
      </c>
      <c r="W106" t="s">
        <v>77</v>
      </c>
      <c r="X106" t="s">
        <v>77</v>
      </c>
      <c r="Y106" t="s">
        <v>77</v>
      </c>
      <c r="Z106" t="s">
        <v>77</v>
      </c>
      <c r="AA106" t="s">
        <v>77</v>
      </c>
      <c r="AB106" t="s">
        <v>77</v>
      </c>
      <c r="AC106" t="s">
        <v>77</v>
      </c>
      <c r="AD106" t="s">
        <v>77</v>
      </c>
      <c r="AE106" t="s">
        <v>77</v>
      </c>
      <c r="AF106" t="s">
        <v>77</v>
      </c>
      <c r="AG106" t="s">
        <v>77</v>
      </c>
      <c r="AH106" t="s">
        <v>77</v>
      </c>
      <c r="AI106" t="s">
        <v>77</v>
      </c>
      <c r="AJ106" t="s">
        <v>77</v>
      </c>
      <c r="AK106" t="s">
        <v>77</v>
      </c>
      <c r="AL106" t="s">
        <v>77</v>
      </c>
      <c r="AM106" t="s">
        <v>77</v>
      </c>
      <c r="AN106" t="s">
        <v>77</v>
      </c>
      <c r="AO106" t="s">
        <v>77</v>
      </c>
      <c r="AP106" t="s">
        <v>77</v>
      </c>
      <c r="AQ106" t="s">
        <v>77</v>
      </c>
      <c r="AR106" t="s">
        <v>77</v>
      </c>
      <c r="AS106" t="s">
        <v>77</v>
      </c>
      <c r="AT106" t="s">
        <v>77</v>
      </c>
      <c r="AU106" t="s">
        <v>77</v>
      </c>
      <c r="AV106" t="s">
        <v>77</v>
      </c>
      <c r="AW106" t="s">
        <v>77</v>
      </c>
      <c r="AX106" t="s">
        <v>77</v>
      </c>
      <c r="AY106" t="s">
        <v>77</v>
      </c>
      <c r="AZ106" t="s">
        <v>77</v>
      </c>
      <c r="BA106" t="s">
        <v>77</v>
      </c>
      <c r="BB106" t="s">
        <v>77</v>
      </c>
      <c r="BC106" t="s">
        <v>77</v>
      </c>
      <c r="BD106" t="s">
        <v>77</v>
      </c>
      <c r="BE106" t="s">
        <v>77</v>
      </c>
      <c r="BF106" t="s">
        <v>77</v>
      </c>
      <c r="BG106" t="s">
        <v>77</v>
      </c>
      <c r="BH106" t="s">
        <v>77</v>
      </c>
      <c r="BI106" t="s">
        <v>77</v>
      </c>
      <c r="BJ106" t="s">
        <v>77</v>
      </c>
      <c r="BK106" t="s">
        <v>77</v>
      </c>
      <c r="BL106" t="s">
        <v>77</v>
      </c>
    </row>
    <row r="107" spans="1:64" x14ac:dyDescent="0.2">
      <c r="A107" t="s">
        <v>265</v>
      </c>
      <c r="B107" t="s">
        <v>76</v>
      </c>
      <c r="C107" t="s">
        <v>77</v>
      </c>
      <c r="D107" t="s">
        <v>76</v>
      </c>
      <c r="E107" t="s">
        <v>77</v>
      </c>
      <c r="F107" t="s">
        <v>77</v>
      </c>
      <c r="G107" t="s">
        <v>77</v>
      </c>
      <c r="J107" t="s">
        <v>76</v>
      </c>
      <c r="K107" t="s">
        <v>77</v>
      </c>
      <c r="L107" t="s">
        <v>96</v>
      </c>
      <c r="M107" t="s">
        <v>76</v>
      </c>
      <c r="N107" t="s">
        <v>105</v>
      </c>
      <c r="O107" t="s">
        <v>105</v>
      </c>
      <c r="P107" t="s">
        <v>76</v>
      </c>
      <c r="Q107" t="s">
        <v>76</v>
      </c>
      <c r="R107" t="s">
        <v>77</v>
      </c>
      <c r="S107" t="s">
        <v>77</v>
      </c>
      <c r="T107" t="s">
        <v>77</v>
      </c>
      <c r="U107" t="s">
        <v>77</v>
      </c>
      <c r="V107" t="s">
        <v>77</v>
      </c>
      <c r="W107" t="s">
        <v>77</v>
      </c>
      <c r="X107" t="s">
        <v>77</v>
      </c>
      <c r="Y107" t="s">
        <v>77</v>
      </c>
      <c r="Z107" t="s">
        <v>77</v>
      </c>
      <c r="AA107" t="s">
        <v>77</v>
      </c>
      <c r="AB107" t="s">
        <v>77</v>
      </c>
      <c r="AC107" t="s">
        <v>77</v>
      </c>
      <c r="AD107" t="s">
        <v>77</v>
      </c>
      <c r="AE107" t="s">
        <v>77</v>
      </c>
      <c r="AF107" t="s">
        <v>77</v>
      </c>
      <c r="AG107" t="s">
        <v>77</v>
      </c>
      <c r="AH107" t="s">
        <v>77</v>
      </c>
      <c r="AI107" t="s">
        <v>77</v>
      </c>
      <c r="AJ107" t="s">
        <v>77</v>
      </c>
      <c r="AK107" t="s">
        <v>77</v>
      </c>
      <c r="AL107" t="s">
        <v>77</v>
      </c>
      <c r="AM107" t="s">
        <v>77</v>
      </c>
      <c r="AN107" t="s">
        <v>77</v>
      </c>
      <c r="AO107" t="s">
        <v>77</v>
      </c>
      <c r="AP107" t="s">
        <v>77</v>
      </c>
      <c r="AQ107" t="s">
        <v>77</v>
      </c>
      <c r="AR107" t="s">
        <v>77</v>
      </c>
      <c r="AS107" t="s">
        <v>77</v>
      </c>
      <c r="AT107" t="s">
        <v>77</v>
      </c>
      <c r="AU107" t="s">
        <v>77</v>
      </c>
      <c r="AV107" t="s">
        <v>77</v>
      </c>
      <c r="AW107" t="s">
        <v>77</v>
      </c>
      <c r="AX107" t="s">
        <v>77</v>
      </c>
      <c r="AY107" t="s">
        <v>77</v>
      </c>
      <c r="AZ107" t="s">
        <v>77</v>
      </c>
      <c r="BA107" t="s">
        <v>77</v>
      </c>
      <c r="BB107" t="s">
        <v>77</v>
      </c>
      <c r="BC107" t="s">
        <v>77</v>
      </c>
      <c r="BD107" t="s">
        <v>77</v>
      </c>
      <c r="BE107" t="s">
        <v>77</v>
      </c>
      <c r="BF107" t="s">
        <v>77</v>
      </c>
      <c r="BG107" t="s">
        <v>77</v>
      </c>
      <c r="BH107" t="s">
        <v>77</v>
      </c>
      <c r="BI107" t="s">
        <v>77</v>
      </c>
      <c r="BJ107" t="s">
        <v>77</v>
      </c>
      <c r="BK107" t="s">
        <v>77</v>
      </c>
      <c r="BL107" t="s">
        <v>77</v>
      </c>
    </row>
    <row r="108" spans="1:64" x14ac:dyDescent="0.2">
      <c r="A108" t="s">
        <v>271</v>
      </c>
      <c r="B108" t="s">
        <v>76</v>
      </c>
      <c r="C108" t="s">
        <v>77</v>
      </c>
      <c r="D108" t="s">
        <v>76</v>
      </c>
      <c r="E108" t="s">
        <v>77</v>
      </c>
      <c r="F108" t="s">
        <v>77</v>
      </c>
      <c r="G108" t="s">
        <v>77</v>
      </c>
      <c r="J108" t="s">
        <v>76</v>
      </c>
      <c r="K108" t="s">
        <v>77</v>
      </c>
      <c r="L108" t="s">
        <v>96</v>
      </c>
      <c r="M108" t="s">
        <v>76</v>
      </c>
      <c r="N108" t="s">
        <v>105</v>
      </c>
      <c r="O108" t="s">
        <v>105</v>
      </c>
      <c r="P108" t="s">
        <v>76</v>
      </c>
      <c r="Q108" t="s">
        <v>76</v>
      </c>
      <c r="R108" t="s">
        <v>77</v>
      </c>
      <c r="S108" t="s">
        <v>77</v>
      </c>
      <c r="T108" t="s">
        <v>77</v>
      </c>
      <c r="U108" t="s">
        <v>77</v>
      </c>
      <c r="V108" t="s">
        <v>77</v>
      </c>
      <c r="W108" t="s">
        <v>77</v>
      </c>
      <c r="X108" t="s">
        <v>77</v>
      </c>
      <c r="Y108" t="s">
        <v>77</v>
      </c>
      <c r="Z108" t="s">
        <v>77</v>
      </c>
      <c r="AA108" t="s">
        <v>77</v>
      </c>
      <c r="AB108" t="s">
        <v>77</v>
      </c>
      <c r="AC108" t="s">
        <v>77</v>
      </c>
      <c r="AD108" t="s">
        <v>77</v>
      </c>
      <c r="AE108" t="s">
        <v>77</v>
      </c>
      <c r="AF108" t="s">
        <v>77</v>
      </c>
      <c r="AG108" t="s">
        <v>77</v>
      </c>
      <c r="AH108" t="s">
        <v>77</v>
      </c>
      <c r="AI108" t="s">
        <v>77</v>
      </c>
      <c r="AJ108" t="s">
        <v>77</v>
      </c>
      <c r="AK108" t="s">
        <v>77</v>
      </c>
      <c r="AL108" t="s">
        <v>77</v>
      </c>
      <c r="AM108" t="s">
        <v>77</v>
      </c>
      <c r="AN108" t="s">
        <v>77</v>
      </c>
      <c r="AO108" t="s">
        <v>77</v>
      </c>
      <c r="AP108" t="s">
        <v>77</v>
      </c>
      <c r="AQ108" t="s">
        <v>77</v>
      </c>
      <c r="AR108" t="s">
        <v>77</v>
      </c>
      <c r="AS108" t="s">
        <v>77</v>
      </c>
      <c r="AT108" t="s">
        <v>77</v>
      </c>
      <c r="AU108" t="s">
        <v>77</v>
      </c>
      <c r="AV108" t="s">
        <v>77</v>
      </c>
      <c r="AW108" t="s">
        <v>77</v>
      </c>
      <c r="AX108" t="s">
        <v>77</v>
      </c>
      <c r="AY108" t="s">
        <v>77</v>
      </c>
      <c r="AZ108" t="s">
        <v>77</v>
      </c>
      <c r="BA108" t="s">
        <v>77</v>
      </c>
      <c r="BB108" t="s">
        <v>77</v>
      </c>
      <c r="BC108" t="s">
        <v>77</v>
      </c>
      <c r="BD108" t="s">
        <v>77</v>
      </c>
      <c r="BE108" t="s">
        <v>77</v>
      </c>
      <c r="BF108" t="s">
        <v>77</v>
      </c>
      <c r="BG108" t="s">
        <v>77</v>
      </c>
      <c r="BH108" t="s">
        <v>77</v>
      </c>
      <c r="BI108" t="s">
        <v>77</v>
      </c>
      <c r="BJ108" t="s">
        <v>77</v>
      </c>
      <c r="BK108" t="s">
        <v>77</v>
      </c>
      <c r="BL108" t="s">
        <v>77</v>
      </c>
    </row>
    <row r="109" spans="1:64" x14ac:dyDescent="0.2">
      <c r="A109" t="s">
        <v>266</v>
      </c>
      <c r="B109" t="s">
        <v>76</v>
      </c>
      <c r="C109" t="s">
        <v>77</v>
      </c>
      <c r="D109" t="s">
        <v>76</v>
      </c>
      <c r="E109" t="s">
        <v>76</v>
      </c>
      <c r="F109" t="s">
        <v>77</v>
      </c>
      <c r="G109" t="s">
        <v>77</v>
      </c>
      <c r="K109" t="s">
        <v>77</v>
      </c>
      <c r="L109" t="s">
        <v>96</v>
      </c>
      <c r="M109" t="s">
        <v>76</v>
      </c>
      <c r="N109" t="s">
        <v>105</v>
      </c>
      <c r="P109" t="s">
        <v>76</v>
      </c>
      <c r="Q109" t="s">
        <v>76</v>
      </c>
      <c r="R109" t="s">
        <v>77</v>
      </c>
      <c r="S109" t="s">
        <v>77</v>
      </c>
      <c r="T109" t="s">
        <v>77</v>
      </c>
      <c r="U109" t="s">
        <v>77</v>
      </c>
      <c r="V109" t="s">
        <v>77</v>
      </c>
      <c r="W109" t="s">
        <v>77</v>
      </c>
      <c r="X109" t="s">
        <v>77</v>
      </c>
      <c r="Y109" t="s">
        <v>77</v>
      </c>
      <c r="Z109" t="s">
        <v>77</v>
      </c>
      <c r="AA109" t="s">
        <v>77</v>
      </c>
      <c r="AB109" t="s">
        <v>77</v>
      </c>
      <c r="AC109" t="s">
        <v>77</v>
      </c>
      <c r="AD109" t="s">
        <v>77</v>
      </c>
      <c r="AE109" t="s">
        <v>77</v>
      </c>
      <c r="AF109" t="s">
        <v>77</v>
      </c>
      <c r="AG109" t="s">
        <v>77</v>
      </c>
      <c r="AH109" t="s">
        <v>77</v>
      </c>
      <c r="AI109" t="s">
        <v>77</v>
      </c>
      <c r="AJ109" t="s">
        <v>77</v>
      </c>
      <c r="AK109" t="s">
        <v>77</v>
      </c>
      <c r="AL109" t="s">
        <v>77</v>
      </c>
      <c r="AM109" t="s">
        <v>77</v>
      </c>
      <c r="AN109" t="s">
        <v>77</v>
      </c>
      <c r="AO109" t="s">
        <v>77</v>
      </c>
      <c r="AP109" t="s">
        <v>77</v>
      </c>
      <c r="AQ109" t="s">
        <v>77</v>
      </c>
      <c r="AR109" t="s">
        <v>77</v>
      </c>
      <c r="AS109" t="s">
        <v>77</v>
      </c>
      <c r="AT109" t="s">
        <v>77</v>
      </c>
      <c r="AU109" t="s">
        <v>77</v>
      </c>
      <c r="AV109" t="s">
        <v>77</v>
      </c>
      <c r="AW109" t="s">
        <v>77</v>
      </c>
      <c r="AX109" t="s">
        <v>77</v>
      </c>
      <c r="AY109" t="s">
        <v>77</v>
      </c>
      <c r="AZ109" t="s">
        <v>77</v>
      </c>
      <c r="BA109" t="s">
        <v>77</v>
      </c>
      <c r="BB109" t="s">
        <v>77</v>
      </c>
      <c r="BC109" t="s">
        <v>77</v>
      </c>
      <c r="BD109" t="s">
        <v>77</v>
      </c>
      <c r="BE109" t="s">
        <v>77</v>
      </c>
      <c r="BF109" t="s">
        <v>77</v>
      </c>
      <c r="BG109" t="s">
        <v>77</v>
      </c>
      <c r="BH109" t="s">
        <v>77</v>
      </c>
      <c r="BI109" t="s">
        <v>77</v>
      </c>
      <c r="BJ109" t="s">
        <v>77</v>
      </c>
      <c r="BK109" t="s">
        <v>77</v>
      </c>
      <c r="BL109" t="s">
        <v>77</v>
      </c>
    </row>
    <row r="110" spans="1:64" x14ac:dyDescent="0.2">
      <c r="A110" t="s">
        <v>354</v>
      </c>
      <c r="B110" t="s">
        <v>76</v>
      </c>
      <c r="C110" t="s">
        <v>77</v>
      </c>
      <c r="D110" t="s">
        <v>76</v>
      </c>
      <c r="I110" t="s">
        <v>77</v>
      </c>
      <c r="K110" t="s">
        <v>77</v>
      </c>
      <c r="L110" t="s">
        <v>96</v>
      </c>
      <c r="M110" t="s">
        <v>76</v>
      </c>
      <c r="N110" t="s">
        <v>105</v>
      </c>
      <c r="O110" t="s">
        <v>105</v>
      </c>
      <c r="R110" t="s">
        <v>77</v>
      </c>
      <c r="S110" t="s">
        <v>77</v>
      </c>
      <c r="T110" t="s">
        <v>77</v>
      </c>
      <c r="U110" t="s">
        <v>77</v>
      </c>
      <c r="V110" t="s">
        <v>77</v>
      </c>
      <c r="W110" t="s">
        <v>77</v>
      </c>
      <c r="X110" t="s">
        <v>77</v>
      </c>
      <c r="Y110" t="s">
        <v>77</v>
      </c>
      <c r="Z110" t="s">
        <v>77</v>
      </c>
      <c r="AA110" t="s">
        <v>77</v>
      </c>
      <c r="AB110" t="s">
        <v>77</v>
      </c>
      <c r="AC110" t="s">
        <v>77</v>
      </c>
      <c r="AD110" t="s">
        <v>77</v>
      </c>
      <c r="AE110" t="s">
        <v>77</v>
      </c>
      <c r="AF110" t="s">
        <v>77</v>
      </c>
      <c r="AG110" t="s">
        <v>77</v>
      </c>
      <c r="AH110" t="s">
        <v>77</v>
      </c>
      <c r="AI110" t="s">
        <v>77</v>
      </c>
      <c r="AJ110" t="s">
        <v>77</v>
      </c>
      <c r="AK110" t="s">
        <v>77</v>
      </c>
      <c r="AL110" t="s">
        <v>77</v>
      </c>
      <c r="AM110" t="s">
        <v>77</v>
      </c>
      <c r="AN110" t="s">
        <v>77</v>
      </c>
      <c r="AO110" t="s">
        <v>77</v>
      </c>
      <c r="AP110" t="s">
        <v>77</v>
      </c>
      <c r="AQ110" t="s">
        <v>77</v>
      </c>
      <c r="AR110" t="s">
        <v>77</v>
      </c>
      <c r="AS110" t="s">
        <v>77</v>
      </c>
      <c r="AT110" t="s">
        <v>77</v>
      </c>
      <c r="AU110" t="s">
        <v>77</v>
      </c>
      <c r="AV110" t="s">
        <v>77</v>
      </c>
      <c r="AW110" t="s">
        <v>77</v>
      </c>
      <c r="AX110" t="s">
        <v>77</v>
      </c>
      <c r="AY110" t="s">
        <v>77</v>
      </c>
      <c r="AZ110" t="s">
        <v>77</v>
      </c>
      <c r="BA110" t="s">
        <v>77</v>
      </c>
      <c r="BB110" t="s">
        <v>77</v>
      </c>
      <c r="BC110" t="s">
        <v>77</v>
      </c>
      <c r="BD110" t="s">
        <v>77</v>
      </c>
      <c r="BE110" t="s">
        <v>77</v>
      </c>
      <c r="BF110" t="s">
        <v>77</v>
      </c>
      <c r="BG110" t="s">
        <v>77</v>
      </c>
      <c r="BH110" t="s">
        <v>77</v>
      </c>
      <c r="BI110" t="s">
        <v>77</v>
      </c>
      <c r="BJ110" t="s">
        <v>77</v>
      </c>
      <c r="BK110" t="s">
        <v>77</v>
      </c>
      <c r="BL110" t="s">
        <v>77</v>
      </c>
    </row>
    <row r="111" spans="1:64" x14ac:dyDescent="0.2">
      <c r="A111" t="s">
        <v>355</v>
      </c>
      <c r="B111" t="s">
        <v>76</v>
      </c>
      <c r="C111" t="s">
        <v>77</v>
      </c>
      <c r="D111" t="s">
        <v>76</v>
      </c>
      <c r="I111" t="s">
        <v>77</v>
      </c>
      <c r="K111" t="s">
        <v>77</v>
      </c>
      <c r="L111" t="s">
        <v>96</v>
      </c>
      <c r="M111" t="s">
        <v>76</v>
      </c>
      <c r="N111" t="s">
        <v>105</v>
      </c>
      <c r="O111" t="s">
        <v>105</v>
      </c>
      <c r="R111" t="s">
        <v>77</v>
      </c>
      <c r="S111" t="s">
        <v>77</v>
      </c>
      <c r="T111" t="s">
        <v>77</v>
      </c>
      <c r="U111" t="s">
        <v>77</v>
      </c>
      <c r="V111" t="s">
        <v>77</v>
      </c>
      <c r="W111" t="s">
        <v>77</v>
      </c>
      <c r="X111" t="s">
        <v>77</v>
      </c>
      <c r="Y111" t="s">
        <v>77</v>
      </c>
      <c r="Z111" t="s">
        <v>77</v>
      </c>
      <c r="AA111" t="s">
        <v>77</v>
      </c>
      <c r="AB111" t="s">
        <v>77</v>
      </c>
      <c r="AC111" t="s">
        <v>77</v>
      </c>
      <c r="AD111" t="s">
        <v>77</v>
      </c>
      <c r="AE111" t="s">
        <v>77</v>
      </c>
      <c r="AF111" t="s">
        <v>77</v>
      </c>
      <c r="AG111" t="s">
        <v>77</v>
      </c>
      <c r="AH111" t="s">
        <v>77</v>
      </c>
      <c r="AI111" t="s">
        <v>77</v>
      </c>
      <c r="AJ111" t="s">
        <v>77</v>
      </c>
      <c r="AK111" t="s">
        <v>77</v>
      </c>
      <c r="AL111" t="s">
        <v>77</v>
      </c>
      <c r="AM111" t="s">
        <v>77</v>
      </c>
      <c r="AN111" t="s">
        <v>77</v>
      </c>
      <c r="AO111" t="s">
        <v>77</v>
      </c>
      <c r="AP111" t="s">
        <v>77</v>
      </c>
      <c r="AQ111" t="s">
        <v>77</v>
      </c>
      <c r="AR111" t="s">
        <v>77</v>
      </c>
      <c r="AS111" t="s">
        <v>77</v>
      </c>
      <c r="AT111" t="s">
        <v>77</v>
      </c>
      <c r="AU111" t="s">
        <v>77</v>
      </c>
      <c r="AV111" t="s">
        <v>77</v>
      </c>
      <c r="AW111" t="s">
        <v>77</v>
      </c>
      <c r="AX111" t="s">
        <v>77</v>
      </c>
      <c r="AY111" t="s">
        <v>77</v>
      </c>
      <c r="AZ111" t="s">
        <v>77</v>
      </c>
      <c r="BA111" t="s">
        <v>77</v>
      </c>
      <c r="BB111" t="s">
        <v>77</v>
      </c>
      <c r="BC111" t="s">
        <v>77</v>
      </c>
      <c r="BD111" t="s">
        <v>77</v>
      </c>
      <c r="BE111" t="s">
        <v>77</v>
      </c>
      <c r="BF111" t="s">
        <v>77</v>
      </c>
      <c r="BG111" t="s">
        <v>77</v>
      </c>
      <c r="BH111" t="s">
        <v>77</v>
      </c>
      <c r="BI111" t="s">
        <v>77</v>
      </c>
      <c r="BJ111" t="s">
        <v>77</v>
      </c>
      <c r="BK111" t="s">
        <v>77</v>
      </c>
      <c r="BL111" t="s">
        <v>77</v>
      </c>
    </row>
    <row r="112" spans="1:64" x14ac:dyDescent="0.2">
      <c r="A112" t="s">
        <v>356</v>
      </c>
      <c r="B112" t="s">
        <v>76</v>
      </c>
      <c r="C112" t="s">
        <v>77</v>
      </c>
      <c r="D112" t="s">
        <v>76</v>
      </c>
      <c r="I112" t="s">
        <v>77</v>
      </c>
      <c r="K112" t="s">
        <v>77</v>
      </c>
      <c r="L112" t="s">
        <v>96</v>
      </c>
      <c r="M112" t="s">
        <v>76</v>
      </c>
      <c r="N112" t="s">
        <v>105</v>
      </c>
      <c r="O112" t="s">
        <v>105</v>
      </c>
      <c r="R112" t="s">
        <v>77</v>
      </c>
      <c r="S112" t="s">
        <v>77</v>
      </c>
      <c r="T112" t="s">
        <v>77</v>
      </c>
      <c r="U112" t="s">
        <v>77</v>
      </c>
      <c r="V112" t="s">
        <v>77</v>
      </c>
      <c r="W112" t="s">
        <v>77</v>
      </c>
      <c r="X112" t="s">
        <v>77</v>
      </c>
      <c r="Y112" t="s">
        <v>77</v>
      </c>
      <c r="Z112" t="s">
        <v>77</v>
      </c>
      <c r="AA112" t="s">
        <v>77</v>
      </c>
      <c r="AB112" t="s">
        <v>77</v>
      </c>
      <c r="AC112" t="s">
        <v>77</v>
      </c>
      <c r="AD112" t="s">
        <v>77</v>
      </c>
      <c r="AE112" t="s">
        <v>77</v>
      </c>
      <c r="AF112" t="s">
        <v>77</v>
      </c>
      <c r="AG112" t="s">
        <v>77</v>
      </c>
      <c r="AH112" t="s">
        <v>77</v>
      </c>
      <c r="AI112" t="s">
        <v>77</v>
      </c>
      <c r="AJ112" t="s">
        <v>77</v>
      </c>
      <c r="AK112" t="s">
        <v>77</v>
      </c>
      <c r="AL112" t="s">
        <v>77</v>
      </c>
      <c r="AM112" t="s">
        <v>77</v>
      </c>
      <c r="AN112" t="s">
        <v>77</v>
      </c>
      <c r="AO112" t="s">
        <v>77</v>
      </c>
      <c r="AP112" t="s">
        <v>77</v>
      </c>
      <c r="AQ112" t="s">
        <v>77</v>
      </c>
      <c r="AR112" t="s">
        <v>77</v>
      </c>
      <c r="AS112" t="s">
        <v>77</v>
      </c>
      <c r="AT112" t="s">
        <v>77</v>
      </c>
      <c r="AU112" t="s">
        <v>77</v>
      </c>
      <c r="AV112" t="s">
        <v>77</v>
      </c>
      <c r="AW112" t="s">
        <v>77</v>
      </c>
      <c r="AX112" t="s">
        <v>77</v>
      </c>
      <c r="AY112" t="s">
        <v>77</v>
      </c>
      <c r="AZ112" t="s">
        <v>77</v>
      </c>
      <c r="BA112" t="s">
        <v>77</v>
      </c>
      <c r="BB112" t="s">
        <v>77</v>
      </c>
      <c r="BC112" t="s">
        <v>77</v>
      </c>
      <c r="BD112" t="s">
        <v>77</v>
      </c>
      <c r="BE112" t="s">
        <v>77</v>
      </c>
      <c r="BF112" t="s">
        <v>77</v>
      </c>
      <c r="BG112" t="s">
        <v>77</v>
      </c>
      <c r="BH112" t="s">
        <v>77</v>
      </c>
      <c r="BI112" t="s">
        <v>77</v>
      </c>
      <c r="BJ112" t="s">
        <v>77</v>
      </c>
      <c r="BK112" t="s">
        <v>77</v>
      </c>
      <c r="BL112" t="s">
        <v>77</v>
      </c>
    </row>
    <row r="113" spans="1:64" x14ac:dyDescent="0.2">
      <c r="A113" t="s">
        <v>384</v>
      </c>
      <c r="B113" t="s">
        <v>76</v>
      </c>
      <c r="C113" t="s">
        <v>77</v>
      </c>
      <c r="D113" t="s">
        <v>76</v>
      </c>
      <c r="I113" t="s">
        <v>77</v>
      </c>
      <c r="K113" t="s">
        <v>77</v>
      </c>
      <c r="L113" t="s">
        <v>96</v>
      </c>
      <c r="M113" t="s">
        <v>76</v>
      </c>
      <c r="N113" t="s">
        <v>105</v>
      </c>
      <c r="O113" t="s">
        <v>105</v>
      </c>
      <c r="R113" t="s">
        <v>77</v>
      </c>
      <c r="S113" t="s">
        <v>77</v>
      </c>
      <c r="T113" t="s">
        <v>77</v>
      </c>
      <c r="U113" t="s">
        <v>77</v>
      </c>
      <c r="V113" t="s">
        <v>77</v>
      </c>
      <c r="W113" t="s">
        <v>77</v>
      </c>
      <c r="X113" t="s">
        <v>77</v>
      </c>
      <c r="Y113" t="s">
        <v>77</v>
      </c>
      <c r="Z113" t="s">
        <v>77</v>
      </c>
      <c r="AA113" t="s">
        <v>77</v>
      </c>
      <c r="AB113" t="s">
        <v>77</v>
      </c>
      <c r="AC113" t="s">
        <v>77</v>
      </c>
      <c r="AD113" t="s">
        <v>77</v>
      </c>
      <c r="AE113" t="s">
        <v>77</v>
      </c>
      <c r="AF113" t="s">
        <v>77</v>
      </c>
      <c r="AG113" t="s">
        <v>77</v>
      </c>
      <c r="AH113" t="s">
        <v>77</v>
      </c>
      <c r="AI113" t="s">
        <v>77</v>
      </c>
      <c r="AJ113" t="s">
        <v>77</v>
      </c>
      <c r="AK113" t="s">
        <v>77</v>
      </c>
      <c r="AL113" t="s">
        <v>77</v>
      </c>
      <c r="AM113" t="s">
        <v>77</v>
      </c>
      <c r="AN113" t="s">
        <v>77</v>
      </c>
      <c r="AO113" t="s">
        <v>77</v>
      </c>
      <c r="AP113" t="s">
        <v>77</v>
      </c>
      <c r="AQ113" t="s">
        <v>77</v>
      </c>
      <c r="AR113" t="s">
        <v>77</v>
      </c>
      <c r="AS113" t="s">
        <v>77</v>
      </c>
      <c r="AT113" t="s">
        <v>77</v>
      </c>
      <c r="AU113" t="s">
        <v>77</v>
      </c>
      <c r="AV113" t="s">
        <v>77</v>
      </c>
      <c r="AW113" t="s">
        <v>77</v>
      </c>
      <c r="AX113" t="s">
        <v>77</v>
      </c>
      <c r="AY113" t="s">
        <v>77</v>
      </c>
      <c r="AZ113" t="s">
        <v>77</v>
      </c>
      <c r="BA113" t="s">
        <v>77</v>
      </c>
      <c r="BB113" t="s">
        <v>77</v>
      </c>
      <c r="BC113" t="s">
        <v>77</v>
      </c>
      <c r="BD113" t="s">
        <v>77</v>
      </c>
      <c r="BE113" t="s">
        <v>77</v>
      </c>
      <c r="BF113" t="s">
        <v>77</v>
      </c>
      <c r="BG113" t="s">
        <v>77</v>
      </c>
      <c r="BH113" t="s">
        <v>77</v>
      </c>
      <c r="BI113" t="s">
        <v>77</v>
      </c>
      <c r="BJ113" t="s">
        <v>77</v>
      </c>
      <c r="BK113" t="s">
        <v>77</v>
      </c>
      <c r="BL113" t="s">
        <v>77</v>
      </c>
    </row>
    <row r="114" spans="1:64" x14ac:dyDescent="0.2">
      <c r="A114" t="s">
        <v>385</v>
      </c>
      <c r="B114" t="s">
        <v>76</v>
      </c>
      <c r="C114" t="s">
        <v>77</v>
      </c>
      <c r="D114" t="s">
        <v>76</v>
      </c>
      <c r="I114" t="s">
        <v>77</v>
      </c>
      <c r="K114" t="s">
        <v>77</v>
      </c>
      <c r="L114" t="s">
        <v>96</v>
      </c>
      <c r="M114" t="s">
        <v>76</v>
      </c>
      <c r="N114" t="s">
        <v>105</v>
      </c>
      <c r="O114" t="s">
        <v>105</v>
      </c>
      <c r="R114" t="s">
        <v>77</v>
      </c>
      <c r="S114" t="s">
        <v>77</v>
      </c>
      <c r="T114" t="s">
        <v>77</v>
      </c>
      <c r="U114" t="s">
        <v>77</v>
      </c>
      <c r="V114" t="s">
        <v>77</v>
      </c>
      <c r="W114" t="s">
        <v>77</v>
      </c>
      <c r="X114" t="s">
        <v>77</v>
      </c>
      <c r="Y114" t="s">
        <v>77</v>
      </c>
      <c r="Z114" t="s">
        <v>77</v>
      </c>
      <c r="AA114" t="s">
        <v>77</v>
      </c>
      <c r="AB114" t="s">
        <v>77</v>
      </c>
      <c r="AC114" t="s">
        <v>77</v>
      </c>
      <c r="AD114" t="s">
        <v>77</v>
      </c>
      <c r="AE114" t="s">
        <v>77</v>
      </c>
      <c r="AF114" t="s">
        <v>77</v>
      </c>
      <c r="AG114" t="s">
        <v>77</v>
      </c>
      <c r="AH114" t="s">
        <v>77</v>
      </c>
      <c r="AI114" t="s">
        <v>77</v>
      </c>
      <c r="AJ114" t="s">
        <v>77</v>
      </c>
      <c r="AK114" t="s">
        <v>77</v>
      </c>
      <c r="AL114" t="s">
        <v>77</v>
      </c>
      <c r="AM114" t="s">
        <v>77</v>
      </c>
      <c r="AN114" t="s">
        <v>77</v>
      </c>
      <c r="AO114" t="s">
        <v>77</v>
      </c>
      <c r="AP114" t="s">
        <v>77</v>
      </c>
      <c r="AQ114" t="s">
        <v>77</v>
      </c>
      <c r="AR114" t="s">
        <v>77</v>
      </c>
      <c r="AS114" t="s">
        <v>77</v>
      </c>
      <c r="AT114" t="s">
        <v>77</v>
      </c>
      <c r="AU114" t="s">
        <v>77</v>
      </c>
      <c r="AV114" t="s">
        <v>77</v>
      </c>
      <c r="AW114" t="s">
        <v>77</v>
      </c>
      <c r="AX114" t="s">
        <v>77</v>
      </c>
      <c r="AY114" t="s">
        <v>77</v>
      </c>
      <c r="AZ114" t="s">
        <v>77</v>
      </c>
      <c r="BA114" t="s">
        <v>77</v>
      </c>
      <c r="BB114" t="s">
        <v>77</v>
      </c>
      <c r="BC114" t="s">
        <v>77</v>
      </c>
      <c r="BD114" t="s">
        <v>77</v>
      </c>
      <c r="BE114" t="s">
        <v>77</v>
      </c>
      <c r="BF114" t="s">
        <v>77</v>
      </c>
      <c r="BG114" t="s">
        <v>77</v>
      </c>
      <c r="BH114" t="s">
        <v>77</v>
      </c>
      <c r="BI114" t="s">
        <v>77</v>
      </c>
      <c r="BJ114" t="s">
        <v>77</v>
      </c>
      <c r="BK114" t="s">
        <v>77</v>
      </c>
      <c r="BL114" t="s">
        <v>77</v>
      </c>
    </row>
    <row r="115" spans="1:64" x14ac:dyDescent="0.2">
      <c r="A115" t="s">
        <v>386</v>
      </c>
      <c r="B115" t="s">
        <v>76</v>
      </c>
      <c r="C115" t="s">
        <v>77</v>
      </c>
      <c r="D115" t="s">
        <v>76</v>
      </c>
      <c r="I115" t="s">
        <v>77</v>
      </c>
      <c r="K115" t="s">
        <v>77</v>
      </c>
      <c r="L115" t="s">
        <v>96</v>
      </c>
      <c r="M115" t="s">
        <v>76</v>
      </c>
      <c r="N115" t="s">
        <v>105</v>
      </c>
      <c r="O115" t="s">
        <v>105</v>
      </c>
      <c r="R115" t="s">
        <v>77</v>
      </c>
      <c r="S115" t="s">
        <v>77</v>
      </c>
      <c r="T115" t="s">
        <v>77</v>
      </c>
      <c r="U115" t="s">
        <v>77</v>
      </c>
      <c r="V115" t="s">
        <v>77</v>
      </c>
      <c r="W115" t="s">
        <v>77</v>
      </c>
      <c r="X115" t="s">
        <v>77</v>
      </c>
      <c r="Y115" t="s">
        <v>77</v>
      </c>
      <c r="Z115" t="s">
        <v>77</v>
      </c>
      <c r="AA115" t="s">
        <v>77</v>
      </c>
      <c r="AB115" t="s">
        <v>77</v>
      </c>
      <c r="AC115" t="s">
        <v>77</v>
      </c>
      <c r="AD115" t="s">
        <v>77</v>
      </c>
      <c r="AE115" t="s">
        <v>77</v>
      </c>
      <c r="AF115" t="s">
        <v>77</v>
      </c>
      <c r="AG115" t="s">
        <v>77</v>
      </c>
      <c r="AH115" t="s">
        <v>77</v>
      </c>
      <c r="AI115" t="s">
        <v>77</v>
      </c>
      <c r="AJ115" t="s">
        <v>77</v>
      </c>
      <c r="AK115" t="s">
        <v>77</v>
      </c>
      <c r="AL115" t="s">
        <v>77</v>
      </c>
      <c r="AM115" t="s">
        <v>77</v>
      </c>
      <c r="AN115" t="s">
        <v>77</v>
      </c>
      <c r="AO115" t="s">
        <v>77</v>
      </c>
      <c r="AP115" t="s">
        <v>77</v>
      </c>
      <c r="AQ115" t="s">
        <v>77</v>
      </c>
      <c r="AR115" t="s">
        <v>77</v>
      </c>
      <c r="AS115" t="s">
        <v>77</v>
      </c>
      <c r="AT115" t="s">
        <v>77</v>
      </c>
      <c r="AU115" t="s">
        <v>77</v>
      </c>
      <c r="AV115" t="s">
        <v>77</v>
      </c>
      <c r="AW115" t="s">
        <v>77</v>
      </c>
      <c r="AX115" t="s">
        <v>77</v>
      </c>
      <c r="AY115" t="s">
        <v>77</v>
      </c>
      <c r="AZ115" t="s">
        <v>77</v>
      </c>
      <c r="BA115" t="s">
        <v>77</v>
      </c>
      <c r="BB115" t="s">
        <v>77</v>
      </c>
      <c r="BC115" t="s">
        <v>77</v>
      </c>
      <c r="BD115" t="s">
        <v>77</v>
      </c>
      <c r="BE115" t="s">
        <v>77</v>
      </c>
      <c r="BF115" t="s">
        <v>77</v>
      </c>
      <c r="BG115" t="s">
        <v>77</v>
      </c>
      <c r="BH115" t="s">
        <v>77</v>
      </c>
      <c r="BI115" t="s">
        <v>77</v>
      </c>
      <c r="BJ115" t="s">
        <v>77</v>
      </c>
      <c r="BK115" t="s">
        <v>77</v>
      </c>
      <c r="BL115" t="s">
        <v>77</v>
      </c>
    </row>
    <row r="116" spans="1:64" x14ac:dyDescent="0.2">
      <c r="A116" t="s">
        <v>345</v>
      </c>
      <c r="B116" t="s">
        <v>76</v>
      </c>
      <c r="C116" t="s">
        <v>77</v>
      </c>
      <c r="D116" t="s">
        <v>76</v>
      </c>
      <c r="I116" t="s">
        <v>77</v>
      </c>
      <c r="K116" t="s">
        <v>77</v>
      </c>
      <c r="L116" t="s">
        <v>96</v>
      </c>
      <c r="M116" t="s">
        <v>76</v>
      </c>
      <c r="N116" t="s">
        <v>105</v>
      </c>
      <c r="O116" t="s">
        <v>105</v>
      </c>
      <c r="R116" t="s">
        <v>77</v>
      </c>
      <c r="S116" t="s">
        <v>77</v>
      </c>
      <c r="T116" t="s">
        <v>77</v>
      </c>
      <c r="U116" t="s">
        <v>77</v>
      </c>
      <c r="V116" t="s">
        <v>77</v>
      </c>
      <c r="W116" t="s">
        <v>77</v>
      </c>
      <c r="X116" t="s">
        <v>77</v>
      </c>
      <c r="Y116" t="s">
        <v>77</v>
      </c>
      <c r="Z116" t="s">
        <v>77</v>
      </c>
      <c r="AA116" t="s">
        <v>77</v>
      </c>
      <c r="AB116" t="s">
        <v>77</v>
      </c>
      <c r="AC116" t="s">
        <v>77</v>
      </c>
      <c r="AD116" t="s">
        <v>77</v>
      </c>
      <c r="AE116" t="s">
        <v>77</v>
      </c>
      <c r="AF116" t="s">
        <v>77</v>
      </c>
      <c r="AG116" t="s">
        <v>77</v>
      </c>
      <c r="AH116" t="s">
        <v>77</v>
      </c>
      <c r="AI116" t="s">
        <v>77</v>
      </c>
      <c r="AJ116" t="s">
        <v>77</v>
      </c>
      <c r="AK116" t="s">
        <v>77</v>
      </c>
      <c r="AL116" t="s">
        <v>77</v>
      </c>
      <c r="AM116" t="s">
        <v>77</v>
      </c>
      <c r="AN116" t="s">
        <v>77</v>
      </c>
      <c r="AO116" t="s">
        <v>77</v>
      </c>
      <c r="AP116" t="s">
        <v>77</v>
      </c>
      <c r="AQ116" t="s">
        <v>77</v>
      </c>
      <c r="AR116" t="s">
        <v>77</v>
      </c>
      <c r="AS116" t="s">
        <v>77</v>
      </c>
      <c r="AT116" t="s">
        <v>77</v>
      </c>
      <c r="AU116" t="s">
        <v>77</v>
      </c>
      <c r="AV116" t="s">
        <v>77</v>
      </c>
      <c r="AW116" t="s">
        <v>77</v>
      </c>
      <c r="AX116" t="s">
        <v>77</v>
      </c>
      <c r="AY116" t="s">
        <v>77</v>
      </c>
      <c r="AZ116" t="s">
        <v>77</v>
      </c>
      <c r="BA116" t="s">
        <v>77</v>
      </c>
      <c r="BB116" t="s">
        <v>77</v>
      </c>
      <c r="BC116" t="s">
        <v>77</v>
      </c>
      <c r="BD116" t="s">
        <v>77</v>
      </c>
      <c r="BE116" t="s">
        <v>77</v>
      </c>
      <c r="BF116" t="s">
        <v>77</v>
      </c>
      <c r="BG116" t="s">
        <v>77</v>
      </c>
      <c r="BH116" t="s">
        <v>77</v>
      </c>
      <c r="BI116" t="s">
        <v>77</v>
      </c>
      <c r="BJ116" t="s">
        <v>77</v>
      </c>
      <c r="BK116" t="s">
        <v>77</v>
      </c>
      <c r="BL116" t="s">
        <v>77</v>
      </c>
    </row>
    <row r="117" spans="1:64" x14ac:dyDescent="0.2">
      <c r="A117" t="s">
        <v>346</v>
      </c>
      <c r="B117" t="s">
        <v>76</v>
      </c>
      <c r="C117" t="s">
        <v>77</v>
      </c>
      <c r="D117" t="s">
        <v>76</v>
      </c>
      <c r="I117" t="s">
        <v>77</v>
      </c>
      <c r="K117" t="s">
        <v>77</v>
      </c>
      <c r="L117" t="s">
        <v>96</v>
      </c>
      <c r="M117" t="s">
        <v>76</v>
      </c>
      <c r="N117" t="s">
        <v>105</v>
      </c>
      <c r="O117" t="s">
        <v>105</v>
      </c>
      <c r="R117" t="s">
        <v>77</v>
      </c>
      <c r="S117" t="s">
        <v>77</v>
      </c>
      <c r="T117" t="s">
        <v>77</v>
      </c>
      <c r="U117" t="s">
        <v>77</v>
      </c>
      <c r="V117" t="s">
        <v>77</v>
      </c>
      <c r="W117" t="s">
        <v>77</v>
      </c>
      <c r="X117" t="s">
        <v>77</v>
      </c>
      <c r="Y117" t="s">
        <v>77</v>
      </c>
      <c r="Z117" t="s">
        <v>77</v>
      </c>
      <c r="AA117" t="s">
        <v>77</v>
      </c>
      <c r="AB117" t="s">
        <v>77</v>
      </c>
      <c r="AC117" t="s">
        <v>77</v>
      </c>
      <c r="AD117" t="s">
        <v>77</v>
      </c>
      <c r="AE117" t="s">
        <v>77</v>
      </c>
      <c r="AF117" t="s">
        <v>77</v>
      </c>
      <c r="AG117" t="s">
        <v>77</v>
      </c>
      <c r="AH117" t="s">
        <v>77</v>
      </c>
      <c r="AI117" t="s">
        <v>77</v>
      </c>
      <c r="AJ117" t="s">
        <v>77</v>
      </c>
      <c r="AK117" t="s">
        <v>77</v>
      </c>
      <c r="AL117" t="s">
        <v>77</v>
      </c>
      <c r="AM117" t="s">
        <v>77</v>
      </c>
      <c r="AN117" t="s">
        <v>77</v>
      </c>
      <c r="AO117" t="s">
        <v>77</v>
      </c>
      <c r="AP117" t="s">
        <v>77</v>
      </c>
      <c r="AQ117" t="s">
        <v>77</v>
      </c>
      <c r="AR117" t="s">
        <v>77</v>
      </c>
      <c r="AS117" t="s">
        <v>77</v>
      </c>
      <c r="AT117" t="s">
        <v>77</v>
      </c>
      <c r="AU117" t="s">
        <v>77</v>
      </c>
      <c r="AV117" t="s">
        <v>77</v>
      </c>
      <c r="AW117" t="s">
        <v>77</v>
      </c>
      <c r="AX117" t="s">
        <v>77</v>
      </c>
      <c r="AY117" t="s">
        <v>77</v>
      </c>
      <c r="AZ117" t="s">
        <v>77</v>
      </c>
      <c r="BA117" t="s">
        <v>77</v>
      </c>
      <c r="BB117" t="s">
        <v>77</v>
      </c>
      <c r="BC117" t="s">
        <v>77</v>
      </c>
      <c r="BD117" t="s">
        <v>77</v>
      </c>
      <c r="BE117" t="s">
        <v>77</v>
      </c>
      <c r="BF117" t="s">
        <v>77</v>
      </c>
      <c r="BG117" t="s">
        <v>77</v>
      </c>
      <c r="BH117" t="s">
        <v>77</v>
      </c>
      <c r="BI117" t="s">
        <v>77</v>
      </c>
      <c r="BJ117" t="s">
        <v>77</v>
      </c>
      <c r="BK117" t="s">
        <v>77</v>
      </c>
      <c r="BL117" t="s">
        <v>77</v>
      </c>
    </row>
    <row r="118" spans="1:64" x14ac:dyDescent="0.2">
      <c r="A118" t="s">
        <v>347</v>
      </c>
      <c r="B118" t="s">
        <v>76</v>
      </c>
      <c r="C118" t="s">
        <v>77</v>
      </c>
      <c r="D118" t="s">
        <v>76</v>
      </c>
      <c r="I118" t="s">
        <v>77</v>
      </c>
      <c r="K118" t="s">
        <v>77</v>
      </c>
      <c r="L118" t="s">
        <v>96</v>
      </c>
      <c r="M118" t="s">
        <v>76</v>
      </c>
      <c r="N118" t="s">
        <v>105</v>
      </c>
      <c r="O118" t="s">
        <v>105</v>
      </c>
      <c r="R118" t="s">
        <v>77</v>
      </c>
      <c r="S118" t="s">
        <v>77</v>
      </c>
      <c r="T118" t="s">
        <v>77</v>
      </c>
      <c r="U118" t="s">
        <v>77</v>
      </c>
      <c r="V118" t="s">
        <v>77</v>
      </c>
      <c r="W118" t="s">
        <v>77</v>
      </c>
      <c r="X118" t="s">
        <v>77</v>
      </c>
      <c r="Y118" t="s">
        <v>77</v>
      </c>
      <c r="Z118" t="s">
        <v>77</v>
      </c>
      <c r="AA118" t="s">
        <v>77</v>
      </c>
      <c r="AB118" t="s">
        <v>77</v>
      </c>
      <c r="AC118" t="s">
        <v>77</v>
      </c>
      <c r="AD118" t="s">
        <v>77</v>
      </c>
      <c r="AE118" t="s">
        <v>77</v>
      </c>
      <c r="AF118" t="s">
        <v>77</v>
      </c>
      <c r="AG118" t="s">
        <v>77</v>
      </c>
      <c r="AH118" t="s">
        <v>77</v>
      </c>
      <c r="AI118" t="s">
        <v>77</v>
      </c>
      <c r="AJ118" t="s">
        <v>77</v>
      </c>
      <c r="AK118" t="s">
        <v>77</v>
      </c>
      <c r="AL118" t="s">
        <v>77</v>
      </c>
      <c r="AM118" t="s">
        <v>77</v>
      </c>
      <c r="AN118" t="s">
        <v>77</v>
      </c>
      <c r="AO118" t="s">
        <v>77</v>
      </c>
      <c r="AP118" t="s">
        <v>77</v>
      </c>
      <c r="AQ118" t="s">
        <v>77</v>
      </c>
      <c r="AR118" t="s">
        <v>77</v>
      </c>
      <c r="AS118" t="s">
        <v>77</v>
      </c>
      <c r="AT118" t="s">
        <v>77</v>
      </c>
      <c r="AU118" t="s">
        <v>77</v>
      </c>
      <c r="AV118" t="s">
        <v>77</v>
      </c>
      <c r="AW118" t="s">
        <v>77</v>
      </c>
      <c r="AX118" t="s">
        <v>77</v>
      </c>
      <c r="AY118" t="s">
        <v>77</v>
      </c>
      <c r="AZ118" t="s">
        <v>77</v>
      </c>
      <c r="BA118" t="s">
        <v>77</v>
      </c>
      <c r="BB118" t="s">
        <v>77</v>
      </c>
      <c r="BC118" t="s">
        <v>77</v>
      </c>
      <c r="BD118" t="s">
        <v>77</v>
      </c>
      <c r="BE118" t="s">
        <v>77</v>
      </c>
      <c r="BF118" t="s">
        <v>77</v>
      </c>
      <c r="BG118" t="s">
        <v>77</v>
      </c>
      <c r="BH118" t="s">
        <v>77</v>
      </c>
      <c r="BI118" t="s">
        <v>77</v>
      </c>
      <c r="BJ118" t="s">
        <v>77</v>
      </c>
      <c r="BK118" t="s">
        <v>77</v>
      </c>
      <c r="BL118" t="s">
        <v>77</v>
      </c>
    </row>
    <row r="119" spans="1:64" x14ac:dyDescent="0.2">
      <c r="A119" t="s">
        <v>383</v>
      </c>
      <c r="B119" t="s">
        <v>77</v>
      </c>
      <c r="C119" t="s">
        <v>77</v>
      </c>
      <c r="D119" t="s">
        <v>77</v>
      </c>
      <c r="E119" t="s">
        <v>77</v>
      </c>
      <c r="F119" t="s">
        <v>77</v>
      </c>
      <c r="G119" t="s">
        <v>77</v>
      </c>
      <c r="J119" t="s">
        <v>76</v>
      </c>
      <c r="K119" t="s">
        <v>77</v>
      </c>
      <c r="L119" t="s">
        <v>96</v>
      </c>
      <c r="M119" t="s">
        <v>76</v>
      </c>
      <c r="N119" t="s">
        <v>105</v>
      </c>
      <c r="O119" t="s">
        <v>105</v>
      </c>
      <c r="P119" t="s">
        <v>76</v>
      </c>
      <c r="Q119" t="s">
        <v>76</v>
      </c>
      <c r="R119" t="s">
        <v>77</v>
      </c>
      <c r="S119" t="s">
        <v>77</v>
      </c>
      <c r="T119" t="s">
        <v>77</v>
      </c>
      <c r="U119" t="s">
        <v>77</v>
      </c>
      <c r="V119" t="s">
        <v>77</v>
      </c>
      <c r="W119" t="s">
        <v>77</v>
      </c>
      <c r="X119" t="s">
        <v>77</v>
      </c>
      <c r="Y119" t="s">
        <v>77</v>
      </c>
      <c r="Z119" t="s">
        <v>77</v>
      </c>
      <c r="AA119" t="s">
        <v>77</v>
      </c>
      <c r="AB119" t="s">
        <v>77</v>
      </c>
      <c r="AC119" t="s">
        <v>77</v>
      </c>
      <c r="AD119" t="s">
        <v>77</v>
      </c>
      <c r="AE119" t="s">
        <v>77</v>
      </c>
      <c r="AF119" t="s">
        <v>77</v>
      </c>
      <c r="AG119" t="s">
        <v>77</v>
      </c>
      <c r="AH119" t="s">
        <v>77</v>
      </c>
      <c r="AI119" t="s">
        <v>77</v>
      </c>
      <c r="AJ119" t="s">
        <v>77</v>
      </c>
      <c r="AK119" t="s">
        <v>77</v>
      </c>
      <c r="AL119" t="s">
        <v>77</v>
      </c>
      <c r="AM119" t="s">
        <v>77</v>
      </c>
      <c r="AN119" t="s">
        <v>77</v>
      </c>
      <c r="AO119" t="s">
        <v>77</v>
      </c>
      <c r="AP119" t="s">
        <v>77</v>
      </c>
      <c r="AQ119" t="s">
        <v>77</v>
      </c>
      <c r="AR119" t="s">
        <v>77</v>
      </c>
      <c r="AS119" t="s">
        <v>77</v>
      </c>
      <c r="AT119" t="s">
        <v>77</v>
      </c>
      <c r="AU119" t="s">
        <v>77</v>
      </c>
      <c r="AV119" t="s">
        <v>77</v>
      </c>
      <c r="AW119" t="s">
        <v>77</v>
      </c>
      <c r="AX119" t="s">
        <v>77</v>
      </c>
      <c r="AY119" t="s">
        <v>77</v>
      </c>
      <c r="AZ119" t="s">
        <v>77</v>
      </c>
      <c r="BA119" t="s">
        <v>77</v>
      </c>
      <c r="BB119" t="s">
        <v>77</v>
      </c>
      <c r="BC119" t="s">
        <v>77</v>
      </c>
      <c r="BD119" t="s">
        <v>77</v>
      </c>
      <c r="BE119" t="s">
        <v>77</v>
      </c>
      <c r="BF119" t="s">
        <v>77</v>
      </c>
      <c r="BG119" t="s">
        <v>77</v>
      </c>
      <c r="BH119" t="s">
        <v>77</v>
      </c>
      <c r="BI119" t="s">
        <v>77</v>
      </c>
      <c r="BJ119" t="s">
        <v>77</v>
      </c>
      <c r="BK119" t="s">
        <v>77</v>
      </c>
      <c r="BL119" t="s">
        <v>77</v>
      </c>
    </row>
    <row r="120" spans="1:64" x14ac:dyDescent="0.2">
      <c r="A120" t="s">
        <v>344</v>
      </c>
      <c r="B120" t="s">
        <v>77</v>
      </c>
      <c r="C120" t="s">
        <v>77</v>
      </c>
      <c r="D120" t="s">
        <v>77</v>
      </c>
      <c r="E120" t="s">
        <v>77</v>
      </c>
      <c r="F120" t="s">
        <v>77</v>
      </c>
      <c r="G120" t="s">
        <v>77</v>
      </c>
      <c r="J120" t="s">
        <v>76</v>
      </c>
      <c r="K120" t="s">
        <v>77</v>
      </c>
      <c r="L120" t="s">
        <v>96</v>
      </c>
      <c r="M120" t="s">
        <v>76</v>
      </c>
      <c r="N120" t="s">
        <v>105</v>
      </c>
      <c r="O120" t="s">
        <v>105</v>
      </c>
      <c r="P120" t="s">
        <v>76</v>
      </c>
      <c r="Q120" t="s">
        <v>76</v>
      </c>
      <c r="R120" t="s">
        <v>77</v>
      </c>
      <c r="S120" t="s">
        <v>77</v>
      </c>
      <c r="T120" t="s">
        <v>77</v>
      </c>
      <c r="U120" t="s">
        <v>77</v>
      </c>
      <c r="V120" t="s">
        <v>77</v>
      </c>
      <c r="W120" t="s">
        <v>77</v>
      </c>
      <c r="X120" t="s">
        <v>77</v>
      </c>
      <c r="Y120" t="s">
        <v>77</v>
      </c>
      <c r="Z120" t="s">
        <v>77</v>
      </c>
      <c r="AA120" t="s">
        <v>77</v>
      </c>
      <c r="AB120" t="s">
        <v>77</v>
      </c>
      <c r="AC120" t="s">
        <v>77</v>
      </c>
      <c r="AD120" t="s">
        <v>77</v>
      </c>
      <c r="AE120" t="s">
        <v>77</v>
      </c>
      <c r="AF120" t="s">
        <v>77</v>
      </c>
      <c r="AG120" t="s">
        <v>77</v>
      </c>
      <c r="AH120" t="s">
        <v>77</v>
      </c>
      <c r="AI120" t="s">
        <v>77</v>
      </c>
      <c r="AJ120" t="s">
        <v>77</v>
      </c>
      <c r="AK120" t="s">
        <v>77</v>
      </c>
      <c r="AL120" t="s">
        <v>77</v>
      </c>
      <c r="AM120" t="s">
        <v>77</v>
      </c>
      <c r="AN120" t="s">
        <v>77</v>
      </c>
      <c r="AO120" t="s">
        <v>77</v>
      </c>
      <c r="AP120" t="s">
        <v>77</v>
      </c>
      <c r="AQ120" t="s">
        <v>77</v>
      </c>
      <c r="AR120" t="s">
        <v>77</v>
      </c>
      <c r="AS120" t="s">
        <v>77</v>
      </c>
      <c r="AT120" t="s">
        <v>77</v>
      </c>
      <c r="AU120" t="s">
        <v>77</v>
      </c>
      <c r="AV120" t="s">
        <v>77</v>
      </c>
      <c r="AW120" t="s">
        <v>77</v>
      </c>
      <c r="AX120" t="s">
        <v>77</v>
      </c>
      <c r="AY120" t="s">
        <v>77</v>
      </c>
      <c r="AZ120" t="s">
        <v>77</v>
      </c>
      <c r="BA120" t="s">
        <v>77</v>
      </c>
      <c r="BB120" t="s">
        <v>77</v>
      </c>
      <c r="BC120" t="s">
        <v>77</v>
      </c>
      <c r="BD120" t="s">
        <v>77</v>
      </c>
      <c r="BE120" t="s">
        <v>77</v>
      </c>
      <c r="BF120" t="s">
        <v>77</v>
      </c>
      <c r="BG120" t="s">
        <v>77</v>
      </c>
      <c r="BH120" t="s">
        <v>77</v>
      </c>
      <c r="BI120" t="s">
        <v>77</v>
      </c>
      <c r="BJ120" t="s">
        <v>77</v>
      </c>
      <c r="BK120" t="s">
        <v>77</v>
      </c>
      <c r="BL120" t="s">
        <v>77</v>
      </c>
    </row>
    <row r="121" spans="1:64" x14ac:dyDescent="0.2">
      <c r="A121" t="s">
        <v>413</v>
      </c>
      <c r="B121" t="s">
        <v>76</v>
      </c>
      <c r="C121" t="s">
        <v>77</v>
      </c>
      <c r="D121" t="s">
        <v>76</v>
      </c>
      <c r="I121" t="s">
        <v>77</v>
      </c>
      <c r="K121" t="s">
        <v>77</v>
      </c>
      <c r="L121" t="s">
        <v>96</v>
      </c>
      <c r="M121" t="s">
        <v>76</v>
      </c>
      <c r="N121" t="s">
        <v>105</v>
      </c>
      <c r="O121" t="s">
        <v>105</v>
      </c>
      <c r="R121" t="s">
        <v>77</v>
      </c>
      <c r="S121" t="s">
        <v>77</v>
      </c>
      <c r="T121" t="s">
        <v>77</v>
      </c>
      <c r="U121" t="s">
        <v>77</v>
      </c>
      <c r="V121" t="s">
        <v>77</v>
      </c>
      <c r="W121" t="s">
        <v>77</v>
      </c>
      <c r="X121" t="s">
        <v>77</v>
      </c>
      <c r="Y121" t="s">
        <v>77</v>
      </c>
      <c r="Z121" t="s">
        <v>77</v>
      </c>
      <c r="AA121" t="s">
        <v>77</v>
      </c>
      <c r="AB121" t="s">
        <v>77</v>
      </c>
      <c r="AC121" t="s">
        <v>77</v>
      </c>
      <c r="AD121" t="s">
        <v>77</v>
      </c>
      <c r="AE121" t="s">
        <v>77</v>
      </c>
      <c r="AF121" t="s">
        <v>77</v>
      </c>
      <c r="AG121" t="s">
        <v>77</v>
      </c>
      <c r="AH121" t="s">
        <v>77</v>
      </c>
      <c r="AI121" t="s">
        <v>77</v>
      </c>
      <c r="AJ121" t="s">
        <v>77</v>
      </c>
      <c r="AK121" t="s">
        <v>77</v>
      </c>
      <c r="AL121" t="s">
        <v>77</v>
      </c>
      <c r="AM121" t="s">
        <v>77</v>
      </c>
      <c r="AN121" t="s">
        <v>77</v>
      </c>
      <c r="AO121" t="s">
        <v>77</v>
      </c>
      <c r="AP121" t="s">
        <v>77</v>
      </c>
      <c r="AQ121" t="s">
        <v>77</v>
      </c>
      <c r="AR121" t="s">
        <v>77</v>
      </c>
      <c r="AS121" t="s">
        <v>77</v>
      </c>
      <c r="AT121" t="s">
        <v>77</v>
      </c>
      <c r="AU121" t="s">
        <v>77</v>
      </c>
      <c r="AV121" t="s">
        <v>77</v>
      </c>
      <c r="AW121" t="s">
        <v>77</v>
      </c>
      <c r="AX121" t="s">
        <v>77</v>
      </c>
      <c r="AY121" t="s">
        <v>77</v>
      </c>
      <c r="AZ121" t="s">
        <v>77</v>
      </c>
      <c r="BA121" t="s">
        <v>77</v>
      </c>
      <c r="BB121" t="s">
        <v>77</v>
      </c>
      <c r="BC121" t="s">
        <v>77</v>
      </c>
      <c r="BD121" t="s">
        <v>77</v>
      </c>
      <c r="BE121" t="s">
        <v>77</v>
      </c>
      <c r="BF121" t="s">
        <v>77</v>
      </c>
      <c r="BG121" t="s">
        <v>77</v>
      </c>
      <c r="BH121" t="s">
        <v>77</v>
      </c>
      <c r="BI121" t="s">
        <v>77</v>
      </c>
      <c r="BJ121" t="s">
        <v>77</v>
      </c>
      <c r="BK121" t="s">
        <v>77</v>
      </c>
      <c r="BL121" t="s">
        <v>77</v>
      </c>
    </row>
    <row r="122" spans="1:64" x14ac:dyDescent="0.2">
      <c r="A122" t="s">
        <v>414</v>
      </c>
      <c r="B122" t="s">
        <v>76</v>
      </c>
      <c r="C122" t="s">
        <v>77</v>
      </c>
      <c r="D122" t="s">
        <v>76</v>
      </c>
      <c r="I122" t="s">
        <v>77</v>
      </c>
      <c r="K122" t="s">
        <v>77</v>
      </c>
      <c r="L122" t="s">
        <v>96</v>
      </c>
      <c r="M122" t="s">
        <v>76</v>
      </c>
      <c r="N122" t="s">
        <v>105</v>
      </c>
      <c r="O122" t="s">
        <v>105</v>
      </c>
      <c r="R122" t="s">
        <v>77</v>
      </c>
      <c r="S122" t="s">
        <v>77</v>
      </c>
      <c r="T122" t="s">
        <v>77</v>
      </c>
      <c r="U122" t="s">
        <v>77</v>
      </c>
      <c r="V122" t="s">
        <v>77</v>
      </c>
      <c r="W122" t="s">
        <v>77</v>
      </c>
      <c r="X122" t="s">
        <v>77</v>
      </c>
      <c r="Y122" t="s">
        <v>77</v>
      </c>
      <c r="Z122" t="s">
        <v>77</v>
      </c>
      <c r="AA122" t="s">
        <v>77</v>
      </c>
      <c r="AB122" t="s">
        <v>77</v>
      </c>
      <c r="AC122" t="s">
        <v>77</v>
      </c>
      <c r="AD122" t="s">
        <v>77</v>
      </c>
      <c r="AE122" t="s">
        <v>77</v>
      </c>
      <c r="AF122" t="s">
        <v>77</v>
      </c>
      <c r="AG122" t="s">
        <v>77</v>
      </c>
      <c r="AH122" t="s">
        <v>77</v>
      </c>
      <c r="AI122" t="s">
        <v>77</v>
      </c>
      <c r="AJ122" t="s">
        <v>77</v>
      </c>
      <c r="AK122" t="s">
        <v>77</v>
      </c>
      <c r="AL122" t="s">
        <v>77</v>
      </c>
      <c r="AM122" t="s">
        <v>77</v>
      </c>
      <c r="AN122" t="s">
        <v>77</v>
      </c>
      <c r="AO122" t="s">
        <v>77</v>
      </c>
      <c r="AP122" t="s">
        <v>77</v>
      </c>
      <c r="AQ122" t="s">
        <v>77</v>
      </c>
      <c r="AR122" t="s">
        <v>77</v>
      </c>
      <c r="AS122" t="s">
        <v>77</v>
      </c>
      <c r="AT122" t="s">
        <v>77</v>
      </c>
      <c r="AU122" t="s">
        <v>77</v>
      </c>
      <c r="AV122" t="s">
        <v>77</v>
      </c>
      <c r="AW122" t="s">
        <v>77</v>
      </c>
      <c r="AX122" t="s">
        <v>77</v>
      </c>
      <c r="AY122" t="s">
        <v>77</v>
      </c>
      <c r="AZ122" t="s">
        <v>77</v>
      </c>
      <c r="BA122" t="s">
        <v>77</v>
      </c>
      <c r="BB122" t="s">
        <v>77</v>
      </c>
      <c r="BC122" t="s">
        <v>77</v>
      </c>
      <c r="BD122" t="s">
        <v>77</v>
      </c>
      <c r="BE122" t="s">
        <v>77</v>
      </c>
      <c r="BF122" t="s">
        <v>77</v>
      </c>
      <c r="BG122" t="s">
        <v>77</v>
      </c>
      <c r="BH122" t="s">
        <v>77</v>
      </c>
      <c r="BI122" t="s">
        <v>77</v>
      </c>
      <c r="BJ122" t="s">
        <v>77</v>
      </c>
      <c r="BK122" t="s">
        <v>77</v>
      </c>
      <c r="BL122" t="s">
        <v>77</v>
      </c>
    </row>
    <row r="123" spans="1:64" x14ac:dyDescent="0.2">
      <c r="A123" t="s">
        <v>415</v>
      </c>
      <c r="B123" t="s">
        <v>76</v>
      </c>
      <c r="C123" t="s">
        <v>77</v>
      </c>
      <c r="D123" t="s">
        <v>76</v>
      </c>
      <c r="I123" t="s">
        <v>77</v>
      </c>
      <c r="K123" t="s">
        <v>77</v>
      </c>
      <c r="L123" t="s">
        <v>96</v>
      </c>
      <c r="M123" t="s">
        <v>76</v>
      </c>
      <c r="N123" t="s">
        <v>105</v>
      </c>
      <c r="O123" t="s">
        <v>105</v>
      </c>
      <c r="R123" t="s">
        <v>77</v>
      </c>
      <c r="S123" t="s">
        <v>77</v>
      </c>
      <c r="T123" t="s">
        <v>77</v>
      </c>
      <c r="U123" t="s">
        <v>77</v>
      </c>
      <c r="V123" t="s">
        <v>77</v>
      </c>
      <c r="W123" t="s">
        <v>77</v>
      </c>
      <c r="X123" t="s">
        <v>77</v>
      </c>
      <c r="Y123" t="s">
        <v>77</v>
      </c>
      <c r="Z123" t="s">
        <v>77</v>
      </c>
      <c r="AA123" t="s">
        <v>77</v>
      </c>
      <c r="AB123" t="s">
        <v>77</v>
      </c>
      <c r="AC123" t="s">
        <v>77</v>
      </c>
      <c r="AD123" t="s">
        <v>77</v>
      </c>
      <c r="AE123" t="s">
        <v>77</v>
      </c>
      <c r="AF123" t="s">
        <v>77</v>
      </c>
      <c r="AG123" t="s">
        <v>77</v>
      </c>
      <c r="AH123" t="s">
        <v>77</v>
      </c>
      <c r="AI123" t="s">
        <v>77</v>
      </c>
      <c r="AJ123" t="s">
        <v>77</v>
      </c>
      <c r="AK123" t="s">
        <v>77</v>
      </c>
      <c r="AL123" t="s">
        <v>77</v>
      </c>
      <c r="AM123" t="s">
        <v>77</v>
      </c>
      <c r="AN123" t="s">
        <v>77</v>
      </c>
      <c r="AO123" t="s">
        <v>77</v>
      </c>
      <c r="AP123" t="s">
        <v>77</v>
      </c>
      <c r="AQ123" t="s">
        <v>77</v>
      </c>
      <c r="AR123" t="s">
        <v>77</v>
      </c>
      <c r="AS123" t="s">
        <v>77</v>
      </c>
      <c r="AT123" t="s">
        <v>77</v>
      </c>
      <c r="AU123" t="s">
        <v>77</v>
      </c>
      <c r="AV123" t="s">
        <v>77</v>
      </c>
      <c r="AW123" t="s">
        <v>77</v>
      </c>
      <c r="AX123" t="s">
        <v>77</v>
      </c>
      <c r="AY123" t="s">
        <v>77</v>
      </c>
      <c r="AZ123" t="s">
        <v>77</v>
      </c>
      <c r="BA123" t="s">
        <v>77</v>
      </c>
      <c r="BB123" t="s">
        <v>77</v>
      </c>
      <c r="BC123" t="s">
        <v>77</v>
      </c>
      <c r="BD123" t="s">
        <v>77</v>
      </c>
      <c r="BE123" t="s">
        <v>77</v>
      </c>
      <c r="BF123" t="s">
        <v>77</v>
      </c>
      <c r="BG123" t="s">
        <v>77</v>
      </c>
      <c r="BH123" t="s">
        <v>77</v>
      </c>
      <c r="BI123" t="s">
        <v>77</v>
      </c>
      <c r="BJ123" t="s">
        <v>77</v>
      </c>
      <c r="BK123" t="s">
        <v>77</v>
      </c>
      <c r="BL123" t="s">
        <v>77</v>
      </c>
    </row>
    <row r="124" spans="1:64" x14ac:dyDescent="0.2">
      <c r="A124" t="s">
        <v>395</v>
      </c>
      <c r="B124" t="s">
        <v>76</v>
      </c>
      <c r="C124" t="s">
        <v>77</v>
      </c>
      <c r="D124" t="s">
        <v>76</v>
      </c>
      <c r="I124" t="s">
        <v>77</v>
      </c>
      <c r="K124" t="s">
        <v>77</v>
      </c>
      <c r="L124" t="s">
        <v>96</v>
      </c>
      <c r="M124" t="s">
        <v>76</v>
      </c>
      <c r="N124" t="s">
        <v>105</v>
      </c>
      <c r="O124" t="s">
        <v>105</v>
      </c>
      <c r="R124" t="s">
        <v>77</v>
      </c>
      <c r="S124" t="s">
        <v>77</v>
      </c>
      <c r="T124" t="s">
        <v>77</v>
      </c>
      <c r="U124" t="s">
        <v>77</v>
      </c>
      <c r="V124" t="s">
        <v>77</v>
      </c>
      <c r="W124" t="s">
        <v>77</v>
      </c>
      <c r="X124" t="s">
        <v>77</v>
      </c>
      <c r="Y124" t="s">
        <v>77</v>
      </c>
      <c r="Z124" t="s">
        <v>77</v>
      </c>
      <c r="AA124" t="s">
        <v>77</v>
      </c>
      <c r="AB124" t="s">
        <v>77</v>
      </c>
      <c r="AC124" t="s">
        <v>77</v>
      </c>
      <c r="AD124" t="s">
        <v>77</v>
      </c>
      <c r="AE124" t="s">
        <v>77</v>
      </c>
      <c r="AF124" t="s">
        <v>77</v>
      </c>
      <c r="AG124" t="s">
        <v>77</v>
      </c>
      <c r="AH124" t="s">
        <v>77</v>
      </c>
      <c r="AI124" t="s">
        <v>77</v>
      </c>
      <c r="AJ124" t="s">
        <v>77</v>
      </c>
      <c r="AK124" t="s">
        <v>77</v>
      </c>
      <c r="AL124" t="s">
        <v>77</v>
      </c>
      <c r="AM124" t="s">
        <v>77</v>
      </c>
      <c r="AN124" t="s">
        <v>77</v>
      </c>
      <c r="AO124" t="s">
        <v>77</v>
      </c>
      <c r="AP124" t="s">
        <v>77</v>
      </c>
      <c r="AQ124" t="s">
        <v>77</v>
      </c>
      <c r="AR124" t="s">
        <v>77</v>
      </c>
      <c r="AS124" t="s">
        <v>77</v>
      </c>
      <c r="AT124" t="s">
        <v>77</v>
      </c>
      <c r="AU124" t="s">
        <v>77</v>
      </c>
      <c r="AV124" t="s">
        <v>77</v>
      </c>
      <c r="AW124" t="s">
        <v>77</v>
      </c>
      <c r="AX124" t="s">
        <v>77</v>
      </c>
      <c r="AY124" t="s">
        <v>77</v>
      </c>
      <c r="AZ124" t="s">
        <v>77</v>
      </c>
      <c r="BA124" t="s">
        <v>77</v>
      </c>
      <c r="BB124" t="s">
        <v>77</v>
      </c>
      <c r="BC124" t="s">
        <v>77</v>
      </c>
      <c r="BD124" t="s">
        <v>77</v>
      </c>
      <c r="BE124" t="s">
        <v>77</v>
      </c>
      <c r="BF124" t="s">
        <v>77</v>
      </c>
      <c r="BG124" t="s">
        <v>77</v>
      </c>
      <c r="BH124" t="s">
        <v>77</v>
      </c>
      <c r="BI124" t="s">
        <v>77</v>
      </c>
      <c r="BJ124" t="s">
        <v>77</v>
      </c>
      <c r="BK124" t="s">
        <v>77</v>
      </c>
      <c r="BL124" t="s">
        <v>77</v>
      </c>
    </row>
    <row r="125" spans="1:64" x14ac:dyDescent="0.2">
      <c r="A125" t="s">
        <v>396</v>
      </c>
      <c r="B125" t="s">
        <v>76</v>
      </c>
      <c r="C125" t="s">
        <v>77</v>
      </c>
      <c r="D125" t="s">
        <v>76</v>
      </c>
      <c r="I125" t="s">
        <v>77</v>
      </c>
      <c r="K125" t="s">
        <v>77</v>
      </c>
      <c r="L125" t="s">
        <v>96</v>
      </c>
      <c r="M125" t="s">
        <v>76</v>
      </c>
      <c r="N125" t="s">
        <v>105</v>
      </c>
      <c r="O125" t="s">
        <v>105</v>
      </c>
      <c r="R125" t="s">
        <v>77</v>
      </c>
      <c r="S125" t="s">
        <v>77</v>
      </c>
      <c r="T125" t="s">
        <v>77</v>
      </c>
      <c r="U125" t="s">
        <v>77</v>
      </c>
      <c r="V125" t="s">
        <v>77</v>
      </c>
      <c r="W125" t="s">
        <v>77</v>
      </c>
      <c r="X125" t="s">
        <v>77</v>
      </c>
      <c r="Y125" t="s">
        <v>77</v>
      </c>
      <c r="Z125" t="s">
        <v>77</v>
      </c>
      <c r="AA125" t="s">
        <v>77</v>
      </c>
      <c r="AB125" t="s">
        <v>77</v>
      </c>
      <c r="AC125" t="s">
        <v>77</v>
      </c>
      <c r="AD125" t="s">
        <v>77</v>
      </c>
      <c r="AE125" t="s">
        <v>77</v>
      </c>
      <c r="AF125" t="s">
        <v>77</v>
      </c>
      <c r="AG125" t="s">
        <v>77</v>
      </c>
      <c r="AH125" t="s">
        <v>77</v>
      </c>
      <c r="AI125" t="s">
        <v>77</v>
      </c>
      <c r="AJ125" t="s">
        <v>77</v>
      </c>
      <c r="AK125" t="s">
        <v>77</v>
      </c>
      <c r="AL125" t="s">
        <v>77</v>
      </c>
      <c r="AM125" t="s">
        <v>77</v>
      </c>
      <c r="AN125" t="s">
        <v>77</v>
      </c>
      <c r="AO125" t="s">
        <v>77</v>
      </c>
      <c r="AP125" t="s">
        <v>77</v>
      </c>
      <c r="AQ125" t="s">
        <v>77</v>
      </c>
      <c r="AR125" t="s">
        <v>77</v>
      </c>
      <c r="AS125" t="s">
        <v>77</v>
      </c>
      <c r="AT125" t="s">
        <v>77</v>
      </c>
      <c r="AU125" t="s">
        <v>77</v>
      </c>
      <c r="AV125" t="s">
        <v>77</v>
      </c>
      <c r="AW125" t="s">
        <v>77</v>
      </c>
      <c r="AX125" t="s">
        <v>77</v>
      </c>
      <c r="AY125" t="s">
        <v>77</v>
      </c>
      <c r="AZ125" t="s">
        <v>77</v>
      </c>
      <c r="BA125" t="s">
        <v>77</v>
      </c>
      <c r="BB125" t="s">
        <v>77</v>
      </c>
      <c r="BC125" t="s">
        <v>77</v>
      </c>
      <c r="BD125" t="s">
        <v>77</v>
      </c>
      <c r="BE125" t="s">
        <v>77</v>
      </c>
      <c r="BF125" t="s">
        <v>77</v>
      </c>
      <c r="BG125" t="s">
        <v>77</v>
      </c>
      <c r="BH125" t="s">
        <v>77</v>
      </c>
      <c r="BI125" t="s">
        <v>77</v>
      </c>
      <c r="BJ125" t="s">
        <v>77</v>
      </c>
      <c r="BK125" t="s">
        <v>77</v>
      </c>
      <c r="BL125" t="s">
        <v>77</v>
      </c>
    </row>
    <row r="126" spans="1:64" x14ac:dyDescent="0.2">
      <c r="A126" t="s">
        <v>397</v>
      </c>
      <c r="B126" t="s">
        <v>76</v>
      </c>
      <c r="C126" t="s">
        <v>77</v>
      </c>
      <c r="D126" t="s">
        <v>76</v>
      </c>
      <c r="I126" t="s">
        <v>77</v>
      </c>
      <c r="K126" t="s">
        <v>77</v>
      </c>
      <c r="L126" t="s">
        <v>96</v>
      </c>
      <c r="M126" t="s">
        <v>76</v>
      </c>
      <c r="N126" t="s">
        <v>105</v>
      </c>
      <c r="O126" t="s">
        <v>105</v>
      </c>
      <c r="R126" t="s">
        <v>77</v>
      </c>
      <c r="S126" t="s">
        <v>77</v>
      </c>
      <c r="T126" t="s">
        <v>77</v>
      </c>
      <c r="U126" t="s">
        <v>77</v>
      </c>
      <c r="V126" t="s">
        <v>77</v>
      </c>
      <c r="W126" t="s">
        <v>77</v>
      </c>
      <c r="X126" t="s">
        <v>77</v>
      </c>
      <c r="Y126" t="s">
        <v>77</v>
      </c>
      <c r="Z126" t="s">
        <v>77</v>
      </c>
      <c r="AA126" t="s">
        <v>77</v>
      </c>
      <c r="AB126" t="s">
        <v>77</v>
      </c>
      <c r="AC126" t="s">
        <v>77</v>
      </c>
      <c r="AD126" t="s">
        <v>77</v>
      </c>
      <c r="AE126" t="s">
        <v>77</v>
      </c>
      <c r="AF126" t="s">
        <v>77</v>
      </c>
      <c r="AG126" t="s">
        <v>77</v>
      </c>
      <c r="AH126" t="s">
        <v>77</v>
      </c>
      <c r="AI126" t="s">
        <v>77</v>
      </c>
      <c r="AJ126" t="s">
        <v>77</v>
      </c>
      <c r="AK126" t="s">
        <v>77</v>
      </c>
      <c r="AL126" t="s">
        <v>77</v>
      </c>
      <c r="AM126" t="s">
        <v>77</v>
      </c>
      <c r="AN126" t="s">
        <v>77</v>
      </c>
      <c r="AO126" t="s">
        <v>77</v>
      </c>
      <c r="AP126" t="s">
        <v>77</v>
      </c>
      <c r="AQ126" t="s">
        <v>77</v>
      </c>
      <c r="AR126" t="s">
        <v>77</v>
      </c>
      <c r="AS126" t="s">
        <v>77</v>
      </c>
      <c r="AT126" t="s">
        <v>77</v>
      </c>
      <c r="AU126" t="s">
        <v>77</v>
      </c>
      <c r="AV126" t="s">
        <v>77</v>
      </c>
      <c r="AW126" t="s">
        <v>77</v>
      </c>
      <c r="AX126" t="s">
        <v>77</v>
      </c>
      <c r="AY126" t="s">
        <v>77</v>
      </c>
      <c r="AZ126" t="s">
        <v>77</v>
      </c>
      <c r="BA126" t="s">
        <v>77</v>
      </c>
      <c r="BB126" t="s">
        <v>77</v>
      </c>
      <c r="BC126" t="s">
        <v>77</v>
      </c>
      <c r="BD126" t="s">
        <v>77</v>
      </c>
      <c r="BE126" t="s">
        <v>77</v>
      </c>
      <c r="BF126" t="s">
        <v>77</v>
      </c>
      <c r="BG126" t="s">
        <v>77</v>
      </c>
      <c r="BH126" t="s">
        <v>77</v>
      </c>
      <c r="BI126" t="s">
        <v>77</v>
      </c>
      <c r="BJ126" t="s">
        <v>77</v>
      </c>
      <c r="BK126" t="s">
        <v>77</v>
      </c>
      <c r="BL126" t="s">
        <v>77</v>
      </c>
    </row>
    <row r="127" spans="1:64" x14ac:dyDescent="0.2">
      <c r="A127" t="s">
        <v>404</v>
      </c>
      <c r="B127" t="s">
        <v>76</v>
      </c>
      <c r="C127" t="s">
        <v>77</v>
      </c>
      <c r="D127" t="s">
        <v>76</v>
      </c>
      <c r="I127" t="s">
        <v>77</v>
      </c>
      <c r="K127" t="s">
        <v>77</v>
      </c>
      <c r="L127" t="s">
        <v>96</v>
      </c>
      <c r="M127" t="s">
        <v>76</v>
      </c>
      <c r="N127" t="s">
        <v>105</v>
      </c>
      <c r="O127" t="s">
        <v>105</v>
      </c>
      <c r="R127" t="s">
        <v>77</v>
      </c>
      <c r="S127" t="s">
        <v>77</v>
      </c>
      <c r="T127" t="s">
        <v>77</v>
      </c>
      <c r="U127" t="s">
        <v>77</v>
      </c>
      <c r="V127" t="s">
        <v>77</v>
      </c>
      <c r="W127" t="s">
        <v>77</v>
      </c>
      <c r="X127" t="s">
        <v>77</v>
      </c>
      <c r="Y127" t="s">
        <v>77</v>
      </c>
      <c r="Z127" t="s">
        <v>77</v>
      </c>
      <c r="AA127" t="s">
        <v>77</v>
      </c>
      <c r="AB127" t="s">
        <v>77</v>
      </c>
      <c r="AC127" t="s">
        <v>77</v>
      </c>
      <c r="AD127" t="s">
        <v>77</v>
      </c>
      <c r="AE127" t="s">
        <v>77</v>
      </c>
      <c r="AF127" t="s">
        <v>77</v>
      </c>
      <c r="AG127" t="s">
        <v>77</v>
      </c>
      <c r="AH127" t="s">
        <v>77</v>
      </c>
      <c r="AI127" t="s">
        <v>77</v>
      </c>
      <c r="AJ127" t="s">
        <v>77</v>
      </c>
      <c r="AK127" t="s">
        <v>77</v>
      </c>
      <c r="AL127" t="s">
        <v>77</v>
      </c>
      <c r="AM127" t="s">
        <v>77</v>
      </c>
      <c r="AN127" t="s">
        <v>77</v>
      </c>
      <c r="AO127" t="s">
        <v>77</v>
      </c>
      <c r="AP127" t="s">
        <v>77</v>
      </c>
      <c r="AQ127" t="s">
        <v>77</v>
      </c>
      <c r="AR127" t="s">
        <v>77</v>
      </c>
      <c r="AS127" t="s">
        <v>77</v>
      </c>
      <c r="AT127" t="s">
        <v>77</v>
      </c>
      <c r="AU127" t="s">
        <v>77</v>
      </c>
      <c r="AV127" t="s">
        <v>77</v>
      </c>
      <c r="AW127" t="s">
        <v>77</v>
      </c>
      <c r="AX127" t="s">
        <v>77</v>
      </c>
      <c r="AY127" t="s">
        <v>77</v>
      </c>
      <c r="AZ127" t="s">
        <v>77</v>
      </c>
      <c r="BA127" t="s">
        <v>77</v>
      </c>
      <c r="BB127" t="s">
        <v>77</v>
      </c>
      <c r="BC127" t="s">
        <v>77</v>
      </c>
      <c r="BD127" t="s">
        <v>77</v>
      </c>
      <c r="BE127" t="s">
        <v>77</v>
      </c>
      <c r="BF127" t="s">
        <v>77</v>
      </c>
      <c r="BG127" t="s">
        <v>77</v>
      </c>
      <c r="BH127" t="s">
        <v>77</v>
      </c>
      <c r="BI127" t="s">
        <v>77</v>
      </c>
      <c r="BJ127" t="s">
        <v>77</v>
      </c>
      <c r="BK127" t="s">
        <v>77</v>
      </c>
      <c r="BL127" t="s">
        <v>77</v>
      </c>
    </row>
    <row r="128" spans="1:64" x14ac:dyDescent="0.2">
      <c r="A128" t="s">
        <v>405</v>
      </c>
      <c r="B128" t="s">
        <v>76</v>
      </c>
      <c r="C128" t="s">
        <v>77</v>
      </c>
      <c r="D128" t="s">
        <v>76</v>
      </c>
      <c r="I128" t="s">
        <v>77</v>
      </c>
      <c r="K128" t="s">
        <v>77</v>
      </c>
      <c r="L128" t="s">
        <v>96</v>
      </c>
      <c r="M128" t="s">
        <v>76</v>
      </c>
      <c r="N128" t="s">
        <v>105</v>
      </c>
      <c r="O128" t="s">
        <v>105</v>
      </c>
      <c r="R128" t="s">
        <v>77</v>
      </c>
      <c r="S128" t="s">
        <v>77</v>
      </c>
      <c r="T128" t="s">
        <v>77</v>
      </c>
      <c r="U128" t="s">
        <v>77</v>
      </c>
      <c r="V128" t="s">
        <v>77</v>
      </c>
      <c r="W128" t="s">
        <v>77</v>
      </c>
      <c r="X128" t="s">
        <v>77</v>
      </c>
      <c r="Y128" t="s">
        <v>77</v>
      </c>
      <c r="Z128" t="s">
        <v>77</v>
      </c>
      <c r="AA128" t="s">
        <v>77</v>
      </c>
      <c r="AB128" t="s">
        <v>77</v>
      </c>
      <c r="AC128" t="s">
        <v>77</v>
      </c>
      <c r="AD128" t="s">
        <v>77</v>
      </c>
      <c r="AE128" t="s">
        <v>77</v>
      </c>
      <c r="AF128" t="s">
        <v>77</v>
      </c>
      <c r="AG128" t="s">
        <v>77</v>
      </c>
      <c r="AH128" t="s">
        <v>77</v>
      </c>
      <c r="AI128" t="s">
        <v>77</v>
      </c>
      <c r="AJ128" t="s">
        <v>77</v>
      </c>
      <c r="AK128" t="s">
        <v>77</v>
      </c>
      <c r="AL128" t="s">
        <v>77</v>
      </c>
      <c r="AM128" t="s">
        <v>77</v>
      </c>
      <c r="AN128" t="s">
        <v>77</v>
      </c>
      <c r="AO128" t="s">
        <v>77</v>
      </c>
      <c r="AP128" t="s">
        <v>77</v>
      </c>
      <c r="AQ128" t="s">
        <v>77</v>
      </c>
      <c r="AR128" t="s">
        <v>77</v>
      </c>
      <c r="AS128" t="s">
        <v>77</v>
      </c>
      <c r="AT128" t="s">
        <v>77</v>
      </c>
      <c r="AU128" t="s">
        <v>77</v>
      </c>
      <c r="AV128" t="s">
        <v>77</v>
      </c>
      <c r="AW128" t="s">
        <v>77</v>
      </c>
      <c r="AX128" t="s">
        <v>77</v>
      </c>
      <c r="AY128" t="s">
        <v>77</v>
      </c>
      <c r="AZ128" t="s">
        <v>77</v>
      </c>
      <c r="BA128" t="s">
        <v>77</v>
      </c>
      <c r="BB128" t="s">
        <v>77</v>
      </c>
      <c r="BC128" t="s">
        <v>77</v>
      </c>
      <c r="BD128" t="s">
        <v>77</v>
      </c>
      <c r="BE128" t="s">
        <v>77</v>
      </c>
      <c r="BF128" t="s">
        <v>77</v>
      </c>
      <c r="BG128" t="s">
        <v>77</v>
      </c>
      <c r="BH128" t="s">
        <v>77</v>
      </c>
      <c r="BI128" t="s">
        <v>77</v>
      </c>
      <c r="BJ128" t="s">
        <v>77</v>
      </c>
      <c r="BK128" t="s">
        <v>77</v>
      </c>
      <c r="BL128" t="s">
        <v>77</v>
      </c>
    </row>
    <row r="129" spans="1:64" x14ac:dyDescent="0.2">
      <c r="A129" t="s">
        <v>406</v>
      </c>
      <c r="B129" t="s">
        <v>76</v>
      </c>
      <c r="C129" t="s">
        <v>77</v>
      </c>
      <c r="D129" t="s">
        <v>76</v>
      </c>
      <c r="I129" t="s">
        <v>77</v>
      </c>
      <c r="K129" t="s">
        <v>77</v>
      </c>
      <c r="L129" t="s">
        <v>96</v>
      </c>
      <c r="M129" t="s">
        <v>76</v>
      </c>
      <c r="N129" t="s">
        <v>105</v>
      </c>
      <c r="O129" t="s">
        <v>105</v>
      </c>
      <c r="R129" t="s">
        <v>77</v>
      </c>
      <c r="S129" t="s">
        <v>77</v>
      </c>
      <c r="T129" t="s">
        <v>77</v>
      </c>
      <c r="U129" t="s">
        <v>77</v>
      </c>
      <c r="V129" t="s">
        <v>77</v>
      </c>
      <c r="W129" t="s">
        <v>77</v>
      </c>
      <c r="X129" t="s">
        <v>77</v>
      </c>
      <c r="Y129" t="s">
        <v>77</v>
      </c>
      <c r="Z129" t="s">
        <v>77</v>
      </c>
      <c r="AA129" t="s">
        <v>77</v>
      </c>
      <c r="AB129" t="s">
        <v>77</v>
      </c>
      <c r="AC129" t="s">
        <v>77</v>
      </c>
      <c r="AD129" t="s">
        <v>77</v>
      </c>
      <c r="AE129" t="s">
        <v>77</v>
      </c>
      <c r="AF129" t="s">
        <v>77</v>
      </c>
      <c r="AG129" t="s">
        <v>77</v>
      </c>
      <c r="AH129" t="s">
        <v>77</v>
      </c>
      <c r="AI129" t="s">
        <v>77</v>
      </c>
      <c r="AJ129" t="s">
        <v>77</v>
      </c>
      <c r="AK129" t="s">
        <v>77</v>
      </c>
      <c r="AL129" t="s">
        <v>77</v>
      </c>
      <c r="AM129" t="s">
        <v>77</v>
      </c>
      <c r="AN129" t="s">
        <v>77</v>
      </c>
      <c r="AO129" t="s">
        <v>77</v>
      </c>
      <c r="AP129" t="s">
        <v>77</v>
      </c>
      <c r="AQ129" t="s">
        <v>77</v>
      </c>
      <c r="AR129" t="s">
        <v>77</v>
      </c>
      <c r="AS129" t="s">
        <v>77</v>
      </c>
      <c r="AT129" t="s">
        <v>77</v>
      </c>
      <c r="AU129" t="s">
        <v>77</v>
      </c>
      <c r="AV129" t="s">
        <v>77</v>
      </c>
      <c r="AW129" t="s">
        <v>77</v>
      </c>
      <c r="AX129" t="s">
        <v>77</v>
      </c>
      <c r="AY129" t="s">
        <v>77</v>
      </c>
      <c r="AZ129" t="s">
        <v>77</v>
      </c>
      <c r="BA129" t="s">
        <v>77</v>
      </c>
      <c r="BB129" t="s">
        <v>77</v>
      </c>
      <c r="BC129" t="s">
        <v>77</v>
      </c>
      <c r="BD129" t="s">
        <v>77</v>
      </c>
      <c r="BE129" t="s">
        <v>77</v>
      </c>
      <c r="BF129" t="s">
        <v>77</v>
      </c>
      <c r="BG129" t="s">
        <v>77</v>
      </c>
      <c r="BH129" t="s">
        <v>77</v>
      </c>
      <c r="BI129" t="s">
        <v>77</v>
      </c>
      <c r="BJ129" t="s">
        <v>77</v>
      </c>
      <c r="BK129" t="s">
        <v>77</v>
      </c>
      <c r="BL129" t="s">
        <v>77</v>
      </c>
    </row>
    <row r="130" spans="1:64" x14ac:dyDescent="0.2">
      <c r="A130" t="s">
        <v>267</v>
      </c>
      <c r="B130" t="s">
        <v>77</v>
      </c>
      <c r="C130" t="s">
        <v>77</v>
      </c>
      <c r="D130" t="s">
        <v>77</v>
      </c>
      <c r="E130" t="s">
        <v>77</v>
      </c>
      <c r="F130" t="s">
        <v>77</v>
      </c>
      <c r="G130" t="s">
        <v>77</v>
      </c>
      <c r="J130" t="s">
        <v>76</v>
      </c>
      <c r="K130" t="s">
        <v>77</v>
      </c>
      <c r="L130" t="s">
        <v>96</v>
      </c>
      <c r="M130" t="s">
        <v>76</v>
      </c>
      <c r="N130" t="s">
        <v>105</v>
      </c>
      <c r="O130" t="s">
        <v>105</v>
      </c>
      <c r="P130" t="s">
        <v>76</v>
      </c>
      <c r="Q130" t="s">
        <v>76</v>
      </c>
      <c r="R130" t="s">
        <v>77</v>
      </c>
      <c r="S130" t="s">
        <v>77</v>
      </c>
      <c r="T130" t="s">
        <v>77</v>
      </c>
      <c r="U130" t="s">
        <v>77</v>
      </c>
      <c r="V130" t="s">
        <v>77</v>
      </c>
      <c r="W130" t="s">
        <v>77</v>
      </c>
      <c r="X130" t="s">
        <v>77</v>
      </c>
      <c r="Y130" t="s">
        <v>77</v>
      </c>
      <c r="Z130" t="s">
        <v>77</v>
      </c>
      <c r="AA130" t="s">
        <v>77</v>
      </c>
      <c r="AB130" t="s">
        <v>77</v>
      </c>
      <c r="AC130" t="s">
        <v>77</v>
      </c>
      <c r="AD130" t="s">
        <v>77</v>
      </c>
      <c r="AE130" t="s">
        <v>77</v>
      </c>
      <c r="AF130" t="s">
        <v>77</v>
      </c>
      <c r="AG130" t="s">
        <v>77</v>
      </c>
      <c r="AH130" t="s">
        <v>77</v>
      </c>
      <c r="AI130" t="s">
        <v>77</v>
      </c>
      <c r="AJ130" t="s">
        <v>77</v>
      </c>
      <c r="AK130" t="s">
        <v>77</v>
      </c>
      <c r="AL130" t="s">
        <v>77</v>
      </c>
      <c r="AM130" t="s">
        <v>77</v>
      </c>
      <c r="AN130" t="s">
        <v>77</v>
      </c>
      <c r="AO130" t="s">
        <v>77</v>
      </c>
      <c r="AP130" t="s">
        <v>77</v>
      </c>
      <c r="AQ130" t="s">
        <v>77</v>
      </c>
      <c r="AR130" t="s">
        <v>77</v>
      </c>
      <c r="AS130" t="s">
        <v>77</v>
      </c>
      <c r="AT130" t="s">
        <v>77</v>
      </c>
      <c r="AU130" t="s">
        <v>77</v>
      </c>
      <c r="AV130" t="s">
        <v>77</v>
      </c>
      <c r="AW130" t="s">
        <v>77</v>
      </c>
      <c r="AX130" t="s">
        <v>77</v>
      </c>
      <c r="AY130" t="s">
        <v>77</v>
      </c>
      <c r="AZ130" t="s">
        <v>77</v>
      </c>
      <c r="BA130" t="s">
        <v>77</v>
      </c>
      <c r="BB130" t="s">
        <v>77</v>
      </c>
      <c r="BC130" t="s">
        <v>77</v>
      </c>
      <c r="BD130" t="s">
        <v>77</v>
      </c>
      <c r="BE130" t="s">
        <v>77</v>
      </c>
      <c r="BF130" t="s">
        <v>77</v>
      </c>
      <c r="BG130" t="s">
        <v>77</v>
      </c>
      <c r="BH130" t="s">
        <v>77</v>
      </c>
      <c r="BI130" t="s">
        <v>77</v>
      </c>
      <c r="BJ130" t="s">
        <v>77</v>
      </c>
      <c r="BK130" t="s">
        <v>77</v>
      </c>
      <c r="BL130" t="s">
        <v>77</v>
      </c>
    </row>
    <row r="131" spans="1:64" x14ac:dyDescent="0.2">
      <c r="A131" t="s">
        <v>268</v>
      </c>
      <c r="B131" t="s">
        <v>77</v>
      </c>
      <c r="C131" t="s">
        <v>77</v>
      </c>
      <c r="D131" t="s">
        <v>77</v>
      </c>
      <c r="E131" t="s">
        <v>77</v>
      </c>
      <c r="F131" t="s">
        <v>77</v>
      </c>
      <c r="G131" t="s">
        <v>77</v>
      </c>
      <c r="J131" t="s">
        <v>76</v>
      </c>
      <c r="K131" t="s">
        <v>77</v>
      </c>
      <c r="L131" t="s">
        <v>96</v>
      </c>
      <c r="M131" t="s">
        <v>76</v>
      </c>
      <c r="N131" t="s">
        <v>105</v>
      </c>
      <c r="O131" t="s">
        <v>105</v>
      </c>
      <c r="P131" t="s">
        <v>76</v>
      </c>
      <c r="Q131" t="s">
        <v>76</v>
      </c>
      <c r="R131" t="s">
        <v>77</v>
      </c>
      <c r="S131" t="s">
        <v>77</v>
      </c>
      <c r="T131" t="s">
        <v>77</v>
      </c>
      <c r="U131" t="s">
        <v>77</v>
      </c>
      <c r="V131" t="s">
        <v>77</v>
      </c>
      <c r="W131" t="s">
        <v>77</v>
      </c>
      <c r="X131" t="s">
        <v>77</v>
      </c>
      <c r="Y131" t="s">
        <v>77</v>
      </c>
      <c r="Z131" t="s">
        <v>77</v>
      </c>
      <c r="AA131" t="s">
        <v>77</v>
      </c>
      <c r="AB131" t="s">
        <v>77</v>
      </c>
      <c r="AC131" t="s">
        <v>77</v>
      </c>
      <c r="AD131" t="s">
        <v>77</v>
      </c>
      <c r="AE131" t="s">
        <v>77</v>
      </c>
      <c r="AF131" t="s">
        <v>77</v>
      </c>
      <c r="AG131" t="s">
        <v>77</v>
      </c>
      <c r="AH131" t="s">
        <v>77</v>
      </c>
      <c r="AI131" t="s">
        <v>77</v>
      </c>
      <c r="AJ131" t="s">
        <v>77</v>
      </c>
      <c r="AK131" t="s">
        <v>77</v>
      </c>
      <c r="AL131" t="s">
        <v>77</v>
      </c>
      <c r="AM131" t="s">
        <v>77</v>
      </c>
      <c r="AN131" t="s">
        <v>77</v>
      </c>
      <c r="AO131" t="s">
        <v>77</v>
      </c>
      <c r="AP131" t="s">
        <v>77</v>
      </c>
      <c r="AQ131" t="s">
        <v>77</v>
      </c>
      <c r="AR131" t="s">
        <v>77</v>
      </c>
      <c r="AS131" t="s">
        <v>77</v>
      </c>
      <c r="AT131" t="s">
        <v>77</v>
      </c>
      <c r="AU131" t="s">
        <v>77</v>
      </c>
      <c r="AV131" t="s">
        <v>77</v>
      </c>
      <c r="AW131" t="s">
        <v>77</v>
      </c>
      <c r="AX131" t="s">
        <v>77</v>
      </c>
      <c r="AY131" t="s">
        <v>77</v>
      </c>
      <c r="AZ131" t="s">
        <v>77</v>
      </c>
      <c r="BA131" t="s">
        <v>77</v>
      </c>
      <c r="BB131" t="s">
        <v>77</v>
      </c>
      <c r="BC131" t="s">
        <v>77</v>
      </c>
      <c r="BD131" t="s">
        <v>77</v>
      </c>
      <c r="BE131" t="s">
        <v>77</v>
      </c>
      <c r="BF131" t="s">
        <v>77</v>
      </c>
      <c r="BG131" t="s">
        <v>77</v>
      </c>
      <c r="BH131" t="s">
        <v>77</v>
      </c>
      <c r="BI131" t="s">
        <v>77</v>
      </c>
      <c r="BJ131" t="s">
        <v>77</v>
      </c>
      <c r="BK131" t="s">
        <v>77</v>
      </c>
      <c r="BL131" t="s">
        <v>77</v>
      </c>
    </row>
    <row r="132" spans="1:64" x14ac:dyDescent="0.2">
      <c r="A132" t="s">
        <v>269</v>
      </c>
      <c r="B132" t="s">
        <v>77</v>
      </c>
      <c r="C132" t="s">
        <v>77</v>
      </c>
      <c r="D132" t="s">
        <v>77</v>
      </c>
      <c r="E132" t="s">
        <v>77</v>
      </c>
      <c r="F132" t="s">
        <v>77</v>
      </c>
      <c r="G132" t="s">
        <v>77</v>
      </c>
      <c r="J132" t="s">
        <v>76</v>
      </c>
      <c r="K132" t="s">
        <v>77</v>
      </c>
      <c r="L132" t="s">
        <v>96</v>
      </c>
      <c r="M132" t="s">
        <v>76</v>
      </c>
      <c r="N132" t="s">
        <v>105</v>
      </c>
      <c r="O132" t="s">
        <v>105</v>
      </c>
      <c r="P132" t="s">
        <v>76</v>
      </c>
      <c r="Q132" t="s">
        <v>76</v>
      </c>
      <c r="R132" t="s">
        <v>77</v>
      </c>
      <c r="S132" t="s">
        <v>77</v>
      </c>
      <c r="T132" t="s">
        <v>77</v>
      </c>
      <c r="U132" t="s">
        <v>77</v>
      </c>
      <c r="V132" t="s">
        <v>77</v>
      </c>
      <c r="W132" t="s">
        <v>77</v>
      </c>
      <c r="X132" t="s">
        <v>77</v>
      </c>
      <c r="Y132" t="s">
        <v>77</v>
      </c>
      <c r="Z132" t="s">
        <v>77</v>
      </c>
      <c r="AA132" t="s">
        <v>77</v>
      </c>
      <c r="AB132" t="s">
        <v>77</v>
      </c>
      <c r="AC132" t="s">
        <v>77</v>
      </c>
      <c r="AD132" t="s">
        <v>77</v>
      </c>
      <c r="AE132" t="s">
        <v>77</v>
      </c>
      <c r="AF132" t="s">
        <v>77</v>
      </c>
      <c r="AG132" t="s">
        <v>77</v>
      </c>
      <c r="AH132" t="s">
        <v>77</v>
      </c>
      <c r="AI132" t="s">
        <v>77</v>
      </c>
      <c r="AJ132" t="s">
        <v>77</v>
      </c>
      <c r="AK132" t="s">
        <v>77</v>
      </c>
      <c r="AL132" t="s">
        <v>77</v>
      </c>
      <c r="AM132" t="s">
        <v>77</v>
      </c>
      <c r="AN132" t="s">
        <v>77</v>
      </c>
      <c r="AO132" t="s">
        <v>77</v>
      </c>
      <c r="AP132" t="s">
        <v>77</v>
      </c>
      <c r="AQ132" t="s">
        <v>77</v>
      </c>
      <c r="AR132" t="s">
        <v>77</v>
      </c>
      <c r="AS132" t="s">
        <v>77</v>
      </c>
      <c r="AT132" t="s">
        <v>77</v>
      </c>
      <c r="AU132" t="s">
        <v>77</v>
      </c>
      <c r="AV132" t="s">
        <v>77</v>
      </c>
      <c r="AW132" t="s">
        <v>77</v>
      </c>
      <c r="AX132" t="s">
        <v>77</v>
      </c>
      <c r="AY132" t="s">
        <v>77</v>
      </c>
      <c r="AZ132" t="s">
        <v>77</v>
      </c>
      <c r="BA132" t="s">
        <v>77</v>
      </c>
      <c r="BB132" t="s">
        <v>77</v>
      </c>
      <c r="BC132" t="s">
        <v>77</v>
      </c>
      <c r="BD132" t="s">
        <v>77</v>
      </c>
      <c r="BE132" t="s">
        <v>77</v>
      </c>
      <c r="BF132" t="s">
        <v>77</v>
      </c>
      <c r="BG132" t="s">
        <v>77</v>
      </c>
      <c r="BH132" t="s">
        <v>77</v>
      </c>
      <c r="BI132" t="s">
        <v>77</v>
      </c>
      <c r="BJ132" t="s">
        <v>77</v>
      </c>
      <c r="BK132" t="s">
        <v>77</v>
      </c>
      <c r="BL132" t="s">
        <v>77</v>
      </c>
    </row>
    <row r="133" spans="1:64" x14ac:dyDescent="0.2">
      <c r="A133" t="s">
        <v>270</v>
      </c>
      <c r="B133" t="s">
        <v>77</v>
      </c>
      <c r="C133" t="s">
        <v>77</v>
      </c>
      <c r="D133" t="s">
        <v>77</v>
      </c>
      <c r="E133" t="s">
        <v>77</v>
      </c>
      <c r="F133" t="s">
        <v>77</v>
      </c>
      <c r="G133" t="s">
        <v>77</v>
      </c>
      <c r="J133" t="s">
        <v>76</v>
      </c>
      <c r="K133" t="s">
        <v>77</v>
      </c>
      <c r="L133" t="s">
        <v>96</v>
      </c>
      <c r="M133" t="s">
        <v>76</v>
      </c>
      <c r="N133" t="s">
        <v>105</v>
      </c>
      <c r="O133" t="s">
        <v>105</v>
      </c>
      <c r="P133" t="s">
        <v>76</v>
      </c>
      <c r="Q133" t="s">
        <v>76</v>
      </c>
      <c r="R133" t="s">
        <v>77</v>
      </c>
      <c r="S133" t="s">
        <v>77</v>
      </c>
      <c r="T133" t="s">
        <v>77</v>
      </c>
      <c r="U133" t="s">
        <v>77</v>
      </c>
      <c r="V133" t="s">
        <v>77</v>
      </c>
      <c r="W133" t="s">
        <v>77</v>
      </c>
      <c r="X133" t="s">
        <v>77</v>
      </c>
      <c r="Y133" t="s">
        <v>77</v>
      </c>
      <c r="Z133" t="s">
        <v>77</v>
      </c>
      <c r="AA133" t="s">
        <v>77</v>
      </c>
      <c r="AB133" t="s">
        <v>77</v>
      </c>
      <c r="AC133" t="s">
        <v>77</v>
      </c>
      <c r="AD133" t="s">
        <v>77</v>
      </c>
      <c r="AE133" t="s">
        <v>77</v>
      </c>
      <c r="AF133" t="s">
        <v>77</v>
      </c>
      <c r="AG133" t="s">
        <v>77</v>
      </c>
      <c r="AH133" t="s">
        <v>77</v>
      </c>
      <c r="AI133" t="s">
        <v>77</v>
      </c>
      <c r="AJ133" t="s">
        <v>77</v>
      </c>
      <c r="AK133" t="s">
        <v>77</v>
      </c>
      <c r="AL133" t="s">
        <v>77</v>
      </c>
      <c r="AM133" t="s">
        <v>77</v>
      </c>
      <c r="AN133" t="s">
        <v>77</v>
      </c>
      <c r="AO133" t="s">
        <v>77</v>
      </c>
      <c r="AP133" t="s">
        <v>77</v>
      </c>
      <c r="AQ133" t="s">
        <v>77</v>
      </c>
      <c r="AR133" t="s">
        <v>77</v>
      </c>
      <c r="AS133" t="s">
        <v>77</v>
      </c>
      <c r="AT133" t="s">
        <v>77</v>
      </c>
      <c r="AU133" t="s">
        <v>77</v>
      </c>
      <c r="AV133" t="s">
        <v>77</v>
      </c>
      <c r="AW133" t="s">
        <v>77</v>
      </c>
      <c r="AX133" t="s">
        <v>77</v>
      </c>
      <c r="AY133" t="s">
        <v>77</v>
      </c>
      <c r="AZ133" t="s">
        <v>77</v>
      </c>
      <c r="BA133" t="s">
        <v>77</v>
      </c>
      <c r="BB133" t="s">
        <v>77</v>
      </c>
      <c r="BC133" t="s">
        <v>77</v>
      </c>
      <c r="BD133" t="s">
        <v>77</v>
      </c>
      <c r="BE133" t="s">
        <v>77</v>
      </c>
      <c r="BF133" t="s">
        <v>77</v>
      </c>
      <c r="BG133" t="s">
        <v>77</v>
      </c>
      <c r="BH133" t="s">
        <v>77</v>
      </c>
      <c r="BI133" t="s">
        <v>77</v>
      </c>
      <c r="BJ133" t="s">
        <v>77</v>
      </c>
      <c r="BK133" t="s">
        <v>77</v>
      </c>
      <c r="BL133" t="s">
        <v>77</v>
      </c>
    </row>
    <row r="135" spans="1:64" x14ac:dyDescent="0.2">
      <c r="A135" t="s">
        <v>94</v>
      </c>
      <c r="B135" t="s">
        <v>86</v>
      </c>
      <c r="C135" t="s">
        <v>86</v>
      </c>
      <c r="D135" t="s">
        <v>86</v>
      </c>
      <c r="E135" t="s">
        <v>86</v>
      </c>
      <c r="F135" t="s">
        <v>86</v>
      </c>
      <c r="G135" t="s">
        <v>86</v>
      </c>
      <c r="H135" t="s">
        <v>86</v>
      </c>
      <c r="I135" t="s">
        <v>86</v>
      </c>
      <c r="J135" t="s">
        <v>86</v>
      </c>
      <c r="K135" t="s">
        <v>172</v>
      </c>
      <c r="L135" t="s">
        <v>172</v>
      </c>
      <c r="M135" t="s">
        <v>172</v>
      </c>
      <c r="N135" t="s">
        <v>86</v>
      </c>
      <c r="O135" t="s">
        <v>172</v>
      </c>
      <c r="P135" t="s">
        <v>86</v>
      </c>
      <c r="Q135" t="s">
        <v>86</v>
      </c>
      <c r="R135" t="s">
        <v>86</v>
      </c>
      <c r="S135" t="s">
        <v>172</v>
      </c>
      <c r="T135" t="s">
        <v>172</v>
      </c>
      <c r="U135" t="s">
        <v>172</v>
      </c>
      <c r="V135" t="s">
        <v>172</v>
      </c>
      <c r="W135" t="s">
        <v>172</v>
      </c>
      <c r="X135" t="s">
        <v>172</v>
      </c>
      <c r="Y135" t="s">
        <v>172</v>
      </c>
      <c r="Z135" t="s">
        <v>172</v>
      </c>
      <c r="AA135" t="s">
        <v>172</v>
      </c>
      <c r="AB135" t="s">
        <v>172</v>
      </c>
      <c r="AC135" t="s">
        <v>172</v>
      </c>
      <c r="BJ135" t="s">
        <v>172</v>
      </c>
      <c r="BK135" t="s">
        <v>172</v>
      </c>
      <c r="BL135" t="s">
        <v>172</v>
      </c>
    </row>
    <row r="136" spans="1:64" x14ac:dyDescent="0.2">
      <c r="B136" t="s">
        <v>15</v>
      </c>
      <c r="C136" t="s">
        <v>14</v>
      </c>
      <c r="D136" t="s">
        <v>16</v>
      </c>
      <c r="E136" t="s">
        <v>276</v>
      </c>
      <c r="F136" t="s">
        <v>19</v>
      </c>
      <c r="G136" t="s">
        <v>20</v>
      </c>
      <c r="H136" t="s">
        <v>22</v>
      </c>
      <c r="I136" t="s">
        <v>24</v>
      </c>
      <c r="J136" t="s">
        <v>52</v>
      </c>
      <c r="K136" t="s">
        <v>27</v>
      </c>
      <c r="L136" t="s">
        <v>28</v>
      </c>
      <c r="M136" t="s">
        <v>116</v>
      </c>
      <c r="N136" t="s">
        <v>103</v>
      </c>
      <c r="O136" t="s">
        <v>110</v>
      </c>
      <c r="P136" t="s">
        <v>142</v>
      </c>
      <c r="Q136" t="s">
        <v>143</v>
      </c>
      <c r="R136" t="s">
        <v>144</v>
      </c>
      <c r="S136" t="s">
        <v>66</v>
      </c>
      <c r="T136" t="s">
        <v>552</v>
      </c>
      <c r="U136" t="s">
        <v>67</v>
      </c>
      <c r="V136" t="s">
        <v>55</v>
      </c>
      <c r="W136" t="s">
        <v>56</v>
      </c>
      <c r="X136" t="s">
        <v>57</v>
      </c>
      <c r="Y136" t="s">
        <v>58</v>
      </c>
      <c r="Z136" t="s">
        <v>59</v>
      </c>
      <c r="AA136" t="s">
        <v>61</v>
      </c>
      <c r="AB136" t="s">
        <v>60</v>
      </c>
      <c r="AC136" t="s">
        <v>62</v>
      </c>
      <c r="AD136" t="s">
        <v>368</v>
      </c>
      <c r="AE136" t="s">
        <v>316</v>
      </c>
      <c r="AF136" t="s">
        <v>317</v>
      </c>
      <c r="AG136" t="s">
        <v>318</v>
      </c>
      <c r="AH136" t="s">
        <v>319</v>
      </c>
      <c r="AI136" t="s">
        <v>320</v>
      </c>
      <c r="AJ136" t="s">
        <v>321</v>
      </c>
      <c r="AK136" t="s">
        <v>322</v>
      </c>
      <c r="AL136" t="s">
        <v>323</v>
      </c>
      <c r="AM136" t="s">
        <v>324</v>
      </c>
      <c r="AN136" t="s">
        <v>325</v>
      </c>
      <c r="AO136" t="s">
        <v>55</v>
      </c>
      <c r="AP136" t="s">
        <v>326</v>
      </c>
      <c r="AQ136" t="s">
        <v>327</v>
      </c>
      <c r="AR136" t="s">
        <v>328</v>
      </c>
      <c r="AS136" t="s">
        <v>329</v>
      </c>
      <c r="AT136" t="s">
        <v>330</v>
      </c>
      <c r="AU136" t="s">
        <v>331</v>
      </c>
      <c r="AV136" t="s">
        <v>332</v>
      </c>
      <c r="AW136" t="s">
        <v>335</v>
      </c>
      <c r="AX136" t="s">
        <v>333</v>
      </c>
      <c r="AY136" t="s">
        <v>334</v>
      </c>
      <c r="AZ136" t="s">
        <v>336</v>
      </c>
      <c r="BA136" t="s">
        <v>337</v>
      </c>
      <c r="BB136" t="s">
        <v>338</v>
      </c>
      <c r="BC136" t="s">
        <v>339</v>
      </c>
      <c r="BD136" t="s">
        <v>297</v>
      </c>
      <c r="BE136" t="s">
        <v>299</v>
      </c>
      <c r="BF136" t="s">
        <v>298</v>
      </c>
      <c r="BG136" t="s">
        <v>342</v>
      </c>
      <c r="BH136" t="s">
        <v>340</v>
      </c>
      <c r="BI136" t="s">
        <v>341</v>
      </c>
      <c r="BJ136" t="s">
        <v>29</v>
      </c>
      <c r="BK136" t="s">
        <v>30</v>
      </c>
      <c r="BL136" t="s">
        <v>31</v>
      </c>
    </row>
    <row r="137" spans="1:64" x14ac:dyDescent="0.2">
      <c r="A137" t="s">
        <v>428</v>
      </c>
      <c r="B137">
        <f t="shared" ref="B137:D165" si="0">1/17</f>
        <v>5.8823529411764705E-2</v>
      </c>
      <c r="C137" s="2">
        <f>'vehicles specifications'!S3</f>
        <v>7</v>
      </c>
      <c r="D137">
        <f t="shared" si="0"/>
        <v>5.8823529411764705E-2</v>
      </c>
      <c r="E137">
        <v>1</v>
      </c>
      <c r="F137">
        <f>1+'vehicles specifications'!AD3</f>
        <v>1</v>
      </c>
      <c r="G137">
        <f>1+'vehicles specifications'!AD3</f>
        <v>1</v>
      </c>
      <c r="J137">
        <v>1</v>
      </c>
      <c r="K137">
        <f>1/('fuels and tailpipe emissions'!$C$3*3.6)</f>
        <v>2.3474178403755867E-2</v>
      </c>
      <c r="L137">
        <f>1/3.6*1.1</f>
        <v>0.30555555555555558</v>
      </c>
      <c r="M137">
        <f>1/'vehicles specifications'!J3</f>
        <v>5.602240896358543E-4</v>
      </c>
      <c r="N137">
        <v>1</v>
      </c>
      <c r="O137">
        <f>1</f>
        <v>1</v>
      </c>
      <c r="P137">
        <f>-1/17</f>
        <v>-5.8823529411764705E-2</v>
      </c>
      <c r="Q137">
        <f t="shared" ref="Q137:Q148" si="1">-1/24</f>
        <v>-4.1666666666666664E-2</v>
      </c>
      <c r="R137">
        <f>-1-'vehicles specifications'!AD3</f>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c r="AS137">
        <v>1</v>
      </c>
      <c r="AT137">
        <v>1</v>
      </c>
      <c r="AU137">
        <v>1</v>
      </c>
      <c r="AV137">
        <v>1</v>
      </c>
      <c r="AW137">
        <v>1</v>
      </c>
      <c r="AX137">
        <v>1</v>
      </c>
      <c r="AY137">
        <v>1</v>
      </c>
      <c r="AZ137">
        <v>1</v>
      </c>
      <c r="BA137">
        <v>1</v>
      </c>
      <c r="BB137">
        <v>1</v>
      </c>
      <c r="BC137">
        <v>1</v>
      </c>
      <c r="BD137">
        <v>1</v>
      </c>
      <c r="BE137">
        <v>1</v>
      </c>
      <c r="BF137">
        <v>1</v>
      </c>
      <c r="BG137">
        <v>1</v>
      </c>
      <c r="BH137">
        <v>1</v>
      </c>
      <c r="BI137">
        <v>1</v>
      </c>
      <c r="BJ137">
        <f>-1/'vehicles specifications'!$M3</f>
        <v>-1</v>
      </c>
      <c r="BK137">
        <f>-1/'vehicles specifications'!$M3</f>
        <v>-1</v>
      </c>
      <c r="BL137">
        <f>-1/'vehicles specifications'!$M3</f>
        <v>-1</v>
      </c>
    </row>
    <row r="138" spans="1:64" x14ac:dyDescent="0.2">
      <c r="A138" t="s">
        <v>429</v>
      </c>
      <c r="B138">
        <f t="shared" si="0"/>
        <v>5.8823529411764705E-2</v>
      </c>
      <c r="C138" s="2">
        <f>'vehicles specifications'!S4</f>
        <v>7</v>
      </c>
      <c r="D138">
        <f t="shared" si="0"/>
        <v>5.8823529411764705E-2</v>
      </c>
      <c r="E138">
        <v>1</v>
      </c>
      <c r="F138">
        <f>1+'vehicles specifications'!AD4</f>
        <v>1</v>
      </c>
      <c r="G138">
        <f>1+'vehicles specifications'!AD4</f>
        <v>1</v>
      </c>
      <c r="J138">
        <v>1</v>
      </c>
      <c r="K138">
        <f>1/('fuels and tailpipe emissions'!$C$3*3.6)</f>
        <v>2.3474178403755867E-2</v>
      </c>
      <c r="L138">
        <f t="shared" ref="L138:L188" si="2">1/3.6*1.1</f>
        <v>0.30555555555555558</v>
      </c>
      <c r="M138">
        <f>1/'vehicles specifications'!J4</f>
        <v>5.602240896358543E-4</v>
      </c>
      <c r="N138">
        <v>1</v>
      </c>
      <c r="O138">
        <f>1</f>
        <v>1</v>
      </c>
      <c r="P138">
        <f>-1/17</f>
        <v>-5.8823529411764705E-2</v>
      </c>
      <c r="Q138">
        <f t="shared" si="1"/>
        <v>-4.1666666666666664E-2</v>
      </c>
      <c r="R138">
        <f>-1-'vehicles specifications'!AD4</f>
        <v>-1</v>
      </c>
      <c r="S138">
        <v>1</v>
      </c>
      <c r="T138">
        <v>1</v>
      </c>
      <c r="U138">
        <v>1</v>
      </c>
      <c r="V138">
        <v>1</v>
      </c>
      <c r="W138">
        <v>1</v>
      </c>
      <c r="X138">
        <v>1</v>
      </c>
      <c r="Y138">
        <v>1</v>
      </c>
      <c r="Z138">
        <v>1</v>
      </c>
      <c r="AA138">
        <v>1</v>
      </c>
      <c r="AB138">
        <v>1</v>
      </c>
      <c r="AC138">
        <v>1</v>
      </c>
      <c r="AD138">
        <v>1</v>
      </c>
      <c r="AE138">
        <v>1</v>
      </c>
      <c r="AF138">
        <v>1</v>
      </c>
      <c r="AG138">
        <v>1</v>
      </c>
      <c r="AH138">
        <v>1</v>
      </c>
      <c r="AI138">
        <v>1</v>
      </c>
      <c r="AJ138">
        <v>1</v>
      </c>
      <c r="AK138">
        <v>1</v>
      </c>
      <c r="AL138">
        <v>1</v>
      </c>
      <c r="AM138">
        <v>1</v>
      </c>
      <c r="AN138">
        <v>1</v>
      </c>
      <c r="AO138">
        <v>1</v>
      </c>
      <c r="AP138">
        <v>1</v>
      </c>
      <c r="AQ138">
        <v>1</v>
      </c>
      <c r="AR138">
        <v>1</v>
      </c>
      <c r="AS138">
        <v>1</v>
      </c>
      <c r="AT138">
        <v>1</v>
      </c>
      <c r="AU138">
        <v>1</v>
      </c>
      <c r="AV138">
        <v>1</v>
      </c>
      <c r="AW138">
        <v>1</v>
      </c>
      <c r="AX138">
        <v>1</v>
      </c>
      <c r="AY138">
        <v>1</v>
      </c>
      <c r="AZ138">
        <v>1</v>
      </c>
      <c r="BA138">
        <v>1</v>
      </c>
      <c r="BB138">
        <v>1</v>
      </c>
      <c r="BC138">
        <v>1</v>
      </c>
      <c r="BD138">
        <v>1</v>
      </c>
      <c r="BE138">
        <v>1</v>
      </c>
      <c r="BF138">
        <v>1</v>
      </c>
      <c r="BG138">
        <v>1</v>
      </c>
      <c r="BH138">
        <v>1</v>
      </c>
      <c r="BI138">
        <v>1</v>
      </c>
      <c r="BJ138">
        <f>-1/'vehicles specifications'!$M4</f>
        <v>-1</v>
      </c>
      <c r="BK138">
        <f>-1/'vehicles specifications'!$M4</f>
        <v>-1</v>
      </c>
      <c r="BL138">
        <f>-1/'vehicles specifications'!$M4</f>
        <v>-1</v>
      </c>
    </row>
    <row r="139" spans="1:64" x14ac:dyDescent="0.2">
      <c r="A139" t="s">
        <v>430</v>
      </c>
      <c r="B139">
        <f t="shared" si="0"/>
        <v>5.8823529411764705E-2</v>
      </c>
      <c r="C139" s="2">
        <f>'vehicles specifications'!S5</f>
        <v>7</v>
      </c>
      <c r="D139">
        <f t="shared" si="0"/>
        <v>5.8823529411764705E-2</v>
      </c>
      <c r="E139">
        <v>1</v>
      </c>
      <c r="F139">
        <f>1+'vehicles specifications'!AD5</f>
        <v>1</v>
      </c>
      <c r="G139">
        <f>1+'vehicles specifications'!AD5</f>
        <v>1</v>
      </c>
      <c r="J139">
        <v>1</v>
      </c>
      <c r="K139">
        <f>1/('fuels and tailpipe emissions'!$C$3*3.6)</f>
        <v>2.3474178403755867E-2</v>
      </c>
      <c r="L139">
        <f t="shared" si="2"/>
        <v>0.30555555555555558</v>
      </c>
      <c r="M139">
        <f>1/'vehicles specifications'!J5</f>
        <v>5.602240896358543E-4</v>
      </c>
      <c r="N139">
        <v>1</v>
      </c>
      <c r="O139">
        <f>1</f>
        <v>1</v>
      </c>
      <c r="P139">
        <f t="shared" ref="P139:P152" si="3">-1/17</f>
        <v>-5.8823529411764705E-2</v>
      </c>
      <c r="Q139">
        <f t="shared" si="1"/>
        <v>-4.1666666666666664E-2</v>
      </c>
      <c r="R139">
        <f>-1-'vehicles specifications'!AD5</f>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1</v>
      </c>
      <c r="AP139">
        <v>1</v>
      </c>
      <c r="AQ139">
        <v>1</v>
      </c>
      <c r="AR139">
        <v>1</v>
      </c>
      <c r="AS139">
        <v>1</v>
      </c>
      <c r="AT139">
        <v>1</v>
      </c>
      <c r="AU139">
        <v>1</v>
      </c>
      <c r="AV139">
        <v>1</v>
      </c>
      <c r="AW139">
        <v>1</v>
      </c>
      <c r="AX139">
        <v>1</v>
      </c>
      <c r="AY139">
        <v>1</v>
      </c>
      <c r="AZ139">
        <v>1</v>
      </c>
      <c r="BA139">
        <v>1</v>
      </c>
      <c r="BB139">
        <v>1</v>
      </c>
      <c r="BC139">
        <v>1</v>
      </c>
      <c r="BD139">
        <v>1</v>
      </c>
      <c r="BE139">
        <v>1</v>
      </c>
      <c r="BF139">
        <v>1</v>
      </c>
      <c r="BG139">
        <v>1</v>
      </c>
      <c r="BH139">
        <v>1</v>
      </c>
      <c r="BI139">
        <v>1</v>
      </c>
      <c r="BJ139">
        <f>-1/'vehicles specifications'!$M5</f>
        <v>-1</v>
      </c>
      <c r="BK139">
        <f>-1/'vehicles specifications'!$M5</f>
        <v>-1</v>
      </c>
      <c r="BL139">
        <f>-1/'vehicles specifications'!$M5</f>
        <v>-1</v>
      </c>
    </row>
    <row r="140" spans="1:64" x14ac:dyDescent="0.2">
      <c r="A140" t="s">
        <v>431</v>
      </c>
      <c r="B140">
        <f t="shared" si="0"/>
        <v>5.8823529411764705E-2</v>
      </c>
      <c r="C140" s="2">
        <f>'vehicles specifications'!S6</f>
        <v>7</v>
      </c>
      <c r="D140">
        <f t="shared" si="0"/>
        <v>5.8823529411764705E-2</v>
      </c>
      <c r="E140">
        <v>1</v>
      </c>
      <c r="F140">
        <f>1+'vehicles specifications'!AD6</f>
        <v>1</v>
      </c>
      <c r="G140">
        <f>1+'vehicles specifications'!AD6</f>
        <v>1</v>
      </c>
      <c r="J140">
        <v>1</v>
      </c>
      <c r="K140">
        <f>1/('fuels and tailpipe emissions'!$C$3*3.6)</f>
        <v>2.3474178403755867E-2</v>
      </c>
      <c r="L140">
        <f t="shared" si="2"/>
        <v>0.30555555555555558</v>
      </c>
      <c r="M140">
        <f>1/'vehicles specifications'!J6</f>
        <v>5.602240896358543E-4</v>
      </c>
      <c r="N140">
        <v>1</v>
      </c>
      <c r="O140">
        <f>1</f>
        <v>1</v>
      </c>
      <c r="P140">
        <f t="shared" si="3"/>
        <v>-5.8823529411764705E-2</v>
      </c>
      <c r="Q140">
        <f t="shared" si="1"/>
        <v>-4.1666666666666664E-2</v>
      </c>
      <c r="R140">
        <f>-1-'vehicles specifications'!AD6</f>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c r="AS140">
        <v>1</v>
      </c>
      <c r="AT140">
        <v>1</v>
      </c>
      <c r="AU140">
        <v>1</v>
      </c>
      <c r="AV140">
        <v>1</v>
      </c>
      <c r="AW140">
        <v>1</v>
      </c>
      <c r="AX140">
        <v>1</v>
      </c>
      <c r="AY140">
        <v>1</v>
      </c>
      <c r="AZ140">
        <v>1</v>
      </c>
      <c r="BA140">
        <v>1</v>
      </c>
      <c r="BB140">
        <v>1</v>
      </c>
      <c r="BC140">
        <v>1</v>
      </c>
      <c r="BD140">
        <v>1</v>
      </c>
      <c r="BE140">
        <v>1</v>
      </c>
      <c r="BF140">
        <v>1</v>
      </c>
      <c r="BG140">
        <v>1</v>
      </c>
      <c r="BH140">
        <v>1</v>
      </c>
      <c r="BI140">
        <v>1</v>
      </c>
      <c r="BJ140">
        <f>-1/'vehicles specifications'!$M6</f>
        <v>-1</v>
      </c>
      <c r="BK140">
        <f>-1/'vehicles specifications'!$M6</f>
        <v>-1</v>
      </c>
      <c r="BL140">
        <f>-1/'vehicles specifications'!$M6</f>
        <v>-1</v>
      </c>
    </row>
    <row r="141" spans="1:64" x14ac:dyDescent="0.2">
      <c r="A141" t="s">
        <v>432</v>
      </c>
      <c r="B141">
        <f t="shared" si="0"/>
        <v>5.8823529411764705E-2</v>
      </c>
      <c r="C141" s="2">
        <f>'vehicles specifications'!S7</f>
        <v>7</v>
      </c>
      <c r="D141">
        <f t="shared" si="0"/>
        <v>5.8823529411764705E-2</v>
      </c>
      <c r="E141">
        <v>1</v>
      </c>
      <c r="F141">
        <f>1+'vehicles specifications'!AD7</f>
        <v>1</v>
      </c>
      <c r="G141">
        <f>1+'vehicles specifications'!AD7</f>
        <v>1</v>
      </c>
      <c r="J141">
        <v>1</v>
      </c>
      <c r="K141">
        <f>1/('fuels and tailpipe emissions'!$C$3*3.6)</f>
        <v>2.3474178403755867E-2</v>
      </c>
      <c r="L141">
        <f>1/3.6*1.1</f>
        <v>0.30555555555555558</v>
      </c>
      <c r="M141">
        <f>1/'vehicles specifications'!J7</f>
        <v>5.602240896358543E-4</v>
      </c>
      <c r="N141">
        <v>1</v>
      </c>
      <c r="O141">
        <f>1</f>
        <v>1</v>
      </c>
      <c r="P141">
        <f>-1/17</f>
        <v>-5.8823529411764705E-2</v>
      </c>
      <c r="Q141">
        <f t="shared" si="1"/>
        <v>-4.1666666666666664E-2</v>
      </c>
      <c r="R141">
        <f>-1-'vehicles specifications'!AD7</f>
        <v>-1</v>
      </c>
      <c r="S141">
        <v>1</v>
      </c>
      <c r="T141">
        <v>1</v>
      </c>
      <c r="U141">
        <v>1</v>
      </c>
      <c r="V141">
        <v>1</v>
      </c>
      <c r="W141">
        <v>1</v>
      </c>
      <c r="X141">
        <v>1</v>
      </c>
      <c r="Y141">
        <v>1</v>
      </c>
      <c r="Z141">
        <v>1</v>
      </c>
      <c r="AA141">
        <v>1</v>
      </c>
      <c r="AB141">
        <v>1</v>
      </c>
      <c r="AC141">
        <v>1</v>
      </c>
      <c r="AD141">
        <v>1</v>
      </c>
      <c r="AE141">
        <v>1</v>
      </c>
      <c r="AF141">
        <v>1</v>
      </c>
      <c r="AG141">
        <v>1</v>
      </c>
      <c r="AH141">
        <v>1</v>
      </c>
      <c r="AI141">
        <v>1</v>
      </c>
      <c r="AJ141">
        <v>1</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f>-1/'vehicles specifications'!$M7</f>
        <v>-1</v>
      </c>
      <c r="BK141">
        <f>-1/'vehicles specifications'!$M7</f>
        <v>-1</v>
      </c>
      <c r="BL141">
        <f>-1/'vehicles specifications'!$M7</f>
        <v>-1</v>
      </c>
    </row>
    <row r="142" spans="1:64" x14ac:dyDescent="0.2">
      <c r="A142" t="s">
        <v>433</v>
      </c>
      <c r="B142">
        <f t="shared" si="0"/>
        <v>5.8823529411764705E-2</v>
      </c>
      <c r="C142" s="2">
        <f>'vehicles specifications'!S8</f>
        <v>7</v>
      </c>
      <c r="D142">
        <f t="shared" si="0"/>
        <v>5.8823529411764705E-2</v>
      </c>
      <c r="E142">
        <v>1</v>
      </c>
      <c r="F142">
        <f>1+'vehicles specifications'!AD8</f>
        <v>1</v>
      </c>
      <c r="G142">
        <f>1+'vehicles specifications'!AD8</f>
        <v>1</v>
      </c>
      <c r="J142">
        <v>1</v>
      </c>
      <c r="K142">
        <f>1/('fuels and tailpipe emissions'!$C$3*3.6)</f>
        <v>2.3474178403755867E-2</v>
      </c>
      <c r="L142">
        <f t="shared" si="2"/>
        <v>0.30555555555555558</v>
      </c>
      <c r="M142">
        <f>1/'vehicles specifications'!J8</f>
        <v>5.602240896358543E-4</v>
      </c>
      <c r="N142">
        <v>1</v>
      </c>
      <c r="O142">
        <f>1</f>
        <v>1</v>
      </c>
      <c r="P142">
        <f>-1/17</f>
        <v>-5.8823529411764705E-2</v>
      </c>
      <c r="Q142">
        <f t="shared" si="1"/>
        <v>-4.1666666666666664E-2</v>
      </c>
      <c r="R142">
        <f>-1-'vehicles specifications'!AD8</f>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f>-1/'vehicles specifications'!$M8</f>
        <v>-1</v>
      </c>
      <c r="BK142">
        <f>-1/'vehicles specifications'!$M8</f>
        <v>-1</v>
      </c>
      <c r="BL142">
        <f>-1/'vehicles specifications'!$M8</f>
        <v>-1</v>
      </c>
    </row>
    <row r="143" spans="1:64" x14ac:dyDescent="0.2">
      <c r="A143" t="s">
        <v>434</v>
      </c>
      <c r="B143">
        <f t="shared" si="0"/>
        <v>5.8823529411764705E-2</v>
      </c>
      <c r="C143" s="2">
        <f>'vehicles specifications'!S9</f>
        <v>7</v>
      </c>
      <c r="D143">
        <f t="shared" si="0"/>
        <v>5.8823529411764705E-2</v>
      </c>
      <c r="E143">
        <v>1</v>
      </c>
      <c r="F143">
        <f>1+'vehicles specifications'!AD9</f>
        <v>1</v>
      </c>
      <c r="G143">
        <f>1+'vehicles specifications'!AD9</f>
        <v>1</v>
      </c>
      <c r="J143">
        <v>1</v>
      </c>
      <c r="K143">
        <f>1/('fuels and tailpipe emissions'!$C$3*3.6)</f>
        <v>2.3474178403755867E-2</v>
      </c>
      <c r="L143">
        <f t="shared" si="2"/>
        <v>0.30555555555555558</v>
      </c>
      <c r="M143">
        <f>1/'vehicles specifications'!J9</f>
        <v>5.602240896358543E-4</v>
      </c>
      <c r="N143">
        <v>1</v>
      </c>
      <c r="O143">
        <f>1</f>
        <v>1</v>
      </c>
      <c r="P143">
        <f t="shared" si="3"/>
        <v>-5.8823529411764705E-2</v>
      </c>
      <c r="Q143">
        <f t="shared" si="1"/>
        <v>-4.1666666666666664E-2</v>
      </c>
      <c r="R143">
        <f>-1-'vehicles specifications'!AD9</f>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f>-1/'vehicles specifications'!$M9</f>
        <v>-1</v>
      </c>
      <c r="BK143">
        <f>-1/'vehicles specifications'!$M9</f>
        <v>-1</v>
      </c>
      <c r="BL143">
        <f>-1/'vehicles specifications'!$M9</f>
        <v>-1</v>
      </c>
    </row>
    <row r="144" spans="1:64" x14ac:dyDescent="0.2">
      <c r="A144" t="s">
        <v>435</v>
      </c>
      <c r="B144">
        <f t="shared" si="0"/>
        <v>5.8823529411764705E-2</v>
      </c>
      <c r="C144" s="2">
        <f>'vehicles specifications'!S10</f>
        <v>7</v>
      </c>
      <c r="D144">
        <f t="shared" si="0"/>
        <v>5.8823529411764705E-2</v>
      </c>
      <c r="E144">
        <v>1</v>
      </c>
      <c r="F144">
        <f>1+'vehicles specifications'!AD10</f>
        <v>1</v>
      </c>
      <c r="G144">
        <f>1+'vehicles specifications'!AD10</f>
        <v>1</v>
      </c>
      <c r="J144">
        <v>1</v>
      </c>
      <c r="K144">
        <f>1/('fuels and tailpipe emissions'!$C$3*3.6)</f>
        <v>2.3474178403755867E-2</v>
      </c>
      <c r="L144">
        <f t="shared" si="2"/>
        <v>0.30555555555555558</v>
      </c>
      <c r="M144">
        <f>1/'vehicles specifications'!J10</f>
        <v>5.602240896358543E-4</v>
      </c>
      <c r="N144">
        <v>1</v>
      </c>
      <c r="O144">
        <f>1</f>
        <v>1</v>
      </c>
      <c r="P144">
        <f t="shared" si="3"/>
        <v>-5.8823529411764705E-2</v>
      </c>
      <c r="Q144">
        <f t="shared" si="1"/>
        <v>-4.1666666666666664E-2</v>
      </c>
      <c r="R144">
        <f>-1-'vehicles specifications'!AD10</f>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c r="AS144">
        <v>1</v>
      </c>
      <c r="AT144">
        <v>1</v>
      </c>
      <c r="AU144">
        <v>1</v>
      </c>
      <c r="AV144">
        <v>1</v>
      </c>
      <c r="AW144">
        <v>1</v>
      </c>
      <c r="AX144">
        <v>1</v>
      </c>
      <c r="AY144">
        <v>1</v>
      </c>
      <c r="AZ144">
        <v>1</v>
      </c>
      <c r="BA144">
        <v>1</v>
      </c>
      <c r="BB144">
        <v>1</v>
      </c>
      <c r="BC144">
        <v>1</v>
      </c>
      <c r="BD144">
        <v>1</v>
      </c>
      <c r="BE144">
        <v>1</v>
      </c>
      <c r="BF144">
        <v>1</v>
      </c>
      <c r="BG144">
        <v>1</v>
      </c>
      <c r="BH144">
        <v>1</v>
      </c>
      <c r="BI144">
        <v>1</v>
      </c>
      <c r="BJ144">
        <f>-1/'vehicles specifications'!$M10</f>
        <v>-1</v>
      </c>
      <c r="BK144">
        <f>-1/'vehicles specifications'!$M10</f>
        <v>-1</v>
      </c>
      <c r="BL144">
        <f>-1/'vehicles specifications'!$M10</f>
        <v>-1</v>
      </c>
    </row>
    <row r="145" spans="1:64" x14ac:dyDescent="0.2">
      <c r="A145" t="s">
        <v>436</v>
      </c>
      <c r="B145">
        <f t="shared" si="0"/>
        <v>5.8823529411764705E-2</v>
      </c>
      <c r="C145" s="2">
        <f>'vehicles specifications'!S11</f>
        <v>7</v>
      </c>
      <c r="D145">
        <f t="shared" si="0"/>
        <v>5.8823529411764705E-2</v>
      </c>
      <c r="E145">
        <v>1</v>
      </c>
      <c r="F145">
        <f>1+'vehicles specifications'!AD11</f>
        <v>1</v>
      </c>
      <c r="G145">
        <f>1+'vehicles specifications'!AD11</f>
        <v>1</v>
      </c>
      <c r="J145">
        <v>1</v>
      </c>
      <c r="K145">
        <f>1/('fuels and tailpipe emissions'!$C$3*3.6)</f>
        <v>2.3474178403755867E-2</v>
      </c>
      <c r="L145">
        <f>1/3.6*1.1</f>
        <v>0.30555555555555558</v>
      </c>
      <c r="M145">
        <f>1/'vehicles specifications'!J11</f>
        <v>5.602240896358543E-4</v>
      </c>
      <c r="N145">
        <v>1</v>
      </c>
      <c r="O145">
        <f>1</f>
        <v>1</v>
      </c>
      <c r="P145">
        <f>-1/17</f>
        <v>-5.8823529411764705E-2</v>
      </c>
      <c r="Q145">
        <f t="shared" si="1"/>
        <v>-4.1666666666666664E-2</v>
      </c>
      <c r="R145">
        <f>-1-'vehicles specifications'!AD11</f>
        <v>-1</v>
      </c>
      <c r="S145">
        <v>1</v>
      </c>
      <c r="T145">
        <v>1</v>
      </c>
      <c r="U145">
        <v>1</v>
      </c>
      <c r="V145">
        <v>1</v>
      </c>
      <c r="W145">
        <v>1</v>
      </c>
      <c r="X145">
        <v>1</v>
      </c>
      <c r="Y145">
        <v>1</v>
      </c>
      <c r="Z145">
        <v>1</v>
      </c>
      <c r="AA145">
        <v>1</v>
      </c>
      <c r="AB145">
        <v>1</v>
      </c>
      <c r="AC145">
        <v>1</v>
      </c>
      <c r="AD145">
        <v>1</v>
      </c>
      <c r="AE145">
        <v>1</v>
      </c>
      <c r="AF145">
        <v>1</v>
      </c>
      <c r="AG145">
        <v>1</v>
      </c>
      <c r="AH145">
        <v>1</v>
      </c>
      <c r="AI145">
        <v>1</v>
      </c>
      <c r="AJ145">
        <v>1</v>
      </c>
      <c r="AK145">
        <v>1</v>
      </c>
      <c r="AL145">
        <v>1</v>
      </c>
      <c r="AM145">
        <v>1</v>
      </c>
      <c r="AN145">
        <v>1</v>
      </c>
      <c r="AO145">
        <v>1</v>
      </c>
      <c r="AP145">
        <v>1</v>
      </c>
      <c r="AQ145">
        <v>1</v>
      </c>
      <c r="AR145">
        <v>1</v>
      </c>
      <c r="AS145">
        <v>1</v>
      </c>
      <c r="AT145">
        <v>1</v>
      </c>
      <c r="AU145">
        <v>1</v>
      </c>
      <c r="AV145">
        <v>1</v>
      </c>
      <c r="AW145">
        <v>1</v>
      </c>
      <c r="AX145">
        <v>1</v>
      </c>
      <c r="AY145">
        <v>1</v>
      </c>
      <c r="AZ145">
        <v>1</v>
      </c>
      <c r="BA145">
        <v>1</v>
      </c>
      <c r="BB145">
        <v>1</v>
      </c>
      <c r="BC145">
        <v>1</v>
      </c>
      <c r="BD145">
        <v>1</v>
      </c>
      <c r="BE145">
        <v>1</v>
      </c>
      <c r="BF145">
        <v>1</v>
      </c>
      <c r="BG145">
        <v>1</v>
      </c>
      <c r="BH145">
        <v>1</v>
      </c>
      <c r="BI145">
        <v>1</v>
      </c>
      <c r="BJ145">
        <f>-1/'vehicles specifications'!$M11</f>
        <v>-1</v>
      </c>
      <c r="BK145">
        <f>-1/'vehicles specifications'!$M11</f>
        <v>-1</v>
      </c>
      <c r="BL145">
        <f>-1/'vehicles specifications'!$M11</f>
        <v>-1</v>
      </c>
    </row>
    <row r="146" spans="1:64" x14ac:dyDescent="0.2">
      <c r="A146" t="s">
        <v>437</v>
      </c>
      <c r="B146">
        <f t="shared" si="0"/>
        <v>5.8823529411764705E-2</v>
      </c>
      <c r="C146" s="2">
        <f>'vehicles specifications'!S12</f>
        <v>7</v>
      </c>
      <c r="D146">
        <f t="shared" si="0"/>
        <v>5.8823529411764705E-2</v>
      </c>
      <c r="E146">
        <v>1</v>
      </c>
      <c r="F146">
        <f>1+'vehicles specifications'!AD12</f>
        <v>1</v>
      </c>
      <c r="G146">
        <f>1+'vehicles specifications'!AD12</f>
        <v>1</v>
      </c>
      <c r="J146">
        <v>1</v>
      </c>
      <c r="K146">
        <f>1/('fuels and tailpipe emissions'!$C$3*3.6)</f>
        <v>2.3474178403755867E-2</v>
      </c>
      <c r="L146">
        <f t="shared" si="2"/>
        <v>0.30555555555555558</v>
      </c>
      <c r="M146">
        <f>1/'vehicles specifications'!J12</f>
        <v>5.602240896358543E-4</v>
      </c>
      <c r="N146">
        <v>1</v>
      </c>
      <c r="O146">
        <f>1</f>
        <v>1</v>
      </c>
      <c r="P146">
        <f>-1/17</f>
        <v>-5.8823529411764705E-2</v>
      </c>
      <c r="Q146">
        <f t="shared" si="1"/>
        <v>-4.1666666666666664E-2</v>
      </c>
      <c r="R146">
        <f>-1-'vehicles specifications'!AD12</f>
        <v>-1</v>
      </c>
      <c r="S146">
        <v>1</v>
      </c>
      <c r="T146">
        <v>1</v>
      </c>
      <c r="U146">
        <v>1</v>
      </c>
      <c r="V146">
        <v>1</v>
      </c>
      <c r="W146">
        <v>1</v>
      </c>
      <c r="X146">
        <v>1</v>
      </c>
      <c r="Y146">
        <v>1</v>
      </c>
      <c r="Z146">
        <v>1</v>
      </c>
      <c r="AA146">
        <v>1</v>
      </c>
      <c r="AB146">
        <v>1</v>
      </c>
      <c r="AC146">
        <v>1</v>
      </c>
      <c r="AD146">
        <v>1</v>
      </c>
      <c r="AE146">
        <v>1</v>
      </c>
      <c r="AF146">
        <v>1</v>
      </c>
      <c r="AG146">
        <v>1</v>
      </c>
      <c r="AH146">
        <v>1</v>
      </c>
      <c r="AI146">
        <v>1</v>
      </c>
      <c r="AJ146">
        <v>1</v>
      </c>
      <c r="AK146">
        <v>1</v>
      </c>
      <c r="AL146">
        <v>1</v>
      </c>
      <c r="AM146">
        <v>1</v>
      </c>
      <c r="AN146">
        <v>1</v>
      </c>
      <c r="AO146">
        <v>1</v>
      </c>
      <c r="AP146">
        <v>1</v>
      </c>
      <c r="AQ146">
        <v>1</v>
      </c>
      <c r="AR146">
        <v>1</v>
      </c>
      <c r="AS146">
        <v>1</v>
      </c>
      <c r="AT146">
        <v>1</v>
      </c>
      <c r="AU146">
        <v>1</v>
      </c>
      <c r="AV146">
        <v>1</v>
      </c>
      <c r="AW146">
        <v>1</v>
      </c>
      <c r="AX146">
        <v>1</v>
      </c>
      <c r="AY146">
        <v>1</v>
      </c>
      <c r="AZ146">
        <v>1</v>
      </c>
      <c r="BA146">
        <v>1</v>
      </c>
      <c r="BB146">
        <v>1</v>
      </c>
      <c r="BC146">
        <v>1</v>
      </c>
      <c r="BD146">
        <v>1</v>
      </c>
      <c r="BE146">
        <v>1</v>
      </c>
      <c r="BF146">
        <v>1</v>
      </c>
      <c r="BG146">
        <v>1</v>
      </c>
      <c r="BH146">
        <v>1</v>
      </c>
      <c r="BI146">
        <v>1</v>
      </c>
      <c r="BJ146">
        <f>-1/'vehicles specifications'!$M12</f>
        <v>-1</v>
      </c>
      <c r="BK146">
        <f>-1/'vehicles specifications'!$M12</f>
        <v>-1</v>
      </c>
      <c r="BL146">
        <f>-1/'vehicles specifications'!$M12</f>
        <v>-1</v>
      </c>
    </row>
    <row r="147" spans="1:64" x14ac:dyDescent="0.2">
      <c r="A147" t="s">
        <v>438</v>
      </c>
      <c r="B147">
        <f t="shared" si="0"/>
        <v>5.8823529411764705E-2</v>
      </c>
      <c r="C147" s="2">
        <f>'vehicles specifications'!S13</f>
        <v>7</v>
      </c>
      <c r="D147">
        <f t="shared" si="0"/>
        <v>5.8823529411764705E-2</v>
      </c>
      <c r="E147">
        <v>1</v>
      </c>
      <c r="F147">
        <f>1+'vehicles specifications'!AD13</f>
        <v>1</v>
      </c>
      <c r="G147">
        <f>1+'vehicles specifications'!AD13</f>
        <v>1</v>
      </c>
      <c r="J147">
        <v>1</v>
      </c>
      <c r="K147">
        <f>1/('fuels and tailpipe emissions'!$C$3*3.6)</f>
        <v>2.3474178403755867E-2</v>
      </c>
      <c r="L147">
        <f t="shared" si="2"/>
        <v>0.30555555555555558</v>
      </c>
      <c r="M147">
        <f>1/'vehicles specifications'!J13</f>
        <v>5.602240896358543E-4</v>
      </c>
      <c r="N147">
        <v>1</v>
      </c>
      <c r="O147">
        <f>1</f>
        <v>1</v>
      </c>
      <c r="P147">
        <f t="shared" si="3"/>
        <v>-5.8823529411764705E-2</v>
      </c>
      <c r="Q147">
        <f t="shared" si="1"/>
        <v>-4.1666666666666664E-2</v>
      </c>
      <c r="R147">
        <f>-1-'vehicles specifications'!AD13</f>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c r="AS147">
        <v>1</v>
      </c>
      <c r="AT147">
        <v>1</v>
      </c>
      <c r="AU147">
        <v>1</v>
      </c>
      <c r="AV147">
        <v>1</v>
      </c>
      <c r="AW147">
        <v>1</v>
      </c>
      <c r="AX147">
        <v>1</v>
      </c>
      <c r="AY147">
        <v>1</v>
      </c>
      <c r="AZ147">
        <v>1</v>
      </c>
      <c r="BA147">
        <v>1</v>
      </c>
      <c r="BB147">
        <v>1</v>
      </c>
      <c r="BC147">
        <v>1</v>
      </c>
      <c r="BD147">
        <v>1</v>
      </c>
      <c r="BE147">
        <v>1</v>
      </c>
      <c r="BF147">
        <v>1</v>
      </c>
      <c r="BG147">
        <v>1</v>
      </c>
      <c r="BH147">
        <v>1</v>
      </c>
      <c r="BI147">
        <v>1</v>
      </c>
      <c r="BJ147">
        <f>-1/'vehicles specifications'!$M13</f>
        <v>-1</v>
      </c>
      <c r="BK147">
        <f>-1/'vehicles specifications'!$M13</f>
        <v>-1</v>
      </c>
      <c r="BL147">
        <f>-1/'vehicles specifications'!$M13</f>
        <v>-1</v>
      </c>
    </row>
    <row r="148" spans="1:64" x14ac:dyDescent="0.2">
      <c r="A148" t="s">
        <v>439</v>
      </c>
      <c r="B148">
        <f t="shared" si="0"/>
        <v>5.8823529411764705E-2</v>
      </c>
      <c r="C148" s="2">
        <f>'vehicles specifications'!S14</f>
        <v>7</v>
      </c>
      <c r="D148">
        <f t="shared" si="0"/>
        <v>5.8823529411764705E-2</v>
      </c>
      <c r="E148">
        <v>1</v>
      </c>
      <c r="F148">
        <f>1+'vehicles specifications'!AD14</f>
        <v>1</v>
      </c>
      <c r="G148">
        <f>1+'vehicles specifications'!AD14</f>
        <v>1</v>
      </c>
      <c r="J148">
        <v>1</v>
      </c>
      <c r="K148">
        <f>1/('fuels and tailpipe emissions'!$C$3*3.6)</f>
        <v>2.3474178403755867E-2</v>
      </c>
      <c r="L148">
        <f t="shared" si="2"/>
        <v>0.30555555555555558</v>
      </c>
      <c r="M148">
        <f>1/'vehicles specifications'!J14</f>
        <v>5.602240896358543E-4</v>
      </c>
      <c r="N148">
        <v>1</v>
      </c>
      <c r="O148">
        <f>1</f>
        <v>1</v>
      </c>
      <c r="P148">
        <f t="shared" si="3"/>
        <v>-5.8823529411764705E-2</v>
      </c>
      <c r="Q148">
        <f t="shared" si="1"/>
        <v>-4.1666666666666664E-2</v>
      </c>
      <c r="R148">
        <f>-1-'vehicles specifications'!AD14</f>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c r="AS148">
        <v>1</v>
      </c>
      <c r="AT148">
        <v>1</v>
      </c>
      <c r="AU148">
        <v>1</v>
      </c>
      <c r="AV148">
        <v>1</v>
      </c>
      <c r="AW148">
        <v>1</v>
      </c>
      <c r="AX148">
        <v>1</v>
      </c>
      <c r="AY148">
        <v>1</v>
      </c>
      <c r="AZ148">
        <v>1</v>
      </c>
      <c r="BA148">
        <v>1</v>
      </c>
      <c r="BB148">
        <v>1</v>
      </c>
      <c r="BC148">
        <v>1</v>
      </c>
      <c r="BD148">
        <v>1</v>
      </c>
      <c r="BE148">
        <v>1</v>
      </c>
      <c r="BF148">
        <v>1</v>
      </c>
      <c r="BG148">
        <v>1</v>
      </c>
      <c r="BH148">
        <v>1</v>
      </c>
      <c r="BI148">
        <v>1</v>
      </c>
      <c r="BJ148">
        <f>-1/'vehicles specifications'!$M14</f>
        <v>-1</v>
      </c>
      <c r="BK148">
        <f>-1/'vehicles specifications'!$M14</f>
        <v>-1</v>
      </c>
      <c r="BL148">
        <f>-1/'vehicles specifications'!$M14</f>
        <v>-1</v>
      </c>
    </row>
    <row r="149" spans="1:64" x14ac:dyDescent="0.2">
      <c r="A149" t="s">
        <v>168</v>
      </c>
      <c r="B149">
        <f t="shared" si="0"/>
        <v>5.8823529411764705E-2</v>
      </c>
      <c r="C149" s="2">
        <f>'vehicles specifications'!S15</f>
        <v>12</v>
      </c>
      <c r="D149">
        <f t="shared" si="0"/>
        <v>5.8823529411764705E-2</v>
      </c>
      <c r="F149">
        <f>1+'vehicles specifications'!AD15</f>
        <v>1</v>
      </c>
      <c r="G149">
        <f>1+'vehicles specifications'!AD15</f>
        <v>1</v>
      </c>
      <c r="K149">
        <f>1/('fuels and tailpipe emissions'!$C$3*3.6)</f>
        <v>2.3474178403755867E-2</v>
      </c>
      <c r="L149">
        <f t="shared" si="2"/>
        <v>0.30555555555555558</v>
      </c>
      <c r="M149">
        <f>1/'vehicles specifications'!J15</f>
        <v>6.666666666666667E-5</v>
      </c>
      <c r="N149">
        <v>1</v>
      </c>
      <c r="O149">
        <f>1</f>
        <v>1</v>
      </c>
      <c r="P149">
        <f t="shared" si="3"/>
        <v>-5.8823529411764705E-2</v>
      </c>
      <c r="Q149">
        <v>-1</v>
      </c>
      <c r="R149">
        <f>-1-'vehicles specifications'!AD15</f>
        <v>-1</v>
      </c>
      <c r="S149">
        <v>1</v>
      </c>
      <c r="T149">
        <v>1</v>
      </c>
      <c r="U149">
        <v>1</v>
      </c>
      <c r="V149">
        <v>1</v>
      </c>
      <c r="W149">
        <v>1</v>
      </c>
      <c r="X149">
        <v>1</v>
      </c>
      <c r="Y149">
        <v>1</v>
      </c>
      <c r="Z149">
        <v>1</v>
      </c>
      <c r="AA149">
        <v>1</v>
      </c>
      <c r="AB149">
        <v>1</v>
      </c>
      <c r="AC149">
        <v>1</v>
      </c>
      <c r="AD149">
        <v>1</v>
      </c>
      <c r="AE149">
        <v>1</v>
      </c>
      <c r="AF149">
        <v>1</v>
      </c>
      <c r="AG149">
        <v>1</v>
      </c>
      <c r="AH149">
        <v>1</v>
      </c>
      <c r="AI149">
        <v>1</v>
      </c>
      <c r="AJ149">
        <v>1</v>
      </c>
      <c r="AK149">
        <v>1</v>
      </c>
      <c r="AL149">
        <v>1</v>
      </c>
      <c r="AM149">
        <v>1</v>
      </c>
      <c r="AN149">
        <v>1</v>
      </c>
      <c r="AO149">
        <v>1</v>
      </c>
      <c r="AP149">
        <v>1</v>
      </c>
      <c r="AQ149">
        <v>1</v>
      </c>
      <c r="AR149">
        <v>1</v>
      </c>
      <c r="AS149">
        <v>1</v>
      </c>
      <c r="AT149">
        <v>1</v>
      </c>
      <c r="AU149">
        <v>1</v>
      </c>
      <c r="AV149">
        <v>1</v>
      </c>
      <c r="AW149">
        <v>1</v>
      </c>
      <c r="AX149">
        <v>1</v>
      </c>
      <c r="AY149">
        <v>1</v>
      </c>
      <c r="AZ149">
        <v>1</v>
      </c>
      <c r="BA149">
        <v>1</v>
      </c>
      <c r="BB149">
        <v>1</v>
      </c>
      <c r="BC149">
        <v>1</v>
      </c>
      <c r="BD149">
        <v>1</v>
      </c>
      <c r="BE149">
        <v>1</v>
      </c>
      <c r="BF149">
        <v>1</v>
      </c>
      <c r="BG149">
        <v>1</v>
      </c>
      <c r="BH149">
        <v>1</v>
      </c>
      <c r="BI149">
        <v>1</v>
      </c>
      <c r="BJ149">
        <f>-1/'vehicles specifications'!$M15</f>
        <v>-1</v>
      </c>
      <c r="BK149">
        <f>-1/'vehicles specifications'!$M15</f>
        <v>-1</v>
      </c>
      <c r="BL149">
        <f>-1/'vehicles specifications'!$M15</f>
        <v>-1</v>
      </c>
    </row>
    <row r="150" spans="1:64" x14ac:dyDescent="0.2">
      <c r="A150" t="s">
        <v>169</v>
      </c>
      <c r="B150">
        <f t="shared" si="0"/>
        <v>5.8823529411764705E-2</v>
      </c>
      <c r="C150" s="2">
        <f>'vehicles specifications'!S16</f>
        <v>12</v>
      </c>
      <c r="D150">
        <f t="shared" si="0"/>
        <v>5.8823529411764705E-2</v>
      </c>
      <c r="F150">
        <f>1+'vehicles specifications'!AD16</f>
        <v>1</v>
      </c>
      <c r="G150">
        <f>1+'vehicles specifications'!AD16</f>
        <v>1</v>
      </c>
      <c r="K150">
        <f>1/('fuels and tailpipe emissions'!$C$3*3.6)</f>
        <v>2.3474178403755867E-2</v>
      </c>
      <c r="L150">
        <f t="shared" si="2"/>
        <v>0.30555555555555558</v>
      </c>
      <c r="M150">
        <f>1/'vehicles specifications'!J16</f>
        <v>6.666666666666667E-5</v>
      </c>
      <c r="N150">
        <v>1</v>
      </c>
      <c r="O150">
        <f>1</f>
        <v>1</v>
      </c>
      <c r="P150">
        <f t="shared" si="3"/>
        <v>-5.8823529411764705E-2</v>
      </c>
      <c r="Q150">
        <v>-1</v>
      </c>
      <c r="R150">
        <f>-1-'vehicles specifications'!AD16</f>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f>-1/'vehicles specifications'!$M16</f>
        <v>-1</v>
      </c>
      <c r="BK150">
        <f>-1/'vehicles specifications'!$M16</f>
        <v>-1</v>
      </c>
      <c r="BL150">
        <f>-1/'vehicles specifications'!$M16</f>
        <v>-1</v>
      </c>
    </row>
    <row r="151" spans="1:64" x14ac:dyDescent="0.2">
      <c r="A151" t="s">
        <v>170</v>
      </c>
      <c r="B151">
        <f t="shared" si="0"/>
        <v>5.8823529411764705E-2</v>
      </c>
      <c r="C151" s="2">
        <f>'vehicles specifications'!S17</f>
        <v>12</v>
      </c>
      <c r="D151">
        <f t="shared" si="0"/>
        <v>5.8823529411764705E-2</v>
      </c>
      <c r="F151">
        <f>1+'vehicles specifications'!AD17</f>
        <v>1</v>
      </c>
      <c r="G151">
        <f>1+'vehicles specifications'!AD17</f>
        <v>1</v>
      </c>
      <c r="K151">
        <f>1/('fuels and tailpipe emissions'!$C$3*3.6)</f>
        <v>2.3474178403755867E-2</v>
      </c>
      <c r="L151">
        <f t="shared" si="2"/>
        <v>0.30555555555555558</v>
      </c>
      <c r="M151">
        <f>1/'vehicles specifications'!J17</f>
        <v>6.666666666666667E-5</v>
      </c>
      <c r="N151">
        <v>1</v>
      </c>
      <c r="O151">
        <f>1</f>
        <v>1</v>
      </c>
      <c r="P151">
        <f t="shared" si="3"/>
        <v>-5.8823529411764705E-2</v>
      </c>
      <c r="Q151">
        <v>-1</v>
      </c>
      <c r="R151">
        <f>-1-'vehicles specifications'!AD17</f>
        <v>-1</v>
      </c>
      <c r="S151">
        <v>1</v>
      </c>
      <c r="T151">
        <v>1</v>
      </c>
      <c r="U151">
        <v>1</v>
      </c>
      <c r="V151">
        <v>1</v>
      </c>
      <c r="W151">
        <v>1</v>
      </c>
      <c r="X151">
        <v>1</v>
      </c>
      <c r="Y151">
        <v>1</v>
      </c>
      <c r="Z151">
        <v>1</v>
      </c>
      <c r="AA151">
        <v>1</v>
      </c>
      <c r="AB151">
        <v>1</v>
      </c>
      <c r="AC151">
        <v>1</v>
      </c>
      <c r="AD151">
        <v>1</v>
      </c>
      <c r="AE151">
        <v>1</v>
      </c>
      <c r="AF151">
        <v>1</v>
      </c>
      <c r="AG151">
        <v>1</v>
      </c>
      <c r="AH151">
        <v>1</v>
      </c>
      <c r="AI151">
        <v>1</v>
      </c>
      <c r="AJ151">
        <v>1</v>
      </c>
      <c r="AK151">
        <v>1</v>
      </c>
      <c r="AL151">
        <v>1</v>
      </c>
      <c r="AM151">
        <v>1</v>
      </c>
      <c r="AN151">
        <v>1</v>
      </c>
      <c r="AO151">
        <v>1</v>
      </c>
      <c r="AP151">
        <v>1</v>
      </c>
      <c r="AQ151">
        <v>1</v>
      </c>
      <c r="AR151">
        <v>1</v>
      </c>
      <c r="AS151">
        <v>1</v>
      </c>
      <c r="AT151">
        <v>1</v>
      </c>
      <c r="AU151">
        <v>1</v>
      </c>
      <c r="AV151">
        <v>1</v>
      </c>
      <c r="AW151">
        <v>1</v>
      </c>
      <c r="AX151">
        <v>1</v>
      </c>
      <c r="AY151">
        <v>1</v>
      </c>
      <c r="AZ151">
        <v>1</v>
      </c>
      <c r="BA151">
        <v>1</v>
      </c>
      <c r="BB151">
        <v>1</v>
      </c>
      <c r="BC151">
        <v>1</v>
      </c>
      <c r="BD151">
        <v>1</v>
      </c>
      <c r="BE151">
        <v>1</v>
      </c>
      <c r="BF151">
        <v>1</v>
      </c>
      <c r="BG151">
        <v>1</v>
      </c>
      <c r="BH151">
        <v>1</v>
      </c>
      <c r="BI151">
        <v>1</v>
      </c>
      <c r="BJ151">
        <f>-1/'vehicles specifications'!$M17</f>
        <v>-1</v>
      </c>
      <c r="BK151">
        <f>-1/'vehicles specifications'!$M17</f>
        <v>-1</v>
      </c>
      <c r="BL151">
        <f>-1/'vehicles specifications'!$M17</f>
        <v>-1</v>
      </c>
    </row>
    <row r="152" spans="1:64" x14ac:dyDescent="0.2">
      <c r="A152" t="s">
        <v>171</v>
      </c>
      <c r="B152">
        <f t="shared" si="0"/>
        <v>5.8823529411764705E-2</v>
      </c>
      <c r="C152" s="2">
        <f>'vehicles specifications'!S18</f>
        <v>12</v>
      </c>
      <c r="D152">
        <f t="shared" si="0"/>
        <v>5.8823529411764705E-2</v>
      </c>
      <c r="F152">
        <f>1+'vehicles specifications'!AD18</f>
        <v>1</v>
      </c>
      <c r="G152">
        <f>1+'vehicles specifications'!AD18</f>
        <v>1</v>
      </c>
      <c r="K152">
        <f>1/('fuels and tailpipe emissions'!$C$3*3.6)</f>
        <v>2.3474178403755867E-2</v>
      </c>
      <c r="L152">
        <f t="shared" si="2"/>
        <v>0.30555555555555558</v>
      </c>
      <c r="M152">
        <f>1/'vehicles specifications'!J18</f>
        <v>6.666666666666667E-5</v>
      </c>
      <c r="N152">
        <v>1</v>
      </c>
      <c r="O152">
        <f>1</f>
        <v>1</v>
      </c>
      <c r="P152">
        <f t="shared" si="3"/>
        <v>-5.8823529411764705E-2</v>
      </c>
      <c r="Q152">
        <v>-1</v>
      </c>
      <c r="R152">
        <f>-1-'vehicles specifications'!AD18</f>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f>-1/'vehicles specifications'!$M18</f>
        <v>-1</v>
      </c>
      <c r="BK152">
        <f>-1/'vehicles specifications'!$M18</f>
        <v>-1</v>
      </c>
      <c r="BL152">
        <f>-1/'vehicles specifications'!$M18</f>
        <v>-1</v>
      </c>
    </row>
    <row r="153" spans="1:64" x14ac:dyDescent="0.2">
      <c r="A153" t="s">
        <v>440</v>
      </c>
      <c r="B153">
        <f t="shared" si="0"/>
        <v>5.8823529411764705E-2</v>
      </c>
      <c r="C153" s="2">
        <f>'vehicles specifications'!S19</f>
        <v>16</v>
      </c>
      <c r="D153">
        <f t="shared" si="0"/>
        <v>5.8823529411764705E-2</v>
      </c>
      <c r="E153">
        <v>1</v>
      </c>
      <c r="F153">
        <f>1+'vehicles specifications'!AD19</f>
        <v>2</v>
      </c>
      <c r="G153">
        <f>1+'vehicles specifications'!AD19</f>
        <v>2</v>
      </c>
      <c r="J153">
        <v>1</v>
      </c>
      <c r="K153">
        <f>1/('fuels and tailpipe emissions'!$C$3*3.6)</f>
        <v>2.3474178403755867E-2</v>
      </c>
      <c r="L153">
        <f t="shared" si="2"/>
        <v>0.30555555555555558</v>
      </c>
      <c r="M153">
        <f>1/'vehicles specifications'!J19</f>
        <v>5.0000000000000002E-5</v>
      </c>
      <c r="N153">
        <v>1</v>
      </c>
      <c r="O153">
        <f>1</f>
        <v>1</v>
      </c>
      <c r="P153">
        <f>-1/24</f>
        <v>-4.1666666666666664E-2</v>
      </c>
      <c r="Q153">
        <f>-1/24</f>
        <v>-4.1666666666666664E-2</v>
      </c>
      <c r="R153">
        <f>-1-'vehicles specifications'!AD19</f>
        <v>-2</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1</v>
      </c>
      <c r="AN153">
        <v>1</v>
      </c>
      <c r="AO153">
        <v>1</v>
      </c>
      <c r="AP153">
        <v>1</v>
      </c>
      <c r="AQ153">
        <v>1</v>
      </c>
      <c r="AR153">
        <v>1</v>
      </c>
      <c r="AS153">
        <v>1</v>
      </c>
      <c r="AT153">
        <v>1</v>
      </c>
      <c r="AU153">
        <v>1</v>
      </c>
      <c r="AV153">
        <v>1</v>
      </c>
      <c r="AW153">
        <v>1</v>
      </c>
      <c r="AX153">
        <v>1</v>
      </c>
      <c r="AY153">
        <v>1</v>
      </c>
      <c r="AZ153">
        <v>1</v>
      </c>
      <c r="BA153">
        <v>1</v>
      </c>
      <c r="BB153">
        <v>1</v>
      </c>
      <c r="BC153">
        <v>1</v>
      </c>
      <c r="BD153">
        <v>1</v>
      </c>
      <c r="BE153">
        <v>1</v>
      </c>
      <c r="BF153">
        <v>1</v>
      </c>
      <c r="BG153">
        <v>1</v>
      </c>
      <c r="BH153">
        <v>1</v>
      </c>
      <c r="BI153">
        <v>1</v>
      </c>
      <c r="BJ153">
        <f>-1/'vehicles specifications'!$M19</f>
        <v>-1</v>
      </c>
      <c r="BK153">
        <f>-1/'vehicles specifications'!$M19</f>
        <v>-1</v>
      </c>
      <c r="BL153">
        <f>-1/'vehicles specifications'!$M19</f>
        <v>-1</v>
      </c>
    </row>
    <row r="154" spans="1:64" x14ac:dyDescent="0.2">
      <c r="A154" t="s">
        <v>441</v>
      </c>
      <c r="B154">
        <f t="shared" si="0"/>
        <v>5.8823529411764705E-2</v>
      </c>
      <c r="C154" s="2">
        <f>'vehicles specifications'!S20</f>
        <v>16</v>
      </c>
      <c r="D154">
        <f t="shared" si="0"/>
        <v>5.8823529411764705E-2</v>
      </c>
      <c r="E154">
        <v>1</v>
      </c>
      <c r="F154">
        <f>1+'vehicles specifications'!AD20</f>
        <v>1.5</v>
      </c>
      <c r="G154">
        <f>1+'vehicles specifications'!AD20</f>
        <v>1.5</v>
      </c>
      <c r="J154">
        <v>1</v>
      </c>
      <c r="K154">
        <f>1/('fuels and tailpipe emissions'!$C$3*3.6)</f>
        <v>2.3474178403755867E-2</v>
      </c>
      <c r="L154">
        <f t="shared" si="2"/>
        <v>0.30555555555555558</v>
      </c>
      <c r="M154">
        <f>1/'vehicles specifications'!J20</f>
        <v>5.0000000000000002E-5</v>
      </c>
      <c r="N154">
        <v>1</v>
      </c>
      <c r="O154">
        <f>1</f>
        <v>1</v>
      </c>
      <c r="P154">
        <f t="shared" ref="P154:Q169" si="4">-1/24</f>
        <v>-4.1666666666666664E-2</v>
      </c>
      <c r="Q154">
        <f t="shared" si="4"/>
        <v>-4.1666666666666664E-2</v>
      </c>
      <c r="R154">
        <f>-1-'vehicles specifications'!AD20</f>
        <v>-1.5</v>
      </c>
      <c r="S154">
        <v>1</v>
      </c>
      <c r="T154">
        <v>1</v>
      </c>
      <c r="U154">
        <v>1</v>
      </c>
      <c r="V154">
        <v>1</v>
      </c>
      <c r="W154">
        <v>1</v>
      </c>
      <c r="X154">
        <v>1</v>
      </c>
      <c r="Y154">
        <v>1</v>
      </c>
      <c r="Z154">
        <v>1</v>
      </c>
      <c r="AA154">
        <v>1</v>
      </c>
      <c r="AB154">
        <v>1</v>
      </c>
      <c r="AC154">
        <v>1</v>
      </c>
      <c r="AD154">
        <v>1</v>
      </c>
      <c r="AE154">
        <v>1</v>
      </c>
      <c r="AF154">
        <v>1</v>
      </c>
      <c r="AG154">
        <v>1</v>
      </c>
      <c r="AH154">
        <v>1</v>
      </c>
      <c r="AI154">
        <v>1</v>
      </c>
      <c r="AJ154">
        <v>1</v>
      </c>
      <c r="AK154">
        <v>1</v>
      </c>
      <c r="AL154">
        <v>1</v>
      </c>
      <c r="AM154">
        <v>1</v>
      </c>
      <c r="AN154">
        <v>1</v>
      </c>
      <c r="AO154">
        <v>1</v>
      </c>
      <c r="AP154">
        <v>1</v>
      </c>
      <c r="AQ154">
        <v>1</v>
      </c>
      <c r="AR154">
        <v>1</v>
      </c>
      <c r="AS154">
        <v>1</v>
      </c>
      <c r="AT154">
        <v>1</v>
      </c>
      <c r="AU154">
        <v>1</v>
      </c>
      <c r="AV154">
        <v>1</v>
      </c>
      <c r="AW154">
        <v>1</v>
      </c>
      <c r="AX154">
        <v>1</v>
      </c>
      <c r="AY154">
        <v>1</v>
      </c>
      <c r="AZ154">
        <v>1</v>
      </c>
      <c r="BA154">
        <v>1</v>
      </c>
      <c r="BB154">
        <v>1</v>
      </c>
      <c r="BC154">
        <v>1</v>
      </c>
      <c r="BD154">
        <v>1</v>
      </c>
      <c r="BE154">
        <v>1</v>
      </c>
      <c r="BF154">
        <v>1</v>
      </c>
      <c r="BG154">
        <v>1</v>
      </c>
      <c r="BH154">
        <v>1</v>
      </c>
      <c r="BI154">
        <v>1</v>
      </c>
      <c r="BJ154">
        <f>-1/'vehicles specifications'!$M20</f>
        <v>-1</v>
      </c>
      <c r="BK154">
        <f>-1/'vehicles specifications'!$M20</f>
        <v>-1</v>
      </c>
      <c r="BL154">
        <f>-1/'vehicles specifications'!$M20</f>
        <v>-1</v>
      </c>
    </row>
    <row r="155" spans="1:64" x14ac:dyDescent="0.2">
      <c r="A155" t="s">
        <v>442</v>
      </c>
      <c r="B155">
        <f t="shared" si="0"/>
        <v>5.8823529411764705E-2</v>
      </c>
      <c r="C155" s="2">
        <f>'vehicles specifications'!S21</f>
        <v>16</v>
      </c>
      <c r="D155">
        <f t="shared" si="0"/>
        <v>5.8823529411764705E-2</v>
      </c>
      <c r="E155">
        <v>1</v>
      </c>
      <c r="F155">
        <f>1+'vehicles specifications'!AD21</f>
        <v>1.25</v>
      </c>
      <c r="G155">
        <f>1+'vehicles specifications'!AD21</f>
        <v>1.25</v>
      </c>
      <c r="J155">
        <v>1</v>
      </c>
      <c r="K155">
        <f>1/('fuels and tailpipe emissions'!$C$3*3.6)</f>
        <v>2.3474178403755867E-2</v>
      </c>
      <c r="L155">
        <f t="shared" si="2"/>
        <v>0.30555555555555558</v>
      </c>
      <c r="M155">
        <f>1/'vehicles specifications'!J21</f>
        <v>5.0000000000000002E-5</v>
      </c>
      <c r="N155">
        <v>1</v>
      </c>
      <c r="O155">
        <f>1</f>
        <v>1</v>
      </c>
      <c r="P155">
        <f t="shared" si="4"/>
        <v>-4.1666666666666664E-2</v>
      </c>
      <c r="Q155">
        <f t="shared" si="4"/>
        <v>-4.1666666666666664E-2</v>
      </c>
      <c r="R155">
        <f>-1-'vehicles specifications'!AD21</f>
        <v>-1.25</v>
      </c>
      <c r="S155">
        <v>1</v>
      </c>
      <c r="T155">
        <v>1</v>
      </c>
      <c r="U155">
        <v>1</v>
      </c>
      <c r="V155">
        <v>1</v>
      </c>
      <c r="W155">
        <v>1</v>
      </c>
      <c r="X155">
        <v>1</v>
      </c>
      <c r="Y155">
        <v>1</v>
      </c>
      <c r="Z155">
        <v>1</v>
      </c>
      <c r="AA155">
        <v>1</v>
      </c>
      <c r="AB155">
        <v>1</v>
      </c>
      <c r="AC155">
        <v>1</v>
      </c>
      <c r="AD155">
        <v>1</v>
      </c>
      <c r="AE155">
        <v>1</v>
      </c>
      <c r="AF155">
        <v>1</v>
      </c>
      <c r="AG155">
        <v>1</v>
      </c>
      <c r="AH155">
        <v>1</v>
      </c>
      <c r="AI155">
        <v>1</v>
      </c>
      <c r="AJ155">
        <v>1</v>
      </c>
      <c r="AK155">
        <v>1</v>
      </c>
      <c r="AL155">
        <v>1</v>
      </c>
      <c r="AM155">
        <v>1</v>
      </c>
      <c r="AN155">
        <v>1</v>
      </c>
      <c r="AO155">
        <v>1</v>
      </c>
      <c r="AP155">
        <v>1</v>
      </c>
      <c r="AQ155">
        <v>1</v>
      </c>
      <c r="AR155">
        <v>1</v>
      </c>
      <c r="AS155">
        <v>1</v>
      </c>
      <c r="AT155">
        <v>1</v>
      </c>
      <c r="AU155">
        <v>1</v>
      </c>
      <c r="AV155">
        <v>1</v>
      </c>
      <c r="AW155">
        <v>1</v>
      </c>
      <c r="AX155">
        <v>1</v>
      </c>
      <c r="AY155">
        <v>1</v>
      </c>
      <c r="AZ155">
        <v>1</v>
      </c>
      <c r="BA155">
        <v>1</v>
      </c>
      <c r="BB155">
        <v>1</v>
      </c>
      <c r="BC155">
        <v>1</v>
      </c>
      <c r="BD155">
        <v>1</v>
      </c>
      <c r="BE155">
        <v>1</v>
      </c>
      <c r="BF155">
        <v>1</v>
      </c>
      <c r="BG155">
        <v>1</v>
      </c>
      <c r="BH155">
        <v>1</v>
      </c>
      <c r="BI155">
        <v>1</v>
      </c>
      <c r="BJ155">
        <f>-1/'vehicles specifications'!$M21</f>
        <v>-1</v>
      </c>
      <c r="BK155">
        <f>-1/'vehicles specifications'!$M21</f>
        <v>-1</v>
      </c>
      <c r="BL155">
        <f>-1/'vehicles specifications'!$M21</f>
        <v>-1</v>
      </c>
    </row>
    <row r="156" spans="1:64" x14ac:dyDescent="0.2">
      <c r="A156" t="s">
        <v>443</v>
      </c>
      <c r="B156">
        <f t="shared" si="0"/>
        <v>5.8823529411764705E-2</v>
      </c>
      <c r="C156" s="2">
        <f>'vehicles specifications'!S22</f>
        <v>16</v>
      </c>
      <c r="D156">
        <f t="shared" si="0"/>
        <v>5.8823529411764705E-2</v>
      </c>
      <c r="E156">
        <v>1</v>
      </c>
      <c r="F156">
        <f>1+'vehicles specifications'!AD22</f>
        <v>1</v>
      </c>
      <c r="G156">
        <f>1+'vehicles specifications'!AD22</f>
        <v>1</v>
      </c>
      <c r="J156">
        <v>1</v>
      </c>
      <c r="K156">
        <f>1/('fuels and tailpipe emissions'!$C$3*3.6)</f>
        <v>2.3474178403755867E-2</v>
      </c>
      <c r="L156">
        <f t="shared" si="2"/>
        <v>0.30555555555555558</v>
      </c>
      <c r="M156">
        <f>1/'vehicles specifications'!J22</f>
        <v>5.0000000000000002E-5</v>
      </c>
      <c r="N156">
        <v>1</v>
      </c>
      <c r="O156">
        <f>1</f>
        <v>1</v>
      </c>
      <c r="P156">
        <f t="shared" si="4"/>
        <v>-4.1666666666666664E-2</v>
      </c>
      <c r="Q156">
        <f t="shared" si="4"/>
        <v>-4.1666666666666664E-2</v>
      </c>
      <c r="R156">
        <f>-1-'vehicles specifications'!AD22</f>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c r="AS156">
        <v>1</v>
      </c>
      <c r="AT156">
        <v>1</v>
      </c>
      <c r="AU156">
        <v>1</v>
      </c>
      <c r="AV156">
        <v>1</v>
      </c>
      <c r="AW156">
        <v>1</v>
      </c>
      <c r="AX156">
        <v>1</v>
      </c>
      <c r="AY156">
        <v>1</v>
      </c>
      <c r="AZ156">
        <v>1</v>
      </c>
      <c r="BA156">
        <v>1</v>
      </c>
      <c r="BB156">
        <v>1</v>
      </c>
      <c r="BC156">
        <v>1</v>
      </c>
      <c r="BD156">
        <v>1</v>
      </c>
      <c r="BE156">
        <v>1</v>
      </c>
      <c r="BF156">
        <v>1</v>
      </c>
      <c r="BG156">
        <v>1</v>
      </c>
      <c r="BH156">
        <v>1</v>
      </c>
      <c r="BI156">
        <v>1</v>
      </c>
      <c r="BJ156">
        <f>-1/'vehicles specifications'!$M22</f>
        <v>-1</v>
      </c>
      <c r="BK156">
        <f>-1/'vehicles specifications'!$M22</f>
        <v>-1</v>
      </c>
      <c r="BL156">
        <f>-1/'vehicles specifications'!$M22</f>
        <v>-1</v>
      </c>
    </row>
    <row r="157" spans="1:64" x14ac:dyDescent="0.2">
      <c r="A157" t="s">
        <v>444</v>
      </c>
      <c r="B157">
        <f t="shared" si="0"/>
        <v>5.8823529411764705E-2</v>
      </c>
      <c r="C157" s="2">
        <f>'vehicles specifications'!S23</f>
        <v>19</v>
      </c>
      <c r="D157">
        <f t="shared" si="0"/>
        <v>5.8823529411764705E-2</v>
      </c>
      <c r="E157">
        <v>1</v>
      </c>
      <c r="F157">
        <f>1+'vehicles specifications'!AD23</f>
        <v>2</v>
      </c>
      <c r="G157">
        <f>1+'vehicles specifications'!AD23</f>
        <v>2</v>
      </c>
      <c r="J157">
        <v>1</v>
      </c>
      <c r="K157">
        <f>1/('fuels and tailpipe emissions'!$C$3*3.6)</f>
        <v>2.3474178403755867E-2</v>
      </c>
      <c r="L157">
        <f t="shared" si="2"/>
        <v>0.30555555555555558</v>
      </c>
      <c r="M157">
        <f>1/'vehicles specifications'!J23</f>
        <v>3.3333333333333335E-5</v>
      </c>
      <c r="N157">
        <v>1</v>
      </c>
      <c r="O157">
        <f>1</f>
        <v>1</v>
      </c>
      <c r="P157">
        <f t="shared" si="4"/>
        <v>-4.1666666666666664E-2</v>
      </c>
      <c r="Q157">
        <f t="shared" si="4"/>
        <v>-4.1666666666666664E-2</v>
      </c>
      <c r="R157">
        <f>-1-'vehicles specifications'!AD23</f>
        <v>-2</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f>-1/'vehicles specifications'!$M23</f>
        <v>-1</v>
      </c>
      <c r="BK157">
        <f>-1/'vehicles specifications'!$M23</f>
        <v>-1</v>
      </c>
      <c r="BL157">
        <f>-1/'vehicles specifications'!$M23</f>
        <v>-1</v>
      </c>
    </row>
    <row r="158" spans="1:64" x14ac:dyDescent="0.2">
      <c r="A158" t="s">
        <v>445</v>
      </c>
      <c r="B158">
        <f t="shared" si="0"/>
        <v>5.8823529411764705E-2</v>
      </c>
      <c r="C158" s="2">
        <f>'vehicles specifications'!S24</f>
        <v>19</v>
      </c>
      <c r="D158">
        <f t="shared" si="0"/>
        <v>5.8823529411764705E-2</v>
      </c>
      <c r="E158">
        <v>1</v>
      </c>
      <c r="F158">
        <f>1+'vehicles specifications'!AD24</f>
        <v>1.5</v>
      </c>
      <c r="G158">
        <f>1+'vehicles specifications'!AD24</f>
        <v>1.5</v>
      </c>
      <c r="J158">
        <v>1</v>
      </c>
      <c r="K158">
        <f>1/('fuels and tailpipe emissions'!$C$3*3.6)</f>
        <v>2.3474178403755867E-2</v>
      </c>
      <c r="L158">
        <f t="shared" si="2"/>
        <v>0.30555555555555558</v>
      </c>
      <c r="M158">
        <f>1/'vehicles specifications'!J24</f>
        <v>3.3333333333333335E-5</v>
      </c>
      <c r="N158">
        <v>1</v>
      </c>
      <c r="O158">
        <f>1</f>
        <v>1</v>
      </c>
      <c r="P158">
        <f t="shared" si="4"/>
        <v>-4.1666666666666664E-2</v>
      </c>
      <c r="Q158">
        <f t="shared" si="4"/>
        <v>-4.1666666666666664E-2</v>
      </c>
      <c r="R158">
        <f>-1-'vehicles specifications'!AD24</f>
        <v>-1.5</v>
      </c>
      <c r="S158">
        <v>1</v>
      </c>
      <c r="T158">
        <v>1</v>
      </c>
      <c r="U158">
        <v>1</v>
      </c>
      <c r="V158">
        <v>1</v>
      </c>
      <c r="W158">
        <v>1</v>
      </c>
      <c r="X158">
        <v>1</v>
      </c>
      <c r="Y158">
        <v>1</v>
      </c>
      <c r="Z158">
        <v>1</v>
      </c>
      <c r="AA158">
        <v>1</v>
      </c>
      <c r="AB158">
        <v>1</v>
      </c>
      <c r="AC158">
        <v>1</v>
      </c>
      <c r="AD158">
        <v>1</v>
      </c>
      <c r="AE158">
        <v>1</v>
      </c>
      <c r="AF158">
        <v>1</v>
      </c>
      <c r="AG158">
        <v>1</v>
      </c>
      <c r="AH158">
        <v>1</v>
      </c>
      <c r="AI158">
        <v>1</v>
      </c>
      <c r="AJ158">
        <v>1</v>
      </c>
      <c r="AK158">
        <v>1</v>
      </c>
      <c r="AL158">
        <v>1</v>
      </c>
      <c r="AM158">
        <v>1</v>
      </c>
      <c r="AN158">
        <v>1</v>
      </c>
      <c r="AO158">
        <v>1</v>
      </c>
      <c r="AP158">
        <v>1</v>
      </c>
      <c r="AQ158">
        <v>1</v>
      </c>
      <c r="AR158">
        <v>1</v>
      </c>
      <c r="AS158">
        <v>1</v>
      </c>
      <c r="AT158">
        <v>1</v>
      </c>
      <c r="AU158">
        <v>1</v>
      </c>
      <c r="AV158">
        <v>1</v>
      </c>
      <c r="AW158">
        <v>1</v>
      </c>
      <c r="AX158">
        <v>1</v>
      </c>
      <c r="AY158">
        <v>1</v>
      </c>
      <c r="AZ158">
        <v>1</v>
      </c>
      <c r="BA158">
        <v>1</v>
      </c>
      <c r="BB158">
        <v>1</v>
      </c>
      <c r="BC158">
        <v>1</v>
      </c>
      <c r="BD158">
        <v>1</v>
      </c>
      <c r="BE158">
        <v>1</v>
      </c>
      <c r="BF158">
        <v>1</v>
      </c>
      <c r="BG158">
        <v>1</v>
      </c>
      <c r="BH158">
        <v>1</v>
      </c>
      <c r="BI158">
        <v>1</v>
      </c>
      <c r="BJ158">
        <f>-1/'vehicles specifications'!$M24</f>
        <v>-1</v>
      </c>
      <c r="BK158">
        <f>-1/'vehicles specifications'!$M24</f>
        <v>-1</v>
      </c>
      <c r="BL158">
        <f>-1/'vehicles specifications'!$M24</f>
        <v>-1</v>
      </c>
    </row>
    <row r="159" spans="1:64" x14ac:dyDescent="0.2">
      <c r="A159" t="s">
        <v>446</v>
      </c>
      <c r="B159">
        <f t="shared" si="0"/>
        <v>5.8823529411764705E-2</v>
      </c>
      <c r="C159" s="2">
        <f>'vehicles specifications'!S25</f>
        <v>19</v>
      </c>
      <c r="D159">
        <f t="shared" si="0"/>
        <v>5.8823529411764705E-2</v>
      </c>
      <c r="E159">
        <v>1</v>
      </c>
      <c r="F159">
        <f>1+'vehicles specifications'!AD25</f>
        <v>1.25</v>
      </c>
      <c r="G159">
        <f>1+'vehicles specifications'!AD25</f>
        <v>1.25</v>
      </c>
      <c r="J159">
        <v>1</v>
      </c>
      <c r="K159">
        <f>1/('fuels and tailpipe emissions'!$C$3*3.6)</f>
        <v>2.3474178403755867E-2</v>
      </c>
      <c r="L159">
        <f t="shared" si="2"/>
        <v>0.30555555555555558</v>
      </c>
      <c r="M159">
        <f>1/'vehicles specifications'!J25</f>
        <v>3.3333333333333335E-5</v>
      </c>
      <c r="N159">
        <v>1</v>
      </c>
      <c r="O159">
        <f>1</f>
        <v>1</v>
      </c>
      <c r="P159">
        <f t="shared" si="4"/>
        <v>-4.1666666666666664E-2</v>
      </c>
      <c r="Q159">
        <f t="shared" si="4"/>
        <v>-4.1666666666666664E-2</v>
      </c>
      <c r="R159">
        <f>-1-'vehicles specifications'!AD25</f>
        <v>-1.25</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c r="AY159">
        <v>1</v>
      </c>
      <c r="AZ159">
        <v>1</v>
      </c>
      <c r="BA159">
        <v>1</v>
      </c>
      <c r="BB159">
        <v>1</v>
      </c>
      <c r="BC159">
        <v>1</v>
      </c>
      <c r="BD159">
        <v>1</v>
      </c>
      <c r="BE159">
        <v>1</v>
      </c>
      <c r="BF159">
        <v>1</v>
      </c>
      <c r="BG159">
        <v>1</v>
      </c>
      <c r="BH159">
        <v>1</v>
      </c>
      <c r="BI159">
        <v>1</v>
      </c>
      <c r="BJ159">
        <f>-1/'vehicles specifications'!$M25</f>
        <v>-1</v>
      </c>
      <c r="BK159">
        <f>-1/'vehicles specifications'!$M25</f>
        <v>-1</v>
      </c>
      <c r="BL159">
        <f>-1/'vehicles specifications'!$M25</f>
        <v>-1</v>
      </c>
    </row>
    <row r="160" spans="1:64" x14ac:dyDescent="0.2">
      <c r="A160" t="s">
        <v>447</v>
      </c>
      <c r="B160">
        <f t="shared" si="0"/>
        <v>5.8823529411764705E-2</v>
      </c>
      <c r="C160" s="2">
        <f>'vehicles specifications'!S26</f>
        <v>19</v>
      </c>
      <c r="D160">
        <f t="shared" si="0"/>
        <v>5.8823529411764705E-2</v>
      </c>
      <c r="E160">
        <v>1</v>
      </c>
      <c r="F160">
        <f>1+'vehicles specifications'!AD26</f>
        <v>1</v>
      </c>
      <c r="G160">
        <f>1+'vehicles specifications'!AD26</f>
        <v>1</v>
      </c>
      <c r="J160">
        <v>1</v>
      </c>
      <c r="K160">
        <f>1/('fuels and tailpipe emissions'!$C$3*3.6)</f>
        <v>2.3474178403755867E-2</v>
      </c>
      <c r="L160">
        <f t="shared" si="2"/>
        <v>0.30555555555555558</v>
      </c>
      <c r="M160">
        <f>1/'vehicles specifications'!J26</f>
        <v>3.3333333333333335E-5</v>
      </c>
      <c r="N160">
        <v>1</v>
      </c>
      <c r="O160">
        <f>1</f>
        <v>1</v>
      </c>
      <c r="P160">
        <f t="shared" si="4"/>
        <v>-4.1666666666666664E-2</v>
      </c>
      <c r="Q160">
        <f t="shared" si="4"/>
        <v>-4.1666666666666664E-2</v>
      </c>
      <c r="R160">
        <f>-1-'vehicles specifications'!AD26</f>
        <v>-1</v>
      </c>
      <c r="S160">
        <v>1</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1</v>
      </c>
      <c r="AQ160">
        <v>1</v>
      </c>
      <c r="AR160">
        <v>1</v>
      </c>
      <c r="AS160">
        <v>1</v>
      </c>
      <c r="AT160">
        <v>1</v>
      </c>
      <c r="AU160">
        <v>1</v>
      </c>
      <c r="AV160">
        <v>1</v>
      </c>
      <c r="AW160">
        <v>1</v>
      </c>
      <c r="AX160">
        <v>1</v>
      </c>
      <c r="AY160">
        <v>1</v>
      </c>
      <c r="AZ160">
        <v>1</v>
      </c>
      <c r="BA160">
        <v>1</v>
      </c>
      <c r="BB160">
        <v>1</v>
      </c>
      <c r="BC160">
        <v>1</v>
      </c>
      <c r="BD160">
        <v>1</v>
      </c>
      <c r="BE160">
        <v>1</v>
      </c>
      <c r="BF160">
        <v>1</v>
      </c>
      <c r="BG160">
        <v>1</v>
      </c>
      <c r="BH160">
        <v>1</v>
      </c>
      <c r="BI160">
        <v>1</v>
      </c>
      <c r="BJ160">
        <f>-1/'vehicles specifications'!$M26</f>
        <v>-1</v>
      </c>
      <c r="BK160">
        <f>-1/'vehicles specifications'!$M26</f>
        <v>-1</v>
      </c>
      <c r="BL160">
        <f>-1/'vehicles specifications'!$M26</f>
        <v>-1</v>
      </c>
    </row>
    <row r="161" spans="1:64" x14ac:dyDescent="0.2">
      <c r="A161" t="s">
        <v>448</v>
      </c>
      <c r="B161">
        <f t="shared" si="0"/>
        <v>5.8823529411764705E-2</v>
      </c>
      <c r="C161" s="2">
        <f>'vehicles specifications'!S27</f>
        <v>38</v>
      </c>
      <c r="D161">
        <f t="shared" si="0"/>
        <v>5.8823529411764705E-2</v>
      </c>
      <c r="E161">
        <v>1</v>
      </c>
      <c r="F161">
        <f>1+'vehicles specifications'!AD27</f>
        <v>2</v>
      </c>
      <c r="G161">
        <f>1+'vehicles specifications'!AD27</f>
        <v>2</v>
      </c>
      <c r="J161">
        <v>1</v>
      </c>
      <c r="K161">
        <f>1/('fuels and tailpipe emissions'!$C$3*3.6)</f>
        <v>2.3474178403755867E-2</v>
      </c>
      <c r="L161">
        <f t="shared" si="2"/>
        <v>0.30555555555555558</v>
      </c>
      <c r="M161">
        <f>1/'vehicles specifications'!J27</f>
        <v>5.0000000000000002E-5</v>
      </c>
      <c r="N161">
        <v>1</v>
      </c>
      <c r="O161">
        <f>1</f>
        <v>1</v>
      </c>
      <c r="P161">
        <f t="shared" si="4"/>
        <v>-4.1666666666666664E-2</v>
      </c>
      <c r="Q161">
        <f t="shared" si="4"/>
        <v>-4.1666666666666664E-2</v>
      </c>
      <c r="R161">
        <f>-1-'vehicles specifications'!AD27</f>
        <v>-2</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1</v>
      </c>
      <c r="AO161">
        <v>1</v>
      </c>
      <c r="AP161">
        <v>1</v>
      </c>
      <c r="AQ161">
        <v>1</v>
      </c>
      <c r="AR161">
        <v>1</v>
      </c>
      <c r="AS161">
        <v>1</v>
      </c>
      <c r="AT161">
        <v>1</v>
      </c>
      <c r="AU161">
        <v>1</v>
      </c>
      <c r="AV161">
        <v>1</v>
      </c>
      <c r="AW161">
        <v>1</v>
      </c>
      <c r="AX161">
        <v>1</v>
      </c>
      <c r="AY161">
        <v>1</v>
      </c>
      <c r="AZ161">
        <v>1</v>
      </c>
      <c r="BA161">
        <v>1</v>
      </c>
      <c r="BB161">
        <v>1</v>
      </c>
      <c r="BC161">
        <v>1</v>
      </c>
      <c r="BD161">
        <v>1</v>
      </c>
      <c r="BE161">
        <v>1</v>
      </c>
      <c r="BF161">
        <v>1</v>
      </c>
      <c r="BG161">
        <v>1</v>
      </c>
      <c r="BH161">
        <v>1</v>
      </c>
      <c r="BI161">
        <v>1</v>
      </c>
      <c r="BJ161">
        <f>-1/'vehicles specifications'!$M27</f>
        <v>-1</v>
      </c>
      <c r="BK161">
        <f>-1/'vehicles specifications'!$M27</f>
        <v>-1</v>
      </c>
      <c r="BL161">
        <f>-1/'vehicles specifications'!$M27</f>
        <v>-1</v>
      </c>
    </row>
    <row r="162" spans="1:64" x14ac:dyDescent="0.2">
      <c r="A162" t="s">
        <v>449</v>
      </c>
      <c r="B162">
        <f t="shared" si="0"/>
        <v>5.8823529411764705E-2</v>
      </c>
      <c r="C162" s="2">
        <f>'vehicles specifications'!S28</f>
        <v>38</v>
      </c>
      <c r="D162">
        <f t="shared" si="0"/>
        <v>5.8823529411764705E-2</v>
      </c>
      <c r="E162">
        <v>1</v>
      </c>
      <c r="F162">
        <f>1+'vehicles specifications'!AD28</f>
        <v>1.5</v>
      </c>
      <c r="G162">
        <f>1+'vehicles specifications'!AD28</f>
        <v>1.5</v>
      </c>
      <c r="J162">
        <v>1</v>
      </c>
      <c r="K162">
        <f>1/('fuels and tailpipe emissions'!$C$3*3.6)</f>
        <v>2.3474178403755867E-2</v>
      </c>
      <c r="L162">
        <f t="shared" si="2"/>
        <v>0.30555555555555558</v>
      </c>
      <c r="M162">
        <f>1/'vehicles specifications'!J28</f>
        <v>5.0000000000000002E-5</v>
      </c>
      <c r="N162">
        <v>1</v>
      </c>
      <c r="O162">
        <f>1</f>
        <v>1</v>
      </c>
      <c r="P162">
        <f t="shared" si="4"/>
        <v>-4.1666666666666664E-2</v>
      </c>
      <c r="Q162">
        <f t="shared" si="4"/>
        <v>-4.1666666666666664E-2</v>
      </c>
      <c r="R162">
        <f>-1-'vehicles specifications'!AD28</f>
        <v>-1.5</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c r="AS162">
        <v>1</v>
      </c>
      <c r="AT162">
        <v>1</v>
      </c>
      <c r="AU162">
        <v>1</v>
      </c>
      <c r="AV162">
        <v>1</v>
      </c>
      <c r="AW162">
        <v>1</v>
      </c>
      <c r="AX162">
        <v>1</v>
      </c>
      <c r="AY162">
        <v>1</v>
      </c>
      <c r="AZ162">
        <v>1</v>
      </c>
      <c r="BA162">
        <v>1</v>
      </c>
      <c r="BB162">
        <v>1</v>
      </c>
      <c r="BC162">
        <v>1</v>
      </c>
      <c r="BD162">
        <v>1</v>
      </c>
      <c r="BE162">
        <v>1</v>
      </c>
      <c r="BF162">
        <v>1</v>
      </c>
      <c r="BG162">
        <v>1</v>
      </c>
      <c r="BH162">
        <v>1</v>
      </c>
      <c r="BI162">
        <v>1</v>
      </c>
      <c r="BJ162">
        <f>-1/'vehicles specifications'!$M28</f>
        <v>-1</v>
      </c>
      <c r="BK162">
        <f>-1/'vehicles specifications'!$M28</f>
        <v>-1</v>
      </c>
      <c r="BL162">
        <f>-1/'vehicles specifications'!$M28</f>
        <v>-1</v>
      </c>
    </row>
    <row r="163" spans="1:64" x14ac:dyDescent="0.2">
      <c r="A163" t="s">
        <v>450</v>
      </c>
      <c r="B163">
        <f t="shared" si="0"/>
        <v>5.8823529411764705E-2</v>
      </c>
      <c r="C163" s="2">
        <f>'vehicles specifications'!S29</f>
        <v>38</v>
      </c>
      <c r="D163">
        <f t="shared" si="0"/>
        <v>5.8823529411764705E-2</v>
      </c>
      <c r="E163">
        <v>1</v>
      </c>
      <c r="F163">
        <f>1+'vehicles specifications'!AD29</f>
        <v>1.25</v>
      </c>
      <c r="G163">
        <f>1+'vehicles specifications'!AD29</f>
        <v>1.25</v>
      </c>
      <c r="J163">
        <v>1</v>
      </c>
      <c r="K163">
        <f>1/('fuels and tailpipe emissions'!$C$3*3.6)</f>
        <v>2.3474178403755867E-2</v>
      </c>
      <c r="L163">
        <f t="shared" si="2"/>
        <v>0.30555555555555558</v>
      </c>
      <c r="M163">
        <f>1/'vehicles specifications'!J29</f>
        <v>5.0000000000000002E-5</v>
      </c>
      <c r="N163">
        <v>1</v>
      </c>
      <c r="O163">
        <f>1</f>
        <v>1</v>
      </c>
      <c r="P163">
        <f t="shared" si="4"/>
        <v>-4.1666666666666664E-2</v>
      </c>
      <c r="Q163">
        <f t="shared" si="4"/>
        <v>-4.1666666666666664E-2</v>
      </c>
      <c r="R163">
        <f>-1-'vehicles specifications'!AD29</f>
        <v>-1.25</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1</v>
      </c>
      <c r="BF163">
        <v>1</v>
      </c>
      <c r="BG163">
        <v>1</v>
      </c>
      <c r="BH163">
        <v>1</v>
      </c>
      <c r="BI163">
        <v>1</v>
      </c>
      <c r="BJ163">
        <f>-1/'vehicles specifications'!$M29</f>
        <v>-1</v>
      </c>
      <c r="BK163">
        <f>-1/'vehicles specifications'!$M29</f>
        <v>-1</v>
      </c>
      <c r="BL163">
        <f>-1/'vehicles specifications'!$M29</f>
        <v>-1</v>
      </c>
    </row>
    <row r="164" spans="1:64" x14ac:dyDescent="0.2">
      <c r="A164" t="s">
        <v>451</v>
      </c>
      <c r="B164">
        <f t="shared" si="0"/>
        <v>5.8823529411764705E-2</v>
      </c>
      <c r="C164" s="2">
        <f>'vehicles specifications'!S30</f>
        <v>38</v>
      </c>
      <c r="D164">
        <f t="shared" si="0"/>
        <v>5.8823529411764705E-2</v>
      </c>
      <c r="E164">
        <v>1</v>
      </c>
      <c r="F164">
        <f>1+'vehicles specifications'!AD30</f>
        <v>1</v>
      </c>
      <c r="G164">
        <f>1+'vehicles specifications'!AD30</f>
        <v>1</v>
      </c>
      <c r="J164">
        <v>1</v>
      </c>
      <c r="K164">
        <f>1/('fuels and tailpipe emissions'!$C$3*3.6)</f>
        <v>2.3474178403755867E-2</v>
      </c>
      <c r="L164">
        <f t="shared" si="2"/>
        <v>0.30555555555555558</v>
      </c>
      <c r="M164">
        <f>1/'vehicles specifications'!J30</f>
        <v>5.0000000000000002E-5</v>
      </c>
      <c r="N164">
        <v>1</v>
      </c>
      <c r="O164">
        <f>1</f>
        <v>1</v>
      </c>
      <c r="P164">
        <f t="shared" si="4"/>
        <v>-4.1666666666666664E-2</v>
      </c>
      <c r="Q164">
        <f t="shared" si="4"/>
        <v>-4.1666666666666664E-2</v>
      </c>
      <c r="R164">
        <f>-1-'vehicles specifications'!AD30</f>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c r="AS164">
        <v>1</v>
      </c>
      <c r="AT164">
        <v>1</v>
      </c>
      <c r="AU164">
        <v>1</v>
      </c>
      <c r="AV164">
        <v>1</v>
      </c>
      <c r="AW164">
        <v>1</v>
      </c>
      <c r="AX164">
        <v>1</v>
      </c>
      <c r="AY164">
        <v>1</v>
      </c>
      <c r="AZ164">
        <v>1</v>
      </c>
      <c r="BA164">
        <v>1</v>
      </c>
      <c r="BB164">
        <v>1</v>
      </c>
      <c r="BC164">
        <v>1</v>
      </c>
      <c r="BD164">
        <v>1</v>
      </c>
      <c r="BE164">
        <v>1</v>
      </c>
      <c r="BF164">
        <v>1</v>
      </c>
      <c r="BG164">
        <v>1</v>
      </c>
      <c r="BH164">
        <v>1</v>
      </c>
      <c r="BI164">
        <v>1</v>
      </c>
      <c r="BJ164">
        <f>-1/'vehicles specifications'!$M30</f>
        <v>-1</v>
      </c>
      <c r="BK164">
        <f>-1/'vehicles specifications'!$M30</f>
        <v>-1</v>
      </c>
      <c r="BL164">
        <f>-1/'vehicles specifications'!$M30</f>
        <v>-1</v>
      </c>
    </row>
    <row r="165" spans="1:64" x14ac:dyDescent="0.2">
      <c r="A165" t="s">
        <v>452</v>
      </c>
      <c r="B165">
        <f t="shared" si="0"/>
        <v>5.8823529411764705E-2</v>
      </c>
      <c r="C165" s="2">
        <f>'vehicles specifications'!S31</f>
        <v>16</v>
      </c>
      <c r="D165">
        <f t="shared" si="0"/>
        <v>5.8823529411764705E-2</v>
      </c>
      <c r="E165">
        <v>1</v>
      </c>
      <c r="F165">
        <f>1+'vehicles specifications'!AD31</f>
        <v>2</v>
      </c>
      <c r="G165">
        <f>1+'vehicles specifications'!AD31</f>
        <v>2</v>
      </c>
      <c r="J165">
        <v>1</v>
      </c>
      <c r="K165">
        <f>1/('fuels and tailpipe emissions'!$C$3*3.6)</f>
        <v>2.3474178403755867E-2</v>
      </c>
      <c r="L165">
        <f t="shared" si="2"/>
        <v>0.30555555555555558</v>
      </c>
      <c r="M165">
        <f>1/'vehicles specifications'!J31</f>
        <v>5.0000000000000002E-5</v>
      </c>
      <c r="N165">
        <v>1</v>
      </c>
      <c r="O165">
        <f>1</f>
        <v>1</v>
      </c>
      <c r="P165">
        <f>-1/24</f>
        <v>-4.1666666666666664E-2</v>
      </c>
      <c r="Q165">
        <f>-1/24</f>
        <v>-4.1666666666666664E-2</v>
      </c>
      <c r="R165">
        <f>-1-'vehicles specifications'!AD31</f>
        <v>-2</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c r="AS165">
        <v>1</v>
      </c>
      <c r="AT165">
        <v>1</v>
      </c>
      <c r="AU165">
        <v>1</v>
      </c>
      <c r="AV165">
        <v>1</v>
      </c>
      <c r="AW165">
        <v>1</v>
      </c>
      <c r="AX165">
        <v>1</v>
      </c>
      <c r="AY165">
        <v>1</v>
      </c>
      <c r="AZ165">
        <v>1</v>
      </c>
      <c r="BA165">
        <v>1</v>
      </c>
      <c r="BB165">
        <v>1</v>
      </c>
      <c r="BC165">
        <v>1</v>
      </c>
      <c r="BD165">
        <v>1</v>
      </c>
      <c r="BE165">
        <v>1</v>
      </c>
      <c r="BF165">
        <v>1</v>
      </c>
      <c r="BG165">
        <v>1</v>
      </c>
      <c r="BH165">
        <v>1</v>
      </c>
      <c r="BI165">
        <v>1</v>
      </c>
      <c r="BJ165">
        <f>-1/'vehicles specifications'!$M31</f>
        <v>-1</v>
      </c>
      <c r="BK165">
        <f>-1/'vehicles specifications'!$M31</f>
        <v>-1</v>
      </c>
      <c r="BL165">
        <f>-1/'vehicles specifications'!$M31</f>
        <v>-1</v>
      </c>
    </row>
    <row r="166" spans="1:64" x14ac:dyDescent="0.2">
      <c r="A166" t="s">
        <v>453</v>
      </c>
      <c r="B166">
        <f t="shared" ref="B166:D181" si="5">1/17</f>
        <v>5.8823529411764705E-2</v>
      </c>
      <c r="C166" s="2">
        <f>'vehicles specifications'!S32</f>
        <v>16</v>
      </c>
      <c r="D166">
        <f t="shared" si="5"/>
        <v>5.8823529411764705E-2</v>
      </c>
      <c r="E166">
        <v>1</v>
      </c>
      <c r="F166">
        <f>1+'vehicles specifications'!AD32</f>
        <v>1.5</v>
      </c>
      <c r="G166">
        <f>1+'vehicles specifications'!AD32</f>
        <v>1.5</v>
      </c>
      <c r="J166">
        <v>1</v>
      </c>
      <c r="K166">
        <f>1/('fuels and tailpipe emissions'!$C$3*3.6)</f>
        <v>2.3474178403755867E-2</v>
      </c>
      <c r="L166">
        <f t="shared" si="2"/>
        <v>0.30555555555555558</v>
      </c>
      <c r="M166">
        <f>1/'vehicles specifications'!J32</f>
        <v>5.0000000000000002E-5</v>
      </c>
      <c r="N166">
        <v>1</v>
      </c>
      <c r="O166">
        <f>1</f>
        <v>1</v>
      </c>
      <c r="P166">
        <f t="shared" si="4"/>
        <v>-4.1666666666666664E-2</v>
      </c>
      <c r="Q166">
        <f t="shared" si="4"/>
        <v>-4.1666666666666664E-2</v>
      </c>
      <c r="R166">
        <f>-1-'vehicles specifications'!AD32</f>
        <v>-1.5</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f>-1/'vehicles specifications'!$M32</f>
        <v>-1</v>
      </c>
      <c r="BK166">
        <f>-1/'vehicles specifications'!$M32</f>
        <v>-1</v>
      </c>
      <c r="BL166">
        <f>-1/'vehicles specifications'!$M32</f>
        <v>-1</v>
      </c>
    </row>
    <row r="167" spans="1:64" x14ac:dyDescent="0.2">
      <c r="A167" t="s">
        <v>454</v>
      </c>
      <c r="B167">
        <f t="shared" si="5"/>
        <v>5.8823529411764705E-2</v>
      </c>
      <c r="C167" s="2">
        <f>'vehicles specifications'!S33</f>
        <v>16</v>
      </c>
      <c r="D167">
        <f t="shared" si="5"/>
        <v>5.8823529411764705E-2</v>
      </c>
      <c r="E167">
        <v>1</v>
      </c>
      <c r="F167">
        <f>1+'vehicles specifications'!AD33</f>
        <v>1.25</v>
      </c>
      <c r="G167">
        <f>1+'vehicles specifications'!AD33</f>
        <v>1.25</v>
      </c>
      <c r="J167">
        <v>1</v>
      </c>
      <c r="K167">
        <f>1/('fuels and tailpipe emissions'!$C$3*3.6)</f>
        <v>2.3474178403755867E-2</v>
      </c>
      <c r="L167">
        <f t="shared" si="2"/>
        <v>0.30555555555555558</v>
      </c>
      <c r="M167">
        <f>1/'vehicles specifications'!J33</f>
        <v>5.0000000000000002E-5</v>
      </c>
      <c r="N167">
        <v>1</v>
      </c>
      <c r="O167">
        <f>1</f>
        <v>1</v>
      </c>
      <c r="P167">
        <f t="shared" si="4"/>
        <v>-4.1666666666666664E-2</v>
      </c>
      <c r="Q167">
        <f t="shared" si="4"/>
        <v>-4.1666666666666664E-2</v>
      </c>
      <c r="R167">
        <f>-1-'vehicles specifications'!AD33</f>
        <v>-1.25</v>
      </c>
      <c r="S167">
        <v>1</v>
      </c>
      <c r="T167">
        <v>1</v>
      </c>
      <c r="U167">
        <v>1</v>
      </c>
      <c r="V167">
        <v>1</v>
      </c>
      <c r="W167">
        <v>1</v>
      </c>
      <c r="X167">
        <v>1</v>
      </c>
      <c r="Y167">
        <v>1</v>
      </c>
      <c r="Z167">
        <v>1</v>
      </c>
      <c r="AA167">
        <v>1</v>
      </c>
      <c r="AB167">
        <v>1</v>
      </c>
      <c r="AC167">
        <v>1</v>
      </c>
      <c r="AD167">
        <v>1</v>
      </c>
      <c r="AE167">
        <v>1</v>
      </c>
      <c r="AF167">
        <v>1</v>
      </c>
      <c r="AG167">
        <v>1</v>
      </c>
      <c r="AH167">
        <v>1</v>
      </c>
      <c r="AI167">
        <v>1</v>
      </c>
      <c r="AJ167">
        <v>1</v>
      </c>
      <c r="AK167">
        <v>1</v>
      </c>
      <c r="AL167">
        <v>1</v>
      </c>
      <c r="AM167">
        <v>1</v>
      </c>
      <c r="AN167">
        <v>1</v>
      </c>
      <c r="AO167">
        <v>1</v>
      </c>
      <c r="AP167">
        <v>1</v>
      </c>
      <c r="AQ167">
        <v>1</v>
      </c>
      <c r="AR167">
        <v>1</v>
      </c>
      <c r="AS167">
        <v>1</v>
      </c>
      <c r="AT167">
        <v>1</v>
      </c>
      <c r="AU167">
        <v>1</v>
      </c>
      <c r="AV167">
        <v>1</v>
      </c>
      <c r="AW167">
        <v>1</v>
      </c>
      <c r="AX167">
        <v>1</v>
      </c>
      <c r="AY167">
        <v>1</v>
      </c>
      <c r="AZ167">
        <v>1</v>
      </c>
      <c r="BA167">
        <v>1</v>
      </c>
      <c r="BB167">
        <v>1</v>
      </c>
      <c r="BC167">
        <v>1</v>
      </c>
      <c r="BD167">
        <v>1</v>
      </c>
      <c r="BE167">
        <v>1</v>
      </c>
      <c r="BF167">
        <v>1</v>
      </c>
      <c r="BG167">
        <v>1</v>
      </c>
      <c r="BH167">
        <v>1</v>
      </c>
      <c r="BI167">
        <v>1</v>
      </c>
      <c r="BJ167">
        <f>-1/'vehicles specifications'!$M33</f>
        <v>-1</v>
      </c>
      <c r="BK167">
        <f>-1/'vehicles specifications'!$M33</f>
        <v>-1</v>
      </c>
      <c r="BL167">
        <f>-1/'vehicles specifications'!$M33</f>
        <v>-1</v>
      </c>
    </row>
    <row r="168" spans="1:64" x14ac:dyDescent="0.2">
      <c r="A168" t="s">
        <v>455</v>
      </c>
      <c r="B168">
        <f t="shared" si="5"/>
        <v>5.8823529411764705E-2</v>
      </c>
      <c r="C168" s="2">
        <f>'vehicles specifications'!S34</f>
        <v>16</v>
      </c>
      <c r="D168">
        <f t="shared" si="5"/>
        <v>5.8823529411764705E-2</v>
      </c>
      <c r="E168">
        <v>1</v>
      </c>
      <c r="F168">
        <f>1+'vehicles specifications'!AD34</f>
        <v>1</v>
      </c>
      <c r="G168">
        <f>1+'vehicles specifications'!AD34</f>
        <v>1</v>
      </c>
      <c r="J168">
        <v>1</v>
      </c>
      <c r="K168">
        <f>1/('fuels and tailpipe emissions'!$C$3*3.6)</f>
        <v>2.3474178403755867E-2</v>
      </c>
      <c r="L168">
        <f t="shared" si="2"/>
        <v>0.30555555555555558</v>
      </c>
      <c r="M168">
        <f>1/'vehicles specifications'!J34</f>
        <v>5.0000000000000002E-5</v>
      </c>
      <c r="N168">
        <v>1</v>
      </c>
      <c r="O168">
        <f>1</f>
        <v>1</v>
      </c>
      <c r="P168">
        <f t="shared" si="4"/>
        <v>-4.1666666666666664E-2</v>
      </c>
      <c r="Q168">
        <f t="shared" si="4"/>
        <v>-4.1666666666666664E-2</v>
      </c>
      <c r="R168">
        <f>-1-'vehicles specifications'!AD34</f>
        <v>-1</v>
      </c>
      <c r="S168">
        <v>1</v>
      </c>
      <c r="T168">
        <v>1</v>
      </c>
      <c r="U168">
        <v>1</v>
      </c>
      <c r="V168">
        <v>1</v>
      </c>
      <c r="W168">
        <v>1</v>
      </c>
      <c r="X168">
        <v>1</v>
      </c>
      <c r="Y168">
        <v>1</v>
      </c>
      <c r="Z168">
        <v>1</v>
      </c>
      <c r="AA168">
        <v>1</v>
      </c>
      <c r="AB168">
        <v>1</v>
      </c>
      <c r="AC168">
        <v>1</v>
      </c>
      <c r="AD168">
        <v>1</v>
      </c>
      <c r="AE168">
        <v>1</v>
      </c>
      <c r="AF168">
        <v>1</v>
      </c>
      <c r="AG168">
        <v>1</v>
      </c>
      <c r="AH168">
        <v>1</v>
      </c>
      <c r="AI168">
        <v>1</v>
      </c>
      <c r="AJ168">
        <v>1</v>
      </c>
      <c r="AK168">
        <v>1</v>
      </c>
      <c r="AL168">
        <v>1</v>
      </c>
      <c r="AM168">
        <v>1</v>
      </c>
      <c r="AN168">
        <v>1</v>
      </c>
      <c r="AO168">
        <v>1</v>
      </c>
      <c r="AP168">
        <v>1</v>
      </c>
      <c r="AQ168">
        <v>1</v>
      </c>
      <c r="AR168">
        <v>1</v>
      </c>
      <c r="AS168">
        <v>1</v>
      </c>
      <c r="AT168">
        <v>1</v>
      </c>
      <c r="AU168">
        <v>1</v>
      </c>
      <c r="AV168">
        <v>1</v>
      </c>
      <c r="AW168">
        <v>1</v>
      </c>
      <c r="AX168">
        <v>1</v>
      </c>
      <c r="AY168">
        <v>1</v>
      </c>
      <c r="AZ168">
        <v>1</v>
      </c>
      <c r="BA168">
        <v>1</v>
      </c>
      <c r="BB168">
        <v>1</v>
      </c>
      <c r="BC168">
        <v>1</v>
      </c>
      <c r="BD168">
        <v>1</v>
      </c>
      <c r="BE168">
        <v>1</v>
      </c>
      <c r="BF168">
        <v>1</v>
      </c>
      <c r="BG168">
        <v>1</v>
      </c>
      <c r="BH168">
        <v>1</v>
      </c>
      <c r="BI168">
        <v>1</v>
      </c>
      <c r="BJ168">
        <f>-1/'vehicles specifications'!$M34</f>
        <v>-1</v>
      </c>
      <c r="BK168">
        <f>-1/'vehicles specifications'!$M34</f>
        <v>-1</v>
      </c>
      <c r="BL168">
        <f>-1/'vehicles specifications'!$M34</f>
        <v>-1</v>
      </c>
    </row>
    <row r="169" spans="1:64" x14ac:dyDescent="0.2">
      <c r="A169" t="s">
        <v>456</v>
      </c>
      <c r="B169">
        <f t="shared" si="5"/>
        <v>5.8823529411764705E-2</v>
      </c>
      <c r="C169" s="2">
        <f>'vehicles specifications'!S35</f>
        <v>19</v>
      </c>
      <c r="D169">
        <f t="shared" si="5"/>
        <v>5.8823529411764705E-2</v>
      </c>
      <c r="E169">
        <v>1</v>
      </c>
      <c r="F169">
        <f>1+'vehicles specifications'!AD35</f>
        <v>2</v>
      </c>
      <c r="G169">
        <f>1+'vehicles specifications'!AD35</f>
        <v>2</v>
      </c>
      <c r="J169">
        <v>1</v>
      </c>
      <c r="K169">
        <f>1/('fuels and tailpipe emissions'!$C$3*3.6)</f>
        <v>2.3474178403755867E-2</v>
      </c>
      <c r="L169">
        <f t="shared" si="2"/>
        <v>0.30555555555555558</v>
      </c>
      <c r="M169">
        <f>1/'vehicles specifications'!J35</f>
        <v>3.3333333333333335E-5</v>
      </c>
      <c r="N169">
        <v>1</v>
      </c>
      <c r="O169">
        <f>1</f>
        <v>1</v>
      </c>
      <c r="P169">
        <f t="shared" si="4"/>
        <v>-4.1666666666666664E-2</v>
      </c>
      <c r="Q169">
        <f t="shared" si="4"/>
        <v>-4.1666666666666664E-2</v>
      </c>
      <c r="R169">
        <f>-1-'vehicles specifications'!AD35</f>
        <v>-2</v>
      </c>
      <c r="S169">
        <v>1</v>
      </c>
      <c r="T169">
        <v>1</v>
      </c>
      <c r="U169">
        <v>1</v>
      </c>
      <c r="V169">
        <v>1</v>
      </c>
      <c r="W169">
        <v>1</v>
      </c>
      <c r="X169">
        <v>1</v>
      </c>
      <c r="Y169">
        <v>1</v>
      </c>
      <c r="Z169">
        <v>1</v>
      </c>
      <c r="AA169">
        <v>1</v>
      </c>
      <c r="AB169">
        <v>1</v>
      </c>
      <c r="AC169">
        <v>1</v>
      </c>
      <c r="AD169">
        <v>1</v>
      </c>
      <c r="AE169">
        <v>1</v>
      </c>
      <c r="AF169">
        <v>1</v>
      </c>
      <c r="AG169">
        <v>1</v>
      </c>
      <c r="AH169">
        <v>1</v>
      </c>
      <c r="AI169">
        <v>1</v>
      </c>
      <c r="AJ169">
        <v>1</v>
      </c>
      <c r="AK169">
        <v>1</v>
      </c>
      <c r="AL169">
        <v>1</v>
      </c>
      <c r="AM169">
        <v>1</v>
      </c>
      <c r="AN169">
        <v>1</v>
      </c>
      <c r="AO169">
        <v>1</v>
      </c>
      <c r="AP169">
        <v>1</v>
      </c>
      <c r="AQ169">
        <v>1</v>
      </c>
      <c r="AR169">
        <v>1</v>
      </c>
      <c r="AS169">
        <v>1</v>
      </c>
      <c r="AT169">
        <v>1</v>
      </c>
      <c r="AU169">
        <v>1</v>
      </c>
      <c r="AV169">
        <v>1</v>
      </c>
      <c r="AW169">
        <v>1</v>
      </c>
      <c r="AX169">
        <v>1</v>
      </c>
      <c r="AY169">
        <v>1</v>
      </c>
      <c r="AZ169">
        <v>1</v>
      </c>
      <c r="BA169">
        <v>1</v>
      </c>
      <c r="BB169">
        <v>1</v>
      </c>
      <c r="BC169">
        <v>1</v>
      </c>
      <c r="BD169">
        <v>1</v>
      </c>
      <c r="BE169">
        <v>1</v>
      </c>
      <c r="BF169">
        <v>1</v>
      </c>
      <c r="BG169">
        <v>1</v>
      </c>
      <c r="BH169">
        <v>1</v>
      </c>
      <c r="BI169">
        <v>1</v>
      </c>
      <c r="BJ169">
        <f>-1/'vehicles specifications'!$M35</f>
        <v>-1</v>
      </c>
      <c r="BK169">
        <f>-1/'vehicles specifications'!$M35</f>
        <v>-1</v>
      </c>
      <c r="BL169">
        <f>-1/'vehicles specifications'!$M35</f>
        <v>-1</v>
      </c>
    </row>
    <row r="170" spans="1:64" x14ac:dyDescent="0.2">
      <c r="A170" t="s">
        <v>457</v>
      </c>
      <c r="B170">
        <f t="shared" si="5"/>
        <v>5.8823529411764705E-2</v>
      </c>
      <c r="C170" s="2">
        <f>'vehicles specifications'!S36</f>
        <v>19</v>
      </c>
      <c r="D170">
        <f t="shared" si="5"/>
        <v>5.8823529411764705E-2</v>
      </c>
      <c r="E170">
        <v>1</v>
      </c>
      <c r="F170">
        <f>1+'vehicles specifications'!AD36</f>
        <v>1.5</v>
      </c>
      <c r="G170">
        <f>1+'vehicles specifications'!AD36</f>
        <v>1.5</v>
      </c>
      <c r="J170">
        <v>1</v>
      </c>
      <c r="K170">
        <f>1/('fuels and tailpipe emissions'!$C$3*3.6)</f>
        <v>2.3474178403755867E-2</v>
      </c>
      <c r="L170">
        <f t="shared" si="2"/>
        <v>0.30555555555555558</v>
      </c>
      <c r="M170">
        <f>1/'vehicles specifications'!J36</f>
        <v>3.3333333333333335E-5</v>
      </c>
      <c r="N170">
        <v>1</v>
      </c>
      <c r="O170">
        <f>1</f>
        <v>1</v>
      </c>
      <c r="P170">
        <f t="shared" ref="P170:Q176" si="6">-1/24</f>
        <v>-4.1666666666666664E-2</v>
      </c>
      <c r="Q170">
        <f t="shared" si="6"/>
        <v>-4.1666666666666664E-2</v>
      </c>
      <c r="R170">
        <f>-1-'vehicles specifications'!AD36</f>
        <v>-1.5</v>
      </c>
      <c r="S170">
        <v>1</v>
      </c>
      <c r="T170">
        <v>1</v>
      </c>
      <c r="U170">
        <v>1</v>
      </c>
      <c r="V170">
        <v>1</v>
      </c>
      <c r="W170">
        <v>1</v>
      </c>
      <c r="X170">
        <v>1</v>
      </c>
      <c r="Y170">
        <v>1</v>
      </c>
      <c r="Z170">
        <v>1</v>
      </c>
      <c r="AA170">
        <v>1</v>
      </c>
      <c r="AB170">
        <v>1</v>
      </c>
      <c r="AC170">
        <v>1</v>
      </c>
      <c r="AD170">
        <v>1</v>
      </c>
      <c r="AE170">
        <v>1</v>
      </c>
      <c r="AF170">
        <v>1</v>
      </c>
      <c r="AG170">
        <v>1</v>
      </c>
      <c r="AH170">
        <v>1</v>
      </c>
      <c r="AI170">
        <v>1</v>
      </c>
      <c r="AJ170">
        <v>1</v>
      </c>
      <c r="AK170">
        <v>1</v>
      </c>
      <c r="AL170">
        <v>1</v>
      </c>
      <c r="AM170">
        <v>1</v>
      </c>
      <c r="AN170">
        <v>1</v>
      </c>
      <c r="AO170">
        <v>1</v>
      </c>
      <c r="AP170">
        <v>1</v>
      </c>
      <c r="AQ170">
        <v>1</v>
      </c>
      <c r="AR170">
        <v>1</v>
      </c>
      <c r="AS170">
        <v>1</v>
      </c>
      <c r="AT170">
        <v>1</v>
      </c>
      <c r="AU170">
        <v>1</v>
      </c>
      <c r="AV170">
        <v>1</v>
      </c>
      <c r="AW170">
        <v>1</v>
      </c>
      <c r="AX170">
        <v>1</v>
      </c>
      <c r="AY170">
        <v>1</v>
      </c>
      <c r="AZ170">
        <v>1</v>
      </c>
      <c r="BA170">
        <v>1</v>
      </c>
      <c r="BB170">
        <v>1</v>
      </c>
      <c r="BC170">
        <v>1</v>
      </c>
      <c r="BD170">
        <v>1</v>
      </c>
      <c r="BE170">
        <v>1</v>
      </c>
      <c r="BF170">
        <v>1</v>
      </c>
      <c r="BG170">
        <v>1</v>
      </c>
      <c r="BH170">
        <v>1</v>
      </c>
      <c r="BI170">
        <v>1</v>
      </c>
      <c r="BJ170">
        <f>-1/'vehicles specifications'!$M36</f>
        <v>-1</v>
      </c>
      <c r="BK170">
        <f>-1/'vehicles specifications'!$M36</f>
        <v>-1</v>
      </c>
      <c r="BL170">
        <f>-1/'vehicles specifications'!$M36</f>
        <v>-1</v>
      </c>
    </row>
    <row r="171" spans="1:64" x14ac:dyDescent="0.2">
      <c r="A171" t="s">
        <v>458</v>
      </c>
      <c r="B171">
        <f t="shared" si="5"/>
        <v>5.8823529411764705E-2</v>
      </c>
      <c r="C171" s="2">
        <f>'vehicles specifications'!S37</f>
        <v>19</v>
      </c>
      <c r="D171">
        <f t="shared" si="5"/>
        <v>5.8823529411764705E-2</v>
      </c>
      <c r="E171">
        <v>1</v>
      </c>
      <c r="F171">
        <f>1+'vehicles specifications'!AD37</f>
        <v>1.25</v>
      </c>
      <c r="G171">
        <f>1+'vehicles specifications'!AD37</f>
        <v>1.25</v>
      </c>
      <c r="J171">
        <v>1</v>
      </c>
      <c r="K171">
        <f>1/('fuels and tailpipe emissions'!$C$3*3.6)</f>
        <v>2.3474178403755867E-2</v>
      </c>
      <c r="L171">
        <f t="shared" si="2"/>
        <v>0.30555555555555558</v>
      </c>
      <c r="M171">
        <f>1/'vehicles specifications'!J37</f>
        <v>3.3333333333333335E-5</v>
      </c>
      <c r="N171">
        <v>1</v>
      </c>
      <c r="O171">
        <f>1</f>
        <v>1</v>
      </c>
      <c r="P171">
        <f t="shared" si="6"/>
        <v>-4.1666666666666664E-2</v>
      </c>
      <c r="Q171">
        <f t="shared" si="6"/>
        <v>-4.1666666666666664E-2</v>
      </c>
      <c r="R171">
        <f>-1-'vehicles specifications'!AD37</f>
        <v>-1.25</v>
      </c>
      <c r="S171">
        <v>1</v>
      </c>
      <c r="T171">
        <v>1</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f>-1/'vehicles specifications'!$M37</f>
        <v>-1</v>
      </c>
      <c r="BK171">
        <f>-1/'vehicles specifications'!$M37</f>
        <v>-1</v>
      </c>
      <c r="BL171">
        <f>-1/'vehicles specifications'!$M37</f>
        <v>-1</v>
      </c>
    </row>
    <row r="172" spans="1:64" x14ac:dyDescent="0.2">
      <c r="A172" t="s">
        <v>459</v>
      </c>
      <c r="B172">
        <f t="shared" si="5"/>
        <v>5.8823529411764705E-2</v>
      </c>
      <c r="C172" s="2">
        <f>'vehicles specifications'!S38</f>
        <v>19</v>
      </c>
      <c r="D172">
        <f t="shared" si="5"/>
        <v>5.8823529411764705E-2</v>
      </c>
      <c r="E172">
        <v>1</v>
      </c>
      <c r="F172">
        <f>1+'vehicles specifications'!AD38</f>
        <v>1</v>
      </c>
      <c r="G172">
        <f>1+'vehicles specifications'!AD38</f>
        <v>1</v>
      </c>
      <c r="J172">
        <v>1</v>
      </c>
      <c r="K172">
        <f>1/('fuels and tailpipe emissions'!$C$3*3.6)</f>
        <v>2.3474178403755867E-2</v>
      </c>
      <c r="L172">
        <f t="shared" si="2"/>
        <v>0.30555555555555558</v>
      </c>
      <c r="M172">
        <f>1/'vehicles specifications'!J38</f>
        <v>3.3333333333333335E-5</v>
      </c>
      <c r="N172">
        <v>1</v>
      </c>
      <c r="O172">
        <f>1</f>
        <v>1</v>
      </c>
      <c r="P172">
        <f t="shared" si="6"/>
        <v>-4.1666666666666664E-2</v>
      </c>
      <c r="Q172">
        <f t="shared" si="6"/>
        <v>-4.1666666666666664E-2</v>
      </c>
      <c r="R172">
        <f>-1-'vehicles specifications'!AD38</f>
        <v>-1</v>
      </c>
      <c r="S172">
        <v>1</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1</v>
      </c>
      <c r="BD172">
        <v>1</v>
      </c>
      <c r="BE172">
        <v>1</v>
      </c>
      <c r="BF172">
        <v>1</v>
      </c>
      <c r="BG172">
        <v>1</v>
      </c>
      <c r="BH172">
        <v>1</v>
      </c>
      <c r="BI172">
        <v>1</v>
      </c>
      <c r="BJ172">
        <f>-1/'vehicles specifications'!$M38</f>
        <v>-1</v>
      </c>
      <c r="BK172">
        <f>-1/'vehicles specifications'!$M38</f>
        <v>-1</v>
      </c>
      <c r="BL172">
        <f>-1/'vehicles specifications'!$M38</f>
        <v>-1</v>
      </c>
    </row>
    <row r="173" spans="1:64" x14ac:dyDescent="0.2">
      <c r="A173" t="s">
        <v>460</v>
      </c>
      <c r="B173">
        <f t="shared" si="5"/>
        <v>5.8823529411764705E-2</v>
      </c>
      <c r="C173" s="2">
        <f>'vehicles specifications'!S39</f>
        <v>38</v>
      </c>
      <c r="D173">
        <f t="shared" si="5"/>
        <v>5.8823529411764705E-2</v>
      </c>
      <c r="E173">
        <v>1</v>
      </c>
      <c r="F173">
        <f>1+'vehicles specifications'!AD39</f>
        <v>2</v>
      </c>
      <c r="G173">
        <f>1+'vehicles specifications'!AD39</f>
        <v>2</v>
      </c>
      <c r="J173">
        <v>1</v>
      </c>
      <c r="K173">
        <f>1/('fuels and tailpipe emissions'!$C$3*3.6)</f>
        <v>2.3474178403755867E-2</v>
      </c>
      <c r="L173">
        <f t="shared" si="2"/>
        <v>0.30555555555555558</v>
      </c>
      <c r="M173">
        <f>1/'vehicles specifications'!J39</f>
        <v>5.0000000000000002E-5</v>
      </c>
      <c r="N173">
        <v>1</v>
      </c>
      <c r="O173">
        <f>1</f>
        <v>1</v>
      </c>
      <c r="P173">
        <f t="shared" si="6"/>
        <v>-4.1666666666666664E-2</v>
      </c>
      <c r="Q173">
        <f t="shared" si="6"/>
        <v>-4.1666666666666664E-2</v>
      </c>
      <c r="R173">
        <f>-1-'vehicles specifications'!AD39</f>
        <v>-2</v>
      </c>
      <c r="S173">
        <v>1</v>
      </c>
      <c r="T173">
        <v>1</v>
      </c>
      <c r="U173">
        <v>1</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1</v>
      </c>
      <c r="AQ173">
        <v>1</v>
      </c>
      <c r="AR173">
        <v>1</v>
      </c>
      <c r="AS173">
        <v>1</v>
      </c>
      <c r="AT173">
        <v>1</v>
      </c>
      <c r="AU173">
        <v>1</v>
      </c>
      <c r="AV173">
        <v>1</v>
      </c>
      <c r="AW173">
        <v>1</v>
      </c>
      <c r="AX173">
        <v>1</v>
      </c>
      <c r="AY173">
        <v>1</v>
      </c>
      <c r="AZ173">
        <v>1</v>
      </c>
      <c r="BA173">
        <v>1</v>
      </c>
      <c r="BB173">
        <v>1</v>
      </c>
      <c r="BC173">
        <v>1</v>
      </c>
      <c r="BD173">
        <v>1</v>
      </c>
      <c r="BE173">
        <v>1</v>
      </c>
      <c r="BF173">
        <v>1</v>
      </c>
      <c r="BG173">
        <v>1</v>
      </c>
      <c r="BH173">
        <v>1</v>
      </c>
      <c r="BI173">
        <v>1</v>
      </c>
      <c r="BJ173">
        <f>-1/'vehicles specifications'!$M39</f>
        <v>-1</v>
      </c>
      <c r="BK173">
        <f>-1/'vehicles specifications'!$M39</f>
        <v>-1</v>
      </c>
      <c r="BL173">
        <f>-1/'vehicles specifications'!$M39</f>
        <v>-1</v>
      </c>
    </row>
    <row r="174" spans="1:64" x14ac:dyDescent="0.2">
      <c r="A174" t="s">
        <v>461</v>
      </c>
      <c r="B174">
        <f t="shared" si="5"/>
        <v>5.8823529411764705E-2</v>
      </c>
      <c r="C174" s="2">
        <f>'vehicles specifications'!S40</f>
        <v>38</v>
      </c>
      <c r="D174">
        <f t="shared" si="5"/>
        <v>5.8823529411764705E-2</v>
      </c>
      <c r="E174">
        <v>1</v>
      </c>
      <c r="F174">
        <f>1+'vehicles specifications'!AD40</f>
        <v>1.5</v>
      </c>
      <c r="G174">
        <f>1+'vehicles specifications'!AD40</f>
        <v>1.5</v>
      </c>
      <c r="J174">
        <v>1</v>
      </c>
      <c r="K174">
        <f>1/('fuels and tailpipe emissions'!$C$3*3.6)</f>
        <v>2.3474178403755867E-2</v>
      </c>
      <c r="L174">
        <f t="shared" si="2"/>
        <v>0.30555555555555558</v>
      </c>
      <c r="M174">
        <f>1/'vehicles specifications'!J40</f>
        <v>5.0000000000000002E-5</v>
      </c>
      <c r="N174">
        <v>1</v>
      </c>
      <c r="O174">
        <f>1</f>
        <v>1</v>
      </c>
      <c r="P174">
        <f t="shared" si="6"/>
        <v>-4.1666666666666664E-2</v>
      </c>
      <c r="Q174">
        <f t="shared" si="6"/>
        <v>-4.1666666666666664E-2</v>
      </c>
      <c r="R174">
        <f>-1-'vehicles specifications'!AD40</f>
        <v>-1.5</v>
      </c>
      <c r="S174">
        <v>1</v>
      </c>
      <c r="T174">
        <v>1</v>
      </c>
      <c r="U174">
        <v>1</v>
      </c>
      <c r="V174">
        <v>1</v>
      </c>
      <c r="W174">
        <v>1</v>
      </c>
      <c r="X174">
        <v>1</v>
      </c>
      <c r="Y174">
        <v>1</v>
      </c>
      <c r="Z174">
        <v>1</v>
      </c>
      <c r="AA174">
        <v>1</v>
      </c>
      <c r="AB174">
        <v>1</v>
      </c>
      <c r="AC174">
        <v>1</v>
      </c>
      <c r="AD174">
        <v>1</v>
      </c>
      <c r="AE174">
        <v>1</v>
      </c>
      <c r="AF174">
        <v>1</v>
      </c>
      <c r="AG174">
        <v>1</v>
      </c>
      <c r="AH174">
        <v>1</v>
      </c>
      <c r="AI174">
        <v>1</v>
      </c>
      <c r="AJ174">
        <v>1</v>
      </c>
      <c r="AK174">
        <v>1</v>
      </c>
      <c r="AL174">
        <v>1</v>
      </c>
      <c r="AM174">
        <v>1</v>
      </c>
      <c r="AN174">
        <v>1</v>
      </c>
      <c r="AO174">
        <v>1</v>
      </c>
      <c r="AP174">
        <v>1</v>
      </c>
      <c r="AQ174">
        <v>1</v>
      </c>
      <c r="AR174">
        <v>1</v>
      </c>
      <c r="AS174">
        <v>1</v>
      </c>
      <c r="AT174">
        <v>1</v>
      </c>
      <c r="AU174">
        <v>1</v>
      </c>
      <c r="AV174">
        <v>1</v>
      </c>
      <c r="AW174">
        <v>1</v>
      </c>
      <c r="AX174">
        <v>1</v>
      </c>
      <c r="AY174">
        <v>1</v>
      </c>
      <c r="AZ174">
        <v>1</v>
      </c>
      <c r="BA174">
        <v>1</v>
      </c>
      <c r="BB174">
        <v>1</v>
      </c>
      <c r="BC174">
        <v>1</v>
      </c>
      <c r="BD174">
        <v>1</v>
      </c>
      <c r="BE174">
        <v>1</v>
      </c>
      <c r="BF174">
        <v>1</v>
      </c>
      <c r="BG174">
        <v>1</v>
      </c>
      <c r="BH174">
        <v>1</v>
      </c>
      <c r="BI174">
        <v>1</v>
      </c>
      <c r="BJ174">
        <f>-1/'vehicles specifications'!$M40</f>
        <v>-1</v>
      </c>
      <c r="BK174">
        <f>-1/'vehicles specifications'!$M40</f>
        <v>-1</v>
      </c>
      <c r="BL174">
        <f>-1/'vehicles specifications'!$M40</f>
        <v>-1</v>
      </c>
    </row>
    <row r="175" spans="1:64" x14ac:dyDescent="0.2">
      <c r="A175" t="s">
        <v>462</v>
      </c>
      <c r="B175">
        <f t="shared" si="5"/>
        <v>5.8823529411764705E-2</v>
      </c>
      <c r="C175" s="2">
        <f>'vehicles specifications'!S41</f>
        <v>38</v>
      </c>
      <c r="D175">
        <f t="shared" si="5"/>
        <v>5.8823529411764705E-2</v>
      </c>
      <c r="E175">
        <v>1</v>
      </c>
      <c r="F175">
        <f>1+'vehicles specifications'!AD41</f>
        <v>1.25</v>
      </c>
      <c r="G175">
        <f>1+'vehicles specifications'!AD41</f>
        <v>1.25</v>
      </c>
      <c r="J175">
        <v>1</v>
      </c>
      <c r="K175">
        <f>1/('fuels and tailpipe emissions'!$C$3*3.6)</f>
        <v>2.3474178403755867E-2</v>
      </c>
      <c r="L175">
        <f t="shared" si="2"/>
        <v>0.30555555555555558</v>
      </c>
      <c r="M175">
        <f>1/'vehicles specifications'!J41</f>
        <v>5.0000000000000002E-5</v>
      </c>
      <c r="N175">
        <v>1</v>
      </c>
      <c r="O175">
        <f>1</f>
        <v>1</v>
      </c>
      <c r="P175">
        <f t="shared" si="6"/>
        <v>-4.1666666666666664E-2</v>
      </c>
      <c r="Q175">
        <f t="shared" si="6"/>
        <v>-4.1666666666666664E-2</v>
      </c>
      <c r="R175">
        <f>-1-'vehicles specifications'!AD41</f>
        <v>-1.25</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f>-1/'vehicles specifications'!$M41</f>
        <v>-1</v>
      </c>
      <c r="BK175">
        <f>-1/'vehicles specifications'!$M41</f>
        <v>-1</v>
      </c>
      <c r="BL175">
        <f>-1/'vehicles specifications'!$M41</f>
        <v>-1</v>
      </c>
    </row>
    <row r="176" spans="1:64" x14ac:dyDescent="0.2">
      <c r="A176" t="s">
        <v>463</v>
      </c>
      <c r="B176">
        <f t="shared" si="5"/>
        <v>5.8823529411764705E-2</v>
      </c>
      <c r="C176" s="2">
        <f>'vehicles specifications'!S42</f>
        <v>38</v>
      </c>
      <c r="D176">
        <f t="shared" si="5"/>
        <v>5.8823529411764705E-2</v>
      </c>
      <c r="E176">
        <v>1</v>
      </c>
      <c r="F176">
        <f>1+'vehicles specifications'!AD42</f>
        <v>1</v>
      </c>
      <c r="G176">
        <f>1+'vehicles specifications'!AD42</f>
        <v>1</v>
      </c>
      <c r="J176">
        <v>1</v>
      </c>
      <c r="K176">
        <f>1/('fuels and tailpipe emissions'!$C$3*3.6)</f>
        <v>2.3474178403755867E-2</v>
      </c>
      <c r="L176">
        <f t="shared" si="2"/>
        <v>0.30555555555555558</v>
      </c>
      <c r="M176">
        <f>1/'vehicles specifications'!J42</f>
        <v>5.0000000000000002E-5</v>
      </c>
      <c r="N176">
        <v>1</v>
      </c>
      <c r="O176">
        <f>1</f>
        <v>1</v>
      </c>
      <c r="P176">
        <f t="shared" si="6"/>
        <v>-4.1666666666666664E-2</v>
      </c>
      <c r="Q176">
        <f t="shared" si="6"/>
        <v>-4.1666666666666664E-2</v>
      </c>
      <c r="R176">
        <f>-1-'vehicles specifications'!AD42</f>
        <v>-1</v>
      </c>
      <c r="S176">
        <v>1</v>
      </c>
      <c r="T176">
        <v>1</v>
      </c>
      <c r="U176">
        <v>1</v>
      </c>
      <c r="V176">
        <v>1</v>
      </c>
      <c r="W176">
        <v>1</v>
      </c>
      <c r="X176">
        <v>1</v>
      </c>
      <c r="Y176">
        <v>1</v>
      </c>
      <c r="Z176">
        <v>1</v>
      </c>
      <c r="AA176">
        <v>1</v>
      </c>
      <c r="AB176">
        <v>1</v>
      </c>
      <c r="AC176">
        <v>1</v>
      </c>
      <c r="AD176">
        <v>1</v>
      </c>
      <c r="AE176">
        <v>1</v>
      </c>
      <c r="AF176">
        <v>1</v>
      </c>
      <c r="AG176">
        <v>1</v>
      </c>
      <c r="AH176">
        <v>1</v>
      </c>
      <c r="AI176">
        <v>1</v>
      </c>
      <c r="AJ176">
        <v>1</v>
      </c>
      <c r="AK176">
        <v>1</v>
      </c>
      <c r="AL176">
        <v>1</v>
      </c>
      <c r="AM176">
        <v>1</v>
      </c>
      <c r="AN176">
        <v>1</v>
      </c>
      <c r="AO176">
        <v>1</v>
      </c>
      <c r="AP176">
        <v>1</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f>-1/'vehicles specifications'!$M42</f>
        <v>-1</v>
      </c>
      <c r="BK176">
        <f>-1/'vehicles specifications'!$M42</f>
        <v>-1</v>
      </c>
      <c r="BL176">
        <f>-1/'vehicles specifications'!$M42</f>
        <v>-1</v>
      </c>
    </row>
    <row r="177" spans="1:64" x14ac:dyDescent="0.2">
      <c r="A177" t="s">
        <v>464</v>
      </c>
      <c r="B177">
        <f t="shared" si="5"/>
        <v>5.8823529411764705E-2</v>
      </c>
      <c r="C177" s="2">
        <f>'vehicles specifications'!S43</f>
        <v>16</v>
      </c>
      <c r="D177">
        <f t="shared" si="5"/>
        <v>5.8823529411764705E-2</v>
      </c>
      <c r="E177">
        <v>1</v>
      </c>
      <c r="F177">
        <f>1+'vehicles specifications'!AD43</f>
        <v>2</v>
      </c>
      <c r="G177">
        <f>1+'vehicles specifications'!AD43</f>
        <v>2</v>
      </c>
      <c r="J177">
        <v>1</v>
      </c>
      <c r="K177">
        <f>1/('fuels and tailpipe emissions'!$C$3*3.6)</f>
        <v>2.3474178403755867E-2</v>
      </c>
      <c r="L177">
        <f t="shared" si="2"/>
        <v>0.30555555555555558</v>
      </c>
      <c r="M177">
        <f>1/'vehicles specifications'!J43</f>
        <v>5.0000000000000002E-5</v>
      </c>
      <c r="N177">
        <v>1</v>
      </c>
      <c r="O177">
        <f>1</f>
        <v>1</v>
      </c>
      <c r="P177">
        <f>-1/24</f>
        <v>-4.1666666666666664E-2</v>
      </c>
      <c r="Q177">
        <f>-1/24</f>
        <v>-4.1666666666666664E-2</v>
      </c>
      <c r="R177">
        <f>-1-'vehicles specifications'!AD43</f>
        <v>-2</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f>-1/'vehicles specifications'!$M43</f>
        <v>-1</v>
      </c>
      <c r="BK177">
        <f>-1/'vehicles specifications'!$M43</f>
        <v>-1</v>
      </c>
      <c r="BL177">
        <f>-1/'vehicles specifications'!$M43</f>
        <v>-1</v>
      </c>
    </row>
    <row r="178" spans="1:64" x14ac:dyDescent="0.2">
      <c r="A178" t="s">
        <v>465</v>
      </c>
      <c r="B178">
        <f t="shared" si="5"/>
        <v>5.8823529411764705E-2</v>
      </c>
      <c r="C178" s="2">
        <f>'vehicles specifications'!S44</f>
        <v>16</v>
      </c>
      <c r="D178">
        <f t="shared" si="5"/>
        <v>5.8823529411764705E-2</v>
      </c>
      <c r="E178">
        <v>1</v>
      </c>
      <c r="F178">
        <f>1+'vehicles specifications'!AD44</f>
        <v>1.5</v>
      </c>
      <c r="G178">
        <f>1+'vehicles specifications'!AD44</f>
        <v>1.5</v>
      </c>
      <c r="J178">
        <v>1</v>
      </c>
      <c r="K178">
        <f>1/('fuels and tailpipe emissions'!$C$3*3.6)</f>
        <v>2.3474178403755867E-2</v>
      </c>
      <c r="L178">
        <f t="shared" si="2"/>
        <v>0.30555555555555558</v>
      </c>
      <c r="M178">
        <f>1/'vehicles specifications'!J44</f>
        <v>5.0000000000000002E-5</v>
      </c>
      <c r="N178">
        <v>1</v>
      </c>
      <c r="O178">
        <f>1</f>
        <v>1</v>
      </c>
      <c r="P178">
        <f t="shared" ref="P178:Q188" si="7">-1/24</f>
        <v>-4.1666666666666664E-2</v>
      </c>
      <c r="Q178">
        <f t="shared" si="7"/>
        <v>-4.1666666666666664E-2</v>
      </c>
      <c r="R178">
        <f>-1-'vehicles specifications'!AD44</f>
        <v>-1.5</v>
      </c>
      <c r="S178">
        <v>1</v>
      </c>
      <c r="T178">
        <v>1</v>
      </c>
      <c r="U178">
        <v>1</v>
      </c>
      <c r="V178">
        <v>1</v>
      </c>
      <c r="W178">
        <v>1</v>
      </c>
      <c r="X178">
        <v>1</v>
      </c>
      <c r="Y178">
        <v>1</v>
      </c>
      <c r="Z178">
        <v>1</v>
      </c>
      <c r="AA178">
        <v>1</v>
      </c>
      <c r="AB178">
        <v>1</v>
      </c>
      <c r="AC178">
        <v>1</v>
      </c>
      <c r="AD178">
        <v>1</v>
      </c>
      <c r="AE178">
        <v>1</v>
      </c>
      <c r="AF178">
        <v>1</v>
      </c>
      <c r="AG178">
        <v>1</v>
      </c>
      <c r="AH178">
        <v>1</v>
      </c>
      <c r="AI178">
        <v>1</v>
      </c>
      <c r="AJ178">
        <v>1</v>
      </c>
      <c r="AK178">
        <v>1</v>
      </c>
      <c r="AL178">
        <v>1</v>
      </c>
      <c r="AM178">
        <v>1</v>
      </c>
      <c r="AN178">
        <v>1</v>
      </c>
      <c r="AO178">
        <v>1</v>
      </c>
      <c r="AP178">
        <v>1</v>
      </c>
      <c r="AQ178">
        <v>1</v>
      </c>
      <c r="AR178">
        <v>1</v>
      </c>
      <c r="AS178">
        <v>1</v>
      </c>
      <c r="AT178">
        <v>1</v>
      </c>
      <c r="AU178">
        <v>1</v>
      </c>
      <c r="AV178">
        <v>1</v>
      </c>
      <c r="AW178">
        <v>1</v>
      </c>
      <c r="AX178">
        <v>1</v>
      </c>
      <c r="AY178">
        <v>1</v>
      </c>
      <c r="AZ178">
        <v>1</v>
      </c>
      <c r="BA178">
        <v>1</v>
      </c>
      <c r="BB178">
        <v>1</v>
      </c>
      <c r="BC178">
        <v>1</v>
      </c>
      <c r="BD178">
        <v>1</v>
      </c>
      <c r="BE178">
        <v>1</v>
      </c>
      <c r="BF178">
        <v>1</v>
      </c>
      <c r="BG178">
        <v>1</v>
      </c>
      <c r="BH178">
        <v>1</v>
      </c>
      <c r="BI178">
        <v>1</v>
      </c>
      <c r="BJ178">
        <f>-1/'vehicles specifications'!$M44</f>
        <v>-1</v>
      </c>
      <c r="BK178">
        <f>-1/'vehicles specifications'!$M44</f>
        <v>-1</v>
      </c>
      <c r="BL178">
        <f>-1/'vehicles specifications'!$M44</f>
        <v>-1</v>
      </c>
    </row>
    <row r="179" spans="1:64" x14ac:dyDescent="0.2">
      <c r="A179" t="s">
        <v>466</v>
      </c>
      <c r="B179">
        <f t="shared" si="5"/>
        <v>5.8823529411764705E-2</v>
      </c>
      <c r="C179" s="2">
        <f>'vehicles specifications'!S45</f>
        <v>16</v>
      </c>
      <c r="D179">
        <f t="shared" si="5"/>
        <v>5.8823529411764705E-2</v>
      </c>
      <c r="E179">
        <v>1</v>
      </c>
      <c r="F179">
        <f>1+'vehicles specifications'!AD45</f>
        <v>1.25</v>
      </c>
      <c r="G179">
        <f>1+'vehicles specifications'!AD45</f>
        <v>1.25</v>
      </c>
      <c r="J179">
        <v>1</v>
      </c>
      <c r="K179">
        <f>1/('fuels and tailpipe emissions'!$C$3*3.6)</f>
        <v>2.3474178403755867E-2</v>
      </c>
      <c r="L179">
        <f t="shared" si="2"/>
        <v>0.30555555555555558</v>
      </c>
      <c r="M179">
        <f>1/'vehicles specifications'!J45</f>
        <v>5.0000000000000002E-5</v>
      </c>
      <c r="N179">
        <v>1</v>
      </c>
      <c r="O179">
        <f>1</f>
        <v>1</v>
      </c>
      <c r="P179">
        <f t="shared" si="7"/>
        <v>-4.1666666666666664E-2</v>
      </c>
      <c r="Q179">
        <f t="shared" si="7"/>
        <v>-4.1666666666666664E-2</v>
      </c>
      <c r="R179">
        <f>-1-'vehicles specifications'!AD45</f>
        <v>-1.25</v>
      </c>
      <c r="S179">
        <v>1</v>
      </c>
      <c r="T179">
        <v>1</v>
      </c>
      <c r="U179">
        <v>1</v>
      </c>
      <c r="V179">
        <v>1</v>
      </c>
      <c r="W179">
        <v>1</v>
      </c>
      <c r="X179">
        <v>1</v>
      </c>
      <c r="Y179">
        <v>1</v>
      </c>
      <c r="Z179">
        <v>1</v>
      </c>
      <c r="AA179">
        <v>1</v>
      </c>
      <c r="AB179">
        <v>1</v>
      </c>
      <c r="AC179">
        <v>1</v>
      </c>
      <c r="AD179">
        <v>1</v>
      </c>
      <c r="AE179">
        <v>1</v>
      </c>
      <c r="AF179">
        <v>1</v>
      </c>
      <c r="AG179">
        <v>1</v>
      </c>
      <c r="AH179">
        <v>1</v>
      </c>
      <c r="AI179">
        <v>1</v>
      </c>
      <c r="AJ179">
        <v>1</v>
      </c>
      <c r="AK179">
        <v>1</v>
      </c>
      <c r="AL179">
        <v>1</v>
      </c>
      <c r="AM179">
        <v>1</v>
      </c>
      <c r="AN179">
        <v>1</v>
      </c>
      <c r="AO179">
        <v>1</v>
      </c>
      <c r="AP179">
        <v>1</v>
      </c>
      <c r="AQ179">
        <v>1</v>
      </c>
      <c r="AR179">
        <v>1</v>
      </c>
      <c r="AS179">
        <v>1</v>
      </c>
      <c r="AT179">
        <v>1</v>
      </c>
      <c r="AU179">
        <v>1</v>
      </c>
      <c r="AV179">
        <v>1</v>
      </c>
      <c r="AW179">
        <v>1</v>
      </c>
      <c r="AX179">
        <v>1</v>
      </c>
      <c r="AY179">
        <v>1</v>
      </c>
      <c r="AZ179">
        <v>1</v>
      </c>
      <c r="BA179">
        <v>1</v>
      </c>
      <c r="BB179">
        <v>1</v>
      </c>
      <c r="BC179">
        <v>1</v>
      </c>
      <c r="BD179">
        <v>1</v>
      </c>
      <c r="BE179">
        <v>1</v>
      </c>
      <c r="BF179">
        <v>1</v>
      </c>
      <c r="BG179">
        <v>1</v>
      </c>
      <c r="BH179">
        <v>1</v>
      </c>
      <c r="BI179">
        <v>1</v>
      </c>
      <c r="BJ179">
        <f>-1/'vehicles specifications'!$M45</f>
        <v>-1</v>
      </c>
      <c r="BK179">
        <f>-1/'vehicles specifications'!$M45</f>
        <v>-1</v>
      </c>
      <c r="BL179">
        <f>-1/'vehicles specifications'!$M45</f>
        <v>-1</v>
      </c>
    </row>
    <row r="180" spans="1:64" x14ac:dyDescent="0.2">
      <c r="A180" t="s">
        <v>467</v>
      </c>
      <c r="B180">
        <f t="shared" si="5"/>
        <v>5.8823529411764705E-2</v>
      </c>
      <c r="C180" s="2">
        <f>'vehicles specifications'!S46</f>
        <v>16</v>
      </c>
      <c r="D180">
        <f t="shared" si="5"/>
        <v>5.8823529411764705E-2</v>
      </c>
      <c r="E180">
        <v>1</v>
      </c>
      <c r="F180">
        <f>1+'vehicles specifications'!AD46</f>
        <v>1</v>
      </c>
      <c r="G180">
        <f>1+'vehicles specifications'!AD46</f>
        <v>1</v>
      </c>
      <c r="J180">
        <v>1</v>
      </c>
      <c r="K180">
        <f>1/('fuels and tailpipe emissions'!$C$3*3.6)</f>
        <v>2.3474178403755867E-2</v>
      </c>
      <c r="L180">
        <f t="shared" si="2"/>
        <v>0.30555555555555558</v>
      </c>
      <c r="M180">
        <f>1/'vehicles specifications'!J46</f>
        <v>5.0000000000000002E-5</v>
      </c>
      <c r="N180">
        <v>1</v>
      </c>
      <c r="O180">
        <f>1</f>
        <v>1</v>
      </c>
      <c r="P180">
        <f t="shared" si="7"/>
        <v>-4.1666666666666664E-2</v>
      </c>
      <c r="Q180">
        <f t="shared" si="7"/>
        <v>-4.1666666666666664E-2</v>
      </c>
      <c r="R180">
        <f>-1-'vehicles specifications'!AD46</f>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f>-1/'vehicles specifications'!$M46</f>
        <v>-1</v>
      </c>
      <c r="BK180">
        <f>-1/'vehicles specifications'!$M46</f>
        <v>-1</v>
      </c>
      <c r="BL180">
        <f>-1/'vehicles specifications'!$M46</f>
        <v>-1</v>
      </c>
    </row>
    <row r="181" spans="1:64" x14ac:dyDescent="0.2">
      <c r="A181" t="s">
        <v>468</v>
      </c>
      <c r="B181">
        <f t="shared" si="5"/>
        <v>5.8823529411764705E-2</v>
      </c>
      <c r="C181" s="2">
        <f>'vehicles specifications'!S47</f>
        <v>19</v>
      </c>
      <c r="D181">
        <f t="shared" si="5"/>
        <v>5.8823529411764705E-2</v>
      </c>
      <c r="E181">
        <v>1</v>
      </c>
      <c r="F181">
        <f>1+'vehicles specifications'!AD47</f>
        <v>2</v>
      </c>
      <c r="G181">
        <f>1+'vehicles specifications'!AD47</f>
        <v>2</v>
      </c>
      <c r="J181">
        <v>1</v>
      </c>
      <c r="K181">
        <f>1/('fuels and tailpipe emissions'!$C$3*3.6)</f>
        <v>2.3474178403755867E-2</v>
      </c>
      <c r="L181">
        <f t="shared" si="2"/>
        <v>0.30555555555555558</v>
      </c>
      <c r="M181">
        <f>1/'vehicles specifications'!J47</f>
        <v>3.3333333333333335E-5</v>
      </c>
      <c r="N181">
        <v>1</v>
      </c>
      <c r="O181">
        <f>1</f>
        <v>1</v>
      </c>
      <c r="P181">
        <f t="shared" si="7"/>
        <v>-4.1666666666666664E-2</v>
      </c>
      <c r="Q181">
        <f t="shared" si="7"/>
        <v>-4.1666666666666664E-2</v>
      </c>
      <c r="R181">
        <f>-1-'vehicles specifications'!AD47</f>
        <v>-2</v>
      </c>
      <c r="S181">
        <v>1</v>
      </c>
      <c r="T181">
        <v>1</v>
      </c>
      <c r="U181">
        <v>1</v>
      </c>
      <c r="V181">
        <v>1</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1</v>
      </c>
      <c r="AP181">
        <v>1</v>
      </c>
      <c r="AQ181">
        <v>1</v>
      </c>
      <c r="AR181">
        <v>1</v>
      </c>
      <c r="AS181">
        <v>1</v>
      </c>
      <c r="AT181">
        <v>1</v>
      </c>
      <c r="AU181">
        <v>1</v>
      </c>
      <c r="AV181">
        <v>1</v>
      </c>
      <c r="AW181">
        <v>1</v>
      </c>
      <c r="AX181">
        <v>1</v>
      </c>
      <c r="AY181">
        <v>1</v>
      </c>
      <c r="AZ181">
        <v>1</v>
      </c>
      <c r="BA181">
        <v>1</v>
      </c>
      <c r="BB181">
        <v>1</v>
      </c>
      <c r="BC181">
        <v>1</v>
      </c>
      <c r="BD181">
        <v>1</v>
      </c>
      <c r="BE181">
        <v>1</v>
      </c>
      <c r="BF181">
        <v>1</v>
      </c>
      <c r="BG181">
        <v>1</v>
      </c>
      <c r="BH181">
        <v>1</v>
      </c>
      <c r="BI181">
        <v>1</v>
      </c>
      <c r="BJ181">
        <f>-1/'vehicles specifications'!$M47</f>
        <v>-1</v>
      </c>
      <c r="BK181">
        <f>-1/'vehicles specifications'!$M47</f>
        <v>-1</v>
      </c>
      <c r="BL181">
        <f>-1/'vehicles specifications'!$M47</f>
        <v>-1</v>
      </c>
    </row>
    <row r="182" spans="1:64" x14ac:dyDescent="0.2">
      <c r="A182" t="s">
        <v>469</v>
      </c>
      <c r="B182">
        <f t="shared" ref="B182:D188" si="8">1/17</f>
        <v>5.8823529411764705E-2</v>
      </c>
      <c r="C182" s="2">
        <f>'vehicles specifications'!S48</f>
        <v>19</v>
      </c>
      <c r="D182">
        <f t="shared" si="8"/>
        <v>5.8823529411764705E-2</v>
      </c>
      <c r="E182">
        <v>1</v>
      </c>
      <c r="F182">
        <f>1+'vehicles specifications'!AD48</f>
        <v>1.5</v>
      </c>
      <c r="G182">
        <f>1+'vehicles specifications'!AD48</f>
        <v>1.5</v>
      </c>
      <c r="J182">
        <v>1</v>
      </c>
      <c r="K182">
        <f>1/('fuels and tailpipe emissions'!$C$3*3.6)</f>
        <v>2.3474178403755867E-2</v>
      </c>
      <c r="L182">
        <f t="shared" si="2"/>
        <v>0.30555555555555558</v>
      </c>
      <c r="M182">
        <f>1/'vehicles specifications'!J48</f>
        <v>3.3333333333333335E-5</v>
      </c>
      <c r="N182">
        <v>1</v>
      </c>
      <c r="O182">
        <f>1</f>
        <v>1</v>
      </c>
      <c r="P182">
        <f t="shared" si="7"/>
        <v>-4.1666666666666664E-2</v>
      </c>
      <c r="Q182">
        <f t="shared" si="7"/>
        <v>-4.1666666666666664E-2</v>
      </c>
      <c r="R182">
        <f>-1-'vehicles specifications'!AD48</f>
        <v>-1.5</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1</v>
      </c>
      <c r="AM182">
        <v>1</v>
      </c>
      <c r="AN182">
        <v>1</v>
      </c>
      <c r="AO182">
        <v>1</v>
      </c>
      <c r="AP182">
        <v>1</v>
      </c>
      <c r="AQ182">
        <v>1</v>
      </c>
      <c r="AR182">
        <v>1</v>
      </c>
      <c r="AS182">
        <v>1</v>
      </c>
      <c r="AT182">
        <v>1</v>
      </c>
      <c r="AU182">
        <v>1</v>
      </c>
      <c r="AV182">
        <v>1</v>
      </c>
      <c r="AW182">
        <v>1</v>
      </c>
      <c r="AX182">
        <v>1</v>
      </c>
      <c r="AY182">
        <v>1</v>
      </c>
      <c r="AZ182">
        <v>1</v>
      </c>
      <c r="BA182">
        <v>1</v>
      </c>
      <c r="BB182">
        <v>1</v>
      </c>
      <c r="BC182">
        <v>1</v>
      </c>
      <c r="BD182">
        <v>1</v>
      </c>
      <c r="BE182">
        <v>1</v>
      </c>
      <c r="BF182">
        <v>1</v>
      </c>
      <c r="BG182">
        <v>1</v>
      </c>
      <c r="BH182">
        <v>1</v>
      </c>
      <c r="BI182">
        <v>1</v>
      </c>
      <c r="BJ182">
        <f>-1/'vehicles specifications'!$M48</f>
        <v>-1</v>
      </c>
      <c r="BK182">
        <f>-1/'vehicles specifications'!$M48</f>
        <v>-1</v>
      </c>
      <c r="BL182">
        <f>-1/'vehicles specifications'!$M48</f>
        <v>-1</v>
      </c>
    </row>
    <row r="183" spans="1:64" x14ac:dyDescent="0.2">
      <c r="A183" t="s">
        <v>470</v>
      </c>
      <c r="B183">
        <f t="shared" si="8"/>
        <v>5.8823529411764705E-2</v>
      </c>
      <c r="C183" s="2">
        <f>'vehicles specifications'!S49</f>
        <v>19</v>
      </c>
      <c r="D183">
        <f t="shared" si="8"/>
        <v>5.8823529411764705E-2</v>
      </c>
      <c r="E183">
        <v>1</v>
      </c>
      <c r="F183">
        <f>1+'vehicles specifications'!AD49</f>
        <v>1.25</v>
      </c>
      <c r="G183">
        <f>1+'vehicles specifications'!AD49</f>
        <v>1.25</v>
      </c>
      <c r="J183">
        <v>1</v>
      </c>
      <c r="K183">
        <f>1/('fuels and tailpipe emissions'!$C$3*3.6)</f>
        <v>2.3474178403755867E-2</v>
      </c>
      <c r="L183">
        <f t="shared" si="2"/>
        <v>0.30555555555555558</v>
      </c>
      <c r="M183">
        <f>1/'vehicles specifications'!J49</f>
        <v>3.3333333333333335E-5</v>
      </c>
      <c r="N183">
        <v>1</v>
      </c>
      <c r="O183">
        <f>1</f>
        <v>1</v>
      </c>
      <c r="P183">
        <f t="shared" si="7"/>
        <v>-4.1666666666666664E-2</v>
      </c>
      <c r="Q183">
        <f t="shared" si="7"/>
        <v>-4.1666666666666664E-2</v>
      </c>
      <c r="R183">
        <f>-1-'vehicles specifications'!AD49</f>
        <v>-1.25</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c r="AS183">
        <v>1</v>
      </c>
      <c r="AT183">
        <v>1</v>
      </c>
      <c r="AU183">
        <v>1</v>
      </c>
      <c r="AV183">
        <v>1</v>
      </c>
      <c r="AW183">
        <v>1</v>
      </c>
      <c r="AX183">
        <v>1</v>
      </c>
      <c r="AY183">
        <v>1</v>
      </c>
      <c r="AZ183">
        <v>1</v>
      </c>
      <c r="BA183">
        <v>1</v>
      </c>
      <c r="BB183">
        <v>1</v>
      </c>
      <c r="BC183">
        <v>1</v>
      </c>
      <c r="BD183">
        <v>1</v>
      </c>
      <c r="BE183">
        <v>1</v>
      </c>
      <c r="BF183">
        <v>1</v>
      </c>
      <c r="BG183">
        <v>1</v>
      </c>
      <c r="BH183">
        <v>1</v>
      </c>
      <c r="BI183">
        <v>1</v>
      </c>
      <c r="BJ183">
        <f>-1/'vehicles specifications'!$M49</f>
        <v>-1</v>
      </c>
      <c r="BK183">
        <f>-1/'vehicles specifications'!$M49</f>
        <v>-1</v>
      </c>
      <c r="BL183">
        <f>-1/'vehicles specifications'!$M49</f>
        <v>-1</v>
      </c>
    </row>
    <row r="184" spans="1:64" x14ac:dyDescent="0.2">
      <c r="A184" t="s">
        <v>471</v>
      </c>
      <c r="B184">
        <f t="shared" si="8"/>
        <v>5.8823529411764705E-2</v>
      </c>
      <c r="C184" s="2">
        <f>'vehicles specifications'!S50</f>
        <v>19</v>
      </c>
      <c r="D184">
        <f t="shared" si="8"/>
        <v>5.8823529411764705E-2</v>
      </c>
      <c r="E184">
        <v>1</v>
      </c>
      <c r="F184">
        <f>1+'vehicles specifications'!AD50</f>
        <v>1</v>
      </c>
      <c r="G184">
        <f>1+'vehicles specifications'!AD50</f>
        <v>1</v>
      </c>
      <c r="J184">
        <v>1</v>
      </c>
      <c r="K184">
        <f>1/('fuels and tailpipe emissions'!$C$3*3.6)</f>
        <v>2.3474178403755867E-2</v>
      </c>
      <c r="L184">
        <f t="shared" si="2"/>
        <v>0.30555555555555558</v>
      </c>
      <c r="M184">
        <f>1/'vehicles specifications'!J50</f>
        <v>3.3333333333333335E-5</v>
      </c>
      <c r="N184">
        <v>1</v>
      </c>
      <c r="O184">
        <f>1</f>
        <v>1</v>
      </c>
      <c r="P184">
        <f t="shared" si="7"/>
        <v>-4.1666666666666664E-2</v>
      </c>
      <c r="Q184">
        <f t="shared" si="7"/>
        <v>-4.1666666666666664E-2</v>
      </c>
      <c r="R184">
        <f>-1-'vehicles specifications'!AD50</f>
        <v>-1</v>
      </c>
      <c r="S184">
        <v>1</v>
      </c>
      <c r="T184">
        <v>1</v>
      </c>
      <c r="U184">
        <v>1</v>
      </c>
      <c r="V184">
        <v>1</v>
      </c>
      <c r="W184">
        <v>1</v>
      </c>
      <c r="X184">
        <v>1</v>
      </c>
      <c r="Y184">
        <v>1</v>
      </c>
      <c r="Z184">
        <v>1</v>
      </c>
      <c r="AA184">
        <v>1</v>
      </c>
      <c r="AB184">
        <v>1</v>
      </c>
      <c r="AC184">
        <v>1</v>
      </c>
      <c r="AD184">
        <v>1</v>
      </c>
      <c r="AE184">
        <v>1</v>
      </c>
      <c r="AF184">
        <v>1</v>
      </c>
      <c r="AG184">
        <v>1</v>
      </c>
      <c r="AH184">
        <v>1</v>
      </c>
      <c r="AI184">
        <v>1</v>
      </c>
      <c r="AJ184">
        <v>1</v>
      </c>
      <c r="AK184">
        <v>1</v>
      </c>
      <c r="AL184">
        <v>1</v>
      </c>
      <c r="AM184">
        <v>1</v>
      </c>
      <c r="AN184">
        <v>1</v>
      </c>
      <c r="AO184">
        <v>1</v>
      </c>
      <c r="AP184">
        <v>1</v>
      </c>
      <c r="AQ184">
        <v>1</v>
      </c>
      <c r="AR184">
        <v>1</v>
      </c>
      <c r="AS184">
        <v>1</v>
      </c>
      <c r="AT184">
        <v>1</v>
      </c>
      <c r="AU184">
        <v>1</v>
      </c>
      <c r="AV184">
        <v>1</v>
      </c>
      <c r="AW184">
        <v>1</v>
      </c>
      <c r="AX184">
        <v>1</v>
      </c>
      <c r="AY184">
        <v>1</v>
      </c>
      <c r="AZ184">
        <v>1</v>
      </c>
      <c r="BA184">
        <v>1</v>
      </c>
      <c r="BB184">
        <v>1</v>
      </c>
      <c r="BC184">
        <v>1</v>
      </c>
      <c r="BD184">
        <v>1</v>
      </c>
      <c r="BE184">
        <v>1</v>
      </c>
      <c r="BF184">
        <v>1</v>
      </c>
      <c r="BG184">
        <v>1</v>
      </c>
      <c r="BH184">
        <v>1</v>
      </c>
      <c r="BI184">
        <v>1</v>
      </c>
      <c r="BJ184">
        <f>-1/'vehicles specifications'!$M50</f>
        <v>-1</v>
      </c>
      <c r="BK184">
        <f>-1/'vehicles specifications'!$M50</f>
        <v>-1</v>
      </c>
      <c r="BL184">
        <f>-1/'vehicles specifications'!$M50</f>
        <v>-1</v>
      </c>
    </row>
    <row r="185" spans="1:64" x14ac:dyDescent="0.2">
      <c r="A185" t="s">
        <v>472</v>
      </c>
      <c r="B185">
        <f t="shared" si="8"/>
        <v>5.8823529411764705E-2</v>
      </c>
      <c r="C185" s="2">
        <f>'vehicles specifications'!S51</f>
        <v>38</v>
      </c>
      <c r="D185">
        <f t="shared" si="8"/>
        <v>5.8823529411764705E-2</v>
      </c>
      <c r="E185">
        <v>1</v>
      </c>
      <c r="F185">
        <f>1+'vehicles specifications'!AD51</f>
        <v>2</v>
      </c>
      <c r="G185">
        <f>1+'vehicles specifications'!AD51</f>
        <v>2</v>
      </c>
      <c r="J185">
        <v>1</v>
      </c>
      <c r="K185">
        <f>1/('fuels and tailpipe emissions'!$C$3*3.6)</f>
        <v>2.3474178403755867E-2</v>
      </c>
      <c r="L185">
        <f t="shared" si="2"/>
        <v>0.30555555555555558</v>
      </c>
      <c r="M185">
        <f>1/'vehicles specifications'!J51</f>
        <v>5.0000000000000002E-5</v>
      </c>
      <c r="N185">
        <v>1</v>
      </c>
      <c r="O185">
        <f>1</f>
        <v>1</v>
      </c>
      <c r="P185">
        <f t="shared" si="7"/>
        <v>-4.1666666666666664E-2</v>
      </c>
      <c r="Q185">
        <f t="shared" si="7"/>
        <v>-4.1666666666666664E-2</v>
      </c>
      <c r="R185">
        <f>-1-'vehicles specifications'!AD51</f>
        <v>-2</v>
      </c>
      <c r="S185">
        <v>1</v>
      </c>
      <c r="T185">
        <v>1</v>
      </c>
      <c r="U185">
        <v>1</v>
      </c>
      <c r="V185">
        <v>1</v>
      </c>
      <c r="W185">
        <v>1</v>
      </c>
      <c r="X185">
        <v>1</v>
      </c>
      <c r="Y185">
        <v>1</v>
      </c>
      <c r="Z185">
        <v>1</v>
      </c>
      <c r="AA185">
        <v>1</v>
      </c>
      <c r="AB185">
        <v>1</v>
      </c>
      <c r="AC185">
        <v>1</v>
      </c>
      <c r="AD185">
        <v>1</v>
      </c>
      <c r="AE185">
        <v>1</v>
      </c>
      <c r="AF185">
        <v>1</v>
      </c>
      <c r="AG185">
        <v>1</v>
      </c>
      <c r="AH185">
        <v>1</v>
      </c>
      <c r="AI185">
        <v>1</v>
      </c>
      <c r="AJ185">
        <v>1</v>
      </c>
      <c r="AK185">
        <v>1</v>
      </c>
      <c r="AL185">
        <v>1</v>
      </c>
      <c r="AM185">
        <v>1</v>
      </c>
      <c r="AN185">
        <v>1</v>
      </c>
      <c r="AO185">
        <v>1</v>
      </c>
      <c r="AP185">
        <v>1</v>
      </c>
      <c r="AQ185">
        <v>1</v>
      </c>
      <c r="AR185">
        <v>1</v>
      </c>
      <c r="AS185">
        <v>1</v>
      </c>
      <c r="AT185">
        <v>1</v>
      </c>
      <c r="AU185">
        <v>1</v>
      </c>
      <c r="AV185">
        <v>1</v>
      </c>
      <c r="AW185">
        <v>1</v>
      </c>
      <c r="AX185">
        <v>1</v>
      </c>
      <c r="AY185">
        <v>1</v>
      </c>
      <c r="AZ185">
        <v>1</v>
      </c>
      <c r="BA185">
        <v>1</v>
      </c>
      <c r="BB185">
        <v>1</v>
      </c>
      <c r="BC185">
        <v>1</v>
      </c>
      <c r="BD185">
        <v>1</v>
      </c>
      <c r="BE185">
        <v>1</v>
      </c>
      <c r="BF185">
        <v>1</v>
      </c>
      <c r="BG185">
        <v>1</v>
      </c>
      <c r="BH185">
        <v>1</v>
      </c>
      <c r="BI185">
        <v>1</v>
      </c>
      <c r="BJ185">
        <f>-1/'vehicles specifications'!$M51</f>
        <v>-1</v>
      </c>
      <c r="BK185">
        <f>-1/'vehicles specifications'!$M51</f>
        <v>-1</v>
      </c>
      <c r="BL185">
        <f>-1/'vehicles specifications'!$M51</f>
        <v>-1</v>
      </c>
    </row>
    <row r="186" spans="1:64" x14ac:dyDescent="0.2">
      <c r="A186" t="s">
        <v>473</v>
      </c>
      <c r="B186">
        <f t="shared" si="8"/>
        <v>5.8823529411764705E-2</v>
      </c>
      <c r="C186" s="2">
        <f>'vehicles specifications'!S52</f>
        <v>38</v>
      </c>
      <c r="D186">
        <f t="shared" si="8"/>
        <v>5.8823529411764705E-2</v>
      </c>
      <c r="E186">
        <v>1</v>
      </c>
      <c r="F186">
        <f>1+'vehicles specifications'!AD52</f>
        <v>1.5</v>
      </c>
      <c r="G186">
        <f>1+'vehicles specifications'!AD52</f>
        <v>1.5</v>
      </c>
      <c r="J186">
        <v>1</v>
      </c>
      <c r="K186">
        <f>1/('fuels and tailpipe emissions'!$C$3*3.6)</f>
        <v>2.3474178403755867E-2</v>
      </c>
      <c r="L186">
        <f t="shared" si="2"/>
        <v>0.30555555555555558</v>
      </c>
      <c r="M186">
        <f>1/'vehicles specifications'!J52</f>
        <v>5.0000000000000002E-5</v>
      </c>
      <c r="N186">
        <v>1</v>
      </c>
      <c r="O186">
        <f>1</f>
        <v>1</v>
      </c>
      <c r="P186">
        <f t="shared" si="7"/>
        <v>-4.1666666666666664E-2</v>
      </c>
      <c r="Q186">
        <f t="shared" si="7"/>
        <v>-4.1666666666666664E-2</v>
      </c>
      <c r="R186">
        <f>-1-'vehicles specifications'!AD52</f>
        <v>-1.5</v>
      </c>
      <c r="S186">
        <v>1</v>
      </c>
      <c r="T186">
        <v>1</v>
      </c>
      <c r="U186">
        <v>1</v>
      </c>
      <c r="V186">
        <v>1</v>
      </c>
      <c r="W186">
        <v>1</v>
      </c>
      <c r="X186">
        <v>1</v>
      </c>
      <c r="Y186">
        <v>1</v>
      </c>
      <c r="Z186">
        <v>1</v>
      </c>
      <c r="AA186">
        <v>1</v>
      </c>
      <c r="AB186">
        <v>1</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c r="BA186">
        <v>1</v>
      </c>
      <c r="BB186">
        <v>1</v>
      </c>
      <c r="BC186">
        <v>1</v>
      </c>
      <c r="BD186">
        <v>1</v>
      </c>
      <c r="BE186">
        <v>1</v>
      </c>
      <c r="BF186">
        <v>1</v>
      </c>
      <c r="BG186">
        <v>1</v>
      </c>
      <c r="BH186">
        <v>1</v>
      </c>
      <c r="BI186">
        <v>1</v>
      </c>
      <c r="BJ186">
        <f>-1/'vehicles specifications'!$M52</f>
        <v>-1</v>
      </c>
      <c r="BK186">
        <f>-1/'vehicles specifications'!$M52</f>
        <v>-1</v>
      </c>
      <c r="BL186">
        <f>-1/'vehicles specifications'!$M52</f>
        <v>-1</v>
      </c>
    </row>
    <row r="187" spans="1:64" x14ac:dyDescent="0.2">
      <c r="A187" t="s">
        <v>474</v>
      </c>
      <c r="B187">
        <f t="shared" si="8"/>
        <v>5.8823529411764705E-2</v>
      </c>
      <c r="C187" s="2">
        <f>'vehicles specifications'!S53</f>
        <v>38</v>
      </c>
      <c r="D187">
        <f t="shared" si="8"/>
        <v>5.8823529411764705E-2</v>
      </c>
      <c r="E187">
        <v>1</v>
      </c>
      <c r="F187">
        <f>1+'vehicles specifications'!AD53</f>
        <v>1.25</v>
      </c>
      <c r="G187">
        <f>1+'vehicles specifications'!AD53</f>
        <v>1.25</v>
      </c>
      <c r="J187">
        <v>1</v>
      </c>
      <c r="K187">
        <f>1/('fuels and tailpipe emissions'!$C$3*3.6)</f>
        <v>2.3474178403755867E-2</v>
      </c>
      <c r="L187">
        <f t="shared" si="2"/>
        <v>0.30555555555555558</v>
      </c>
      <c r="M187">
        <f>1/'vehicles specifications'!J53</f>
        <v>5.0000000000000002E-5</v>
      </c>
      <c r="N187">
        <v>1</v>
      </c>
      <c r="O187">
        <f>1</f>
        <v>1</v>
      </c>
      <c r="P187">
        <f t="shared" si="7"/>
        <v>-4.1666666666666664E-2</v>
      </c>
      <c r="Q187">
        <f t="shared" si="7"/>
        <v>-4.1666666666666664E-2</v>
      </c>
      <c r="R187">
        <f>-1-'vehicles specifications'!AD53</f>
        <v>-1.25</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f>-1/'vehicles specifications'!$M53</f>
        <v>-1</v>
      </c>
      <c r="BK187">
        <f>-1/'vehicles specifications'!$M53</f>
        <v>-1</v>
      </c>
      <c r="BL187">
        <f>-1/'vehicles specifications'!$M53</f>
        <v>-1</v>
      </c>
    </row>
    <row r="188" spans="1:64" x14ac:dyDescent="0.2">
      <c r="A188" t="s">
        <v>475</v>
      </c>
      <c r="B188">
        <f t="shared" si="8"/>
        <v>5.8823529411764705E-2</v>
      </c>
      <c r="C188" s="2">
        <f>'vehicles specifications'!S54</f>
        <v>38</v>
      </c>
      <c r="D188">
        <f t="shared" si="8"/>
        <v>5.8823529411764705E-2</v>
      </c>
      <c r="E188">
        <v>1</v>
      </c>
      <c r="F188">
        <f>1+'vehicles specifications'!AD54</f>
        <v>1</v>
      </c>
      <c r="G188">
        <f>1+'vehicles specifications'!AD54</f>
        <v>1</v>
      </c>
      <c r="J188">
        <v>1</v>
      </c>
      <c r="K188">
        <f>1/('fuels and tailpipe emissions'!$C$3*3.6)</f>
        <v>2.3474178403755867E-2</v>
      </c>
      <c r="L188">
        <f t="shared" si="2"/>
        <v>0.30555555555555558</v>
      </c>
      <c r="M188">
        <f>1/'vehicles specifications'!J54</f>
        <v>5.0000000000000002E-5</v>
      </c>
      <c r="N188">
        <v>1</v>
      </c>
      <c r="O188">
        <f>1</f>
        <v>1</v>
      </c>
      <c r="P188">
        <f t="shared" si="7"/>
        <v>-4.1666666666666664E-2</v>
      </c>
      <c r="Q188">
        <f t="shared" si="7"/>
        <v>-4.1666666666666664E-2</v>
      </c>
      <c r="R188">
        <f>-1-'vehicles specifications'!AD54</f>
        <v>-1</v>
      </c>
      <c r="S188">
        <v>1</v>
      </c>
      <c r="T188">
        <v>1</v>
      </c>
      <c r="U188">
        <v>1</v>
      </c>
      <c r="V188">
        <v>1</v>
      </c>
      <c r="W188">
        <v>1</v>
      </c>
      <c r="X188">
        <v>1</v>
      </c>
      <c r="Y188">
        <v>1</v>
      </c>
      <c r="Z188">
        <v>1</v>
      </c>
      <c r="AA188">
        <v>1</v>
      </c>
      <c r="AB188">
        <v>1</v>
      </c>
      <c r="AC188">
        <v>1</v>
      </c>
      <c r="AD188">
        <v>1</v>
      </c>
      <c r="AE188">
        <v>1</v>
      </c>
      <c r="AF188">
        <v>1</v>
      </c>
      <c r="AG188">
        <v>1</v>
      </c>
      <c r="AH188">
        <v>1</v>
      </c>
      <c r="AI188">
        <v>1</v>
      </c>
      <c r="AJ188">
        <v>1</v>
      </c>
      <c r="AK188">
        <v>1</v>
      </c>
      <c r="AL188">
        <v>1</v>
      </c>
      <c r="AM188">
        <v>1</v>
      </c>
      <c r="AN188">
        <v>1</v>
      </c>
      <c r="AO188">
        <v>1</v>
      </c>
      <c r="AP188">
        <v>1</v>
      </c>
      <c r="AQ188">
        <v>1</v>
      </c>
      <c r="AR188">
        <v>1</v>
      </c>
      <c r="AS188">
        <v>1</v>
      </c>
      <c r="AT188">
        <v>1</v>
      </c>
      <c r="AU188">
        <v>1</v>
      </c>
      <c r="AV188">
        <v>1</v>
      </c>
      <c r="AW188">
        <v>1</v>
      </c>
      <c r="AX188">
        <v>1</v>
      </c>
      <c r="AY188">
        <v>1</v>
      </c>
      <c r="AZ188">
        <v>1</v>
      </c>
      <c r="BA188">
        <v>1</v>
      </c>
      <c r="BB188">
        <v>1</v>
      </c>
      <c r="BC188">
        <v>1</v>
      </c>
      <c r="BD188">
        <v>1</v>
      </c>
      <c r="BE188">
        <v>1</v>
      </c>
      <c r="BF188">
        <v>1</v>
      </c>
      <c r="BG188">
        <v>1</v>
      </c>
      <c r="BH188">
        <v>1</v>
      </c>
      <c r="BI188">
        <v>1</v>
      </c>
      <c r="BJ188">
        <f>-1/'vehicles specifications'!$M54</f>
        <v>-1</v>
      </c>
      <c r="BK188">
        <f>-1/'vehicles specifications'!$M54</f>
        <v>-1</v>
      </c>
      <c r="BL188">
        <f>-1/'vehicles specifications'!$M54</f>
        <v>-1</v>
      </c>
    </row>
    <row r="189" spans="1:64" x14ac:dyDescent="0.2">
      <c r="A189" t="s">
        <v>272</v>
      </c>
      <c r="B189">
        <f t="shared" ref="B189:E192" si="9">1/20992</f>
        <v>4.7637195121951221E-5</v>
      </c>
      <c r="C189" s="2">
        <f>'vehicles specifications'!S55</f>
        <v>43200</v>
      </c>
      <c r="D189">
        <f t="shared" si="9"/>
        <v>4.7637195121951221E-5</v>
      </c>
      <c r="E189">
        <f t="shared" si="9"/>
        <v>4.7637195121951221E-5</v>
      </c>
      <c r="F189">
        <f>1+'vehicles specifications'!AD55</f>
        <v>1</v>
      </c>
      <c r="G189">
        <f>1+'vehicles specifications'!AD55</f>
        <v>1</v>
      </c>
      <c r="H189">
        <v>1</v>
      </c>
      <c r="I189">
        <v>1</v>
      </c>
      <c r="K189">
        <f>1/('fuels and tailpipe emissions'!$C$3*3.6)</f>
        <v>2.3474178403755867E-2</v>
      </c>
      <c r="L189">
        <v>7.3099415204678359E-3</v>
      </c>
      <c r="M189">
        <f>1/'vehicles specifications'!J55/'vehicles specifications'!M55</f>
        <v>9.3984962406015038E-9</v>
      </c>
      <c r="N189">
        <v>1</v>
      </c>
      <c r="O189">
        <f>1/'vehicles specifications'!M55</f>
        <v>2.6315789473684209E-2</v>
      </c>
      <c r="P189">
        <f>-1/20992</f>
        <v>-4.7637195121951221E-5</v>
      </c>
      <c r="Q189">
        <f>-1/20992</f>
        <v>-4.7637195121951221E-5</v>
      </c>
      <c r="R189">
        <f>-1-'vehicles specifications'!AD55</f>
        <v>-1</v>
      </c>
      <c r="S189">
        <f>1/'vehicles specifications'!$M55</f>
        <v>2.6315789473684209E-2</v>
      </c>
      <c r="T189">
        <f>1/'vehicles specifications'!$M55</f>
        <v>2.6315789473684209E-2</v>
      </c>
      <c r="U189">
        <f>1/'vehicles specifications'!$M55</f>
        <v>2.6315789473684209E-2</v>
      </c>
      <c r="V189">
        <f>1/'vehicles specifications'!$M55</f>
        <v>2.6315789473684209E-2</v>
      </c>
      <c r="W189">
        <f>1/'vehicles specifications'!$M55</f>
        <v>2.6315789473684209E-2</v>
      </c>
      <c r="X189">
        <f>1/'vehicles specifications'!$M55</f>
        <v>2.6315789473684209E-2</v>
      </c>
      <c r="Y189">
        <f>1/'vehicles specifications'!$M55</f>
        <v>2.6315789473684209E-2</v>
      </c>
      <c r="Z189">
        <f>1/'vehicles specifications'!$M55</f>
        <v>2.6315789473684209E-2</v>
      </c>
      <c r="AA189">
        <f>1/'vehicles specifications'!$M55</f>
        <v>2.6315789473684209E-2</v>
      </c>
      <c r="AB189">
        <f>1/'vehicles specifications'!$M55</f>
        <v>2.6315789473684209E-2</v>
      </c>
      <c r="AC189">
        <f>1/'vehicles specifications'!$M55</f>
        <v>2.6315789473684209E-2</v>
      </c>
      <c r="AD189">
        <f>1/'vehicles specifications'!$M55</f>
        <v>2.6315789473684209E-2</v>
      </c>
      <c r="AE189">
        <f>1/'vehicles specifications'!$M55</f>
        <v>2.6315789473684209E-2</v>
      </c>
      <c r="AF189">
        <f>1/'vehicles specifications'!$M55</f>
        <v>2.6315789473684209E-2</v>
      </c>
      <c r="AG189">
        <f>1/'vehicles specifications'!$M55</f>
        <v>2.6315789473684209E-2</v>
      </c>
      <c r="AH189">
        <f>1/'vehicles specifications'!$M55</f>
        <v>2.6315789473684209E-2</v>
      </c>
      <c r="AI189">
        <f>1/'vehicles specifications'!$M55</f>
        <v>2.6315789473684209E-2</v>
      </c>
      <c r="AJ189">
        <f>1/'vehicles specifications'!$M55</f>
        <v>2.6315789473684209E-2</v>
      </c>
      <c r="AK189">
        <f>1/'vehicles specifications'!$M55</f>
        <v>2.6315789473684209E-2</v>
      </c>
      <c r="AL189">
        <f>1/'vehicles specifications'!$M55</f>
        <v>2.6315789473684209E-2</v>
      </c>
      <c r="AM189">
        <f>1/'vehicles specifications'!$M55</f>
        <v>2.6315789473684209E-2</v>
      </c>
      <c r="AN189">
        <f>1/'vehicles specifications'!$M55</f>
        <v>2.6315789473684209E-2</v>
      </c>
      <c r="AO189">
        <f>1/'vehicles specifications'!$M55</f>
        <v>2.6315789473684209E-2</v>
      </c>
      <c r="AP189">
        <f>1/'vehicles specifications'!$M55</f>
        <v>2.6315789473684209E-2</v>
      </c>
      <c r="AQ189">
        <f>1/'vehicles specifications'!$M55</f>
        <v>2.6315789473684209E-2</v>
      </c>
      <c r="AR189">
        <f>1/'vehicles specifications'!$M55</f>
        <v>2.6315789473684209E-2</v>
      </c>
      <c r="AS189">
        <f>1/'vehicles specifications'!$M55</f>
        <v>2.6315789473684209E-2</v>
      </c>
      <c r="AT189">
        <f>1/'vehicles specifications'!$M55</f>
        <v>2.6315789473684209E-2</v>
      </c>
      <c r="AU189">
        <f>1/'vehicles specifications'!$M55</f>
        <v>2.6315789473684209E-2</v>
      </c>
      <c r="AV189">
        <f>1/'vehicles specifications'!$M55</f>
        <v>2.6315789473684209E-2</v>
      </c>
      <c r="AW189">
        <f>1/'vehicles specifications'!$M55</f>
        <v>2.6315789473684209E-2</v>
      </c>
      <c r="AX189">
        <f>1/'vehicles specifications'!$M55</f>
        <v>2.6315789473684209E-2</v>
      </c>
      <c r="AY189">
        <f>1/'vehicles specifications'!$M55</f>
        <v>2.6315789473684209E-2</v>
      </c>
      <c r="AZ189">
        <f>1/'vehicles specifications'!$M55</f>
        <v>2.6315789473684209E-2</v>
      </c>
      <c r="BA189">
        <f>1/'vehicles specifications'!$M55</f>
        <v>2.6315789473684209E-2</v>
      </c>
      <c r="BB189">
        <f>1/'vehicles specifications'!$M55</f>
        <v>2.6315789473684209E-2</v>
      </c>
      <c r="BC189">
        <f>1/'vehicles specifications'!$M55</f>
        <v>2.6315789473684209E-2</v>
      </c>
      <c r="BD189">
        <f>1/'vehicles specifications'!$M55</f>
        <v>2.6315789473684209E-2</v>
      </c>
      <c r="BE189">
        <f>1/'vehicles specifications'!$M55</f>
        <v>2.6315789473684209E-2</v>
      </c>
      <c r="BF189">
        <f>1/'vehicles specifications'!$M55</f>
        <v>2.6315789473684209E-2</v>
      </c>
      <c r="BG189">
        <f>1/'vehicles specifications'!$M55</f>
        <v>2.6315789473684209E-2</v>
      </c>
      <c r="BH189">
        <f>1/'vehicles specifications'!$M55</f>
        <v>2.6315789473684209E-2</v>
      </c>
      <c r="BI189">
        <f>1/'vehicles specifications'!$M55</f>
        <v>2.6315789473684209E-2</v>
      </c>
      <c r="BJ189">
        <f>-1/'vehicles specifications'!$M55</f>
        <v>-2.6315789473684209E-2</v>
      </c>
      <c r="BK189">
        <f>-1/'vehicles specifications'!$M55</f>
        <v>-2.6315789473684209E-2</v>
      </c>
      <c r="BL189">
        <f>-1/'vehicles specifications'!$M55</f>
        <v>-2.6315789473684209E-2</v>
      </c>
    </row>
    <row r="190" spans="1:64" x14ac:dyDescent="0.2">
      <c r="A190" t="s">
        <v>273</v>
      </c>
      <c r="B190">
        <f t="shared" si="9"/>
        <v>4.7637195121951221E-5</v>
      </c>
      <c r="C190" s="2">
        <f>'vehicles specifications'!S56</f>
        <v>43200</v>
      </c>
      <c r="D190">
        <f t="shared" si="9"/>
        <v>4.7637195121951221E-5</v>
      </c>
      <c r="E190">
        <f t="shared" si="9"/>
        <v>4.7637195121951221E-5</v>
      </c>
      <c r="F190">
        <f>1+'vehicles specifications'!AD56</f>
        <v>1</v>
      </c>
      <c r="G190">
        <f>1+'vehicles specifications'!AD56</f>
        <v>1</v>
      </c>
      <c r="H190">
        <v>1</v>
      </c>
      <c r="I190">
        <v>1</v>
      </c>
      <c r="K190">
        <f>1/('fuels and tailpipe emissions'!$C$3*3.6)</f>
        <v>2.3474178403755867E-2</v>
      </c>
      <c r="L190">
        <v>7.3099415204678359E-3</v>
      </c>
      <c r="M190">
        <f>1/'vehicles specifications'!J56/'vehicles specifications'!M56</f>
        <v>9.3984962406015038E-9</v>
      </c>
      <c r="N190">
        <v>1</v>
      </c>
      <c r="O190">
        <f>1/'vehicles specifications'!M56</f>
        <v>2.6315789473684209E-2</v>
      </c>
      <c r="P190">
        <f t="shared" ref="P190:Q192" si="10">-1/20992</f>
        <v>-4.7637195121951221E-5</v>
      </c>
      <c r="Q190">
        <f t="shared" si="10"/>
        <v>-4.7637195121951221E-5</v>
      </c>
      <c r="R190">
        <f>-1-'vehicles specifications'!AD56</f>
        <v>-1</v>
      </c>
      <c r="S190">
        <f>1/'vehicles specifications'!$M56</f>
        <v>2.6315789473684209E-2</v>
      </c>
      <c r="T190">
        <f>1/'vehicles specifications'!$M56</f>
        <v>2.6315789473684209E-2</v>
      </c>
      <c r="U190">
        <f>1/'vehicles specifications'!$M56</f>
        <v>2.6315789473684209E-2</v>
      </c>
      <c r="V190">
        <f>1/'vehicles specifications'!$M56</f>
        <v>2.6315789473684209E-2</v>
      </c>
      <c r="W190">
        <f>1/'vehicles specifications'!$M56</f>
        <v>2.6315789473684209E-2</v>
      </c>
      <c r="X190">
        <f>1/'vehicles specifications'!$M56</f>
        <v>2.6315789473684209E-2</v>
      </c>
      <c r="Y190">
        <f>1/'vehicles specifications'!$M56</f>
        <v>2.6315789473684209E-2</v>
      </c>
      <c r="Z190">
        <f>1/'vehicles specifications'!$M56</f>
        <v>2.6315789473684209E-2</v>
      </c>
      <c r="AA190">
        <f>1/'vehicles specifications'!$M56</f>
        <v>2.6315789473684209E-2</v>
      </c>
      <c r="AB190">
        <f>1/'vehicles specifications'!$M56</f>
        <v>2.6315789473684209E-2</v>
      </c>
      <c r="AC190">
        <f>1/'vehicles specifications'!$M56</f>
        <v>2.6315789473684209E-2</v>
      </c>
      <c r="AD190">
        <f>1/'vehicles specifications'!$M56</f>
        <v>2.6315789473684209E-2</v>
      </c>
      <c r="AE190">
        <f>1/'vehicles specifications'!$M56</f>
        <v>2.6315789473684209E-2</v>
      </c>
      <c r="AF190">
        <f>1/'vehicles specifications'!$M56</f>
        <v>2.6315789473684209E-2</v>
      </c>
      <c r="AG190">
        <f>1/'vehicles specifications'!$M56</f>
        <v>2.6315789473684209E-2</v>
      </c>
      <c r="AH190">
        <f>1/'vehicles specifications'!$M56</f>
        <v>2.6315789473684209E-2</v>
      </c>
      <c r="AI190">
        <f>1/'vehicles specifications'!$M56</f>
        <v>2.6315789473684209E-2</v>
      </c>
      <c r="AJ190">
        <f>1/'vehicles specifications'!$M56</f>
        <v>2.6315789473684209E-2</v>
      </c>
      <c r="AK190">
        <f>1/'vehicles specifications'!$M56</f>
        <v>2.6315789473684209E-2</v>
      </c>
      <c r="AL190">
        <f>1/'vehicles specifications'!$M56</f>
        <v>2.6315789473684209E-2</v>
      </c>
      <c r="AM190">
        <f>1/'vehicles specifications'!$M56</f>
        <v>2.6315789473684209E-2</v>
      </c>
      <c r="AN190">
        <f>1/'vehicles specifications'!$M56</f>
        <v>2.6315789473684209E-2</v>
      </c>
      <c r="AO190">
        <f>1/'vehicles specifications'!$M56</f>
        <v>2.6315789473684209E-2</v>
      </c>
      <c r="AP190">
        <f>1/'vehicles specifications'!$M56</f>
        <v>2.6315789473684209E-2</v>
      </c>
      <c r="AQ190">
        <f>1/'vehicles specifications'!$M56</f>
        <v>2.6315789473684209E-2</v>
      </c>
      <c r="AR190">
        <f>1/'vehicles specifications'!$M56</f>
        <v>2.6315789473684209E-2</v>
      </c>
      <c r="AS190">
        <f>1/'vehicles specifications'!$M56</f>
        <v>2.6315789473684209E-2</v>
      </c>
      <c r="AT190">
        <f>1/'vehicles specifications'!$M56</f>
        <v>2.6315789473684209E-2</v>
      </c>
      <c r="AU190">
        <f>1/'vehicles specifications'!$M56</f>
        <v>2.6315789473684209E-2</v>
      </c>
      <c r="AV190">
        <f>1/'vehicles specifications'!$M56</f>
        <v>2.6315789473684209E-2</v>
      </c>
      <c r="AW190">
        <f>1/'vehicles specifications'!$M56</f>
        <v>2.6315789473684209E-2</v>
      </c>
      <c r="AX190">
        <f>1/'vehicles specifications'!$M56</f>
        <v>2.6315789473684209E-2</v>
      </c>
      <c r="AY190">
        <f>1/'vehicles specifications'!$M56</f>
        <v>2.6315789473684209E-2</v>
      </c>
      <c r="AZ190">
        <f>1/'vehicles specifications'!$M56</f>
        <v>2.6315789473684209E-2</v>
      </c>
      <c r="BA190">
        <f>1/'vehicles specifications'!$M56</f>
        <v>2.6315789473684209E-2</v>
      </c>
      <c r="BB190">
        <f>1/'vehicles specifications'!$M56</f>
        <v>2.6315789473684209E-2</v>
      </c>
      <c r="BC190">
        <f>1/'vehicles specifications'!$M56</f>
        <v>2.6315789473684209E-2</v>
      </c>
      <c r="BD190">
        <f>1/'vehicles specifications'!$M56</f>
        <v>2.6315789473684209E-2</v>
      </c>
      <c r="BE190">
        <f>1/'vehicles specifications'!$M56</f>
        <v>2.6315789473684209E-2</v>
      </c>
      <c r="BF190">
        <f>1/'vehicles specifications'!$M56</f>
        <v>2.6315789473684209E-2</v>
      </c>
      <c r="BG190">
        <f>1/'vehicles specifications'!$M56</f>
        <v>2.6315789473684209E-2</v>
      </c>
      <c r="BH190">
        <f>1/'vehicles specifications'!$M56</f>
        <v>2.6315789473684209E-2</v>
      </c>
      <c r="BI190">
        <f>1/'vehicles specifications'!$M56</f>
        <v>2.6315789473684209E-2</v>
      </c>
      <c r="BJ190">
        <f>-1/'vehicles specifications'!$M56</f>
        <v>-2.6315789473684209E-2</v>
      </c>
      <c r="BK190">
        <f>-1/'vehicles specifications'!$M56</f>
        <v>-2.6315789473684209E-2</v>
      </c>
      <c r="BL190">
        <f>-1/'vehicles specifications'!$M56</f>
        <v>-2.6315789473684209E-2</v>
      </c>
    </row>
    <row r="191" spans="1:64" x14ac:dyDescent="0.2">
      <c r="A191" t="s">
        <v>274</v>
      </c>
      <c r="B191">
        <f t="shared" si="9"/>
        <v>4.7637195121951221E-5</v>
      </c>
      <c r="C191" s="2">
        <f>'vehicles specifications'!S57</f>
        <v>43200</v>
      </c>
      <c r="D191">
        <f t="shared" si="9"/>
        <v>4.7637195121951221E-5</v>
      </c>
      <c r="E191">
        <f t="shared" si="9"/>
        <v>4.7637195121951221E-5</v>
      </c>
      <c r="F191">
        <f>1+'vehicles specifications'!AD57</f>
        <v>1</v>
      </c>
      <c r="G191">
        <f>1+'vehicles specifications'!AD57</f>
        <v>1</v>
      </c>
      <c r="H191">
        <v>1</v>
      </c>
      <c r="I191">
        <v>1</v>
      </c>
      <c r="K191">
        <f>1/('fuels and tailpipe emissions'!$C$3*3.6)</f>
        <v>2.3474178403755867E-2</v>
      </c>
      <c r="L191">
        <v>7.3099415204678359E-3</v>
      </c>
      <c r="M191">
        <f>1/'vehicles specifications'!J57/'vehicles specifications'!M57</f>
        <v>9.3984962406015038E-9</v>
      </c>
      <c r="N191">
        <v>1</v>
      </c>
      <c r="O191">
        <f>1/'vehicles specifications'!M57</f>
        <v>2.6315789473684209E-2</v>
      </c>
      <c r="P191">
        <f t="shared" si="10"/>
        <v>-4.7637195121951221E-5</v>
      </c>
      <c r="Q191">
        <f t="shared" si="10"/>
        <v>-4.7637195121951221E-5</v>
      </c>
      <c r="R191">
        <f>-1-'vehicles specifications'!AD57</f>
        <v>-1</v>
      </c>
      <c r="S191">
        <f>1/'vehicles specifications'!$M57</f>
        <v>2.6315789473684209E-2</v>
      </c>
      <c r="T191">
        <f>1/'vehicles specifications'!$M57</f>
        <v>2.6315789473684209E-2</v>
      </c>
      <c r="U191">
        <f>1/'vehicles specifications'!$M57</f>
        <v>2.6315789473684209E-2</v>
      </c>
      <c r="V191">
        <f>1/'vehicles specifications'!$M57</f>
        <v>2.6315789473684209E-2</v>
      </c>
      <c r="W191">
        <f>1/'vehicles specifications'!$M57</f>
        <v>2.6315789473684209E-2</v>
      </c>
      <c r="X191">
        <f>1/'vehicles specifications'!$M57</f>
        <v>2.6315789473684209E-2</v>
      </c>
      <c r="Y191">
        <f>1/'vehicles specifications'!$M57</f>
        <v>2.6315789473684209E-2</v>
      </c>
      <c r="Z191">
        <f>1/'vehicles specifications'!$M57</f>
        <v>2.6315789473684209E-2</v>
      </c>
      <c r="AA191">
        <f>1/'vehicles specifications'!$M57</f>
        <v>2.6315789473684209E-2</v>
      </c>
      <c r="AB191">
        <f>1/'vehicles specifications'!$M57</f>
        <v>2.6315789473684209E-2</v>
      </c>
      <c r="AC191">
        <f>1/'vehicles specifications'!$M57</f>
        <v>2.6315789473684209E-2</v>
      </c>
      <c r="AD191">
        <f>1/'vehicles specifications'!$M57</f>
        <v>2.6315789473684209E-2</v>
      </c>
      <c r="AE191">
        <f>1/'vehicles specifications'!$M57</f>
        <v>2.6315789473684209E-2</v>
      </c>
      <c r="AF191">
        <f>1/'vehicles specifications'!$M57</f>
        <v>2.6315789473684209E-2</v>
      </c>
      <c r="AG191">
        <f>1/'vehicles specifications'!$M57</f>
        <v>2.6315789473684209E-2</v>
      </c>
      <c r="AH191">
        <f>1/'vehicles specifications'!$M57</f>
        <v>2.6315789473684209E-2</v>
      </c>
      <c r="AI191">
        <f>1/'vehicles specifications'!$M57</f>
        <v>2.6315789473684209E-2</v>
      </c>
      <c r="AJ191">
        <f>1/'vehicles specifications'!$M57</f>
        <v>2.6315789473684209E-2</v>
      </c>
      <c r="AK191">
        <f>1/'vehicles specifications'!$M57</f>
        <v>2.6315789473684209E-2</v>
      </c>
      <c r="AL191">
        <f>1/'vehicles specifications'!$M57</f>
        <v>2.6315789473684209E-2</v>
      </c>
      <c r="AM191">
        <f>1/'vehicles specifications'!$M57</f>
        <v>2.6315789473684209E-2</v>
      </c>
      <c r="AN191">
        <f>1/'vehicles specifications'!$M57</f>
        <v>2.6315789473684209E-2</v>
      </c>
      <c r="AO191">
        <f>1/'vehicles specifications'!$M57</f>
        <v>2.6315789473684209E-2</v>
      </c>
      <c r="AP191">
        <f>1/'vehicles specifications'!$M57</f>
        <v>2.6315789473684209E-2</v>
      </c>
      <c r="AQ191">
        <f>1/'vehicles specifications'!$M57</f>
        <v>2.6315789473684209E-2</v>
      </c>
      <c r="AR191">
        <f>1/'vehicles specifications'!$M57</f>
        <v>2.6315789473684209E-2</v>
      </c>
      <c r="AS191">
        <f>1/'vehicles specifications'!$M57</f>
        <v>2.6315789473684209E-2</v>
      </c>
      <c r="AT191">
        <f>1/'vehicles specifications'!$M57</f>
        <v>2.6315789473684209E-2</v>
      </c>
      <c r="AU191">
        <f>1/'vehicles specifications'!$M57</f>
        <v>2.6315789473684209E-2</v>
      </c>
      <c r="AV191">
        <f>1/'vehicles specifications'!$M57</f>
        <v>2.6315789473684209E-2</v>
      </c>
      <c r="AW191">
        <f>1/'vehicles specifications'!$M57</f>
        <v>2.6315789473684209E-2</v>
      </c>
      <c r="AX191">
        <f>1/'vehicles specifications'!$M57</f>
        <v>2.6315789473684209E-2</v>
      </c>
      <c r="AY191">
        <f>1/'vehicles specifications'!$M57</f>
        <v>2.6315789473684209E-2</v>
      </c>
      <c r="AZ191">
        <f>1/'vehicles specifications'!$M57</f>
        <v>2.6315789473684209E-2</v>
      </c>
      <c r="BA191">
        <f>1/'vehicles specifications'!$M57</f>
        <v>2.6315789473684209E-2</v>
      </c>
      <c r="BB191">
        <f>1/'vehicles specifications'!$M57</f>
        <v>2.6315789473684209E-2</v>
      </c>
      <c r="BC191">
        <f>1/'vehicles specifications'!$M57</f>
        <v>2.6315789473684209E-2</v>
      </c>
      <c r="BD191">
        <f>1/'vehicles specifications'!$M57</f>
        <v>2.6315789473684209E-2</v>
      </c>
      <c r="BE191">
        <f>1/'vehicles specifications'!$M57</f>
        <v>2.6315789473684209E-2</v>
      </c>
      <c r="BF191">
        <f>1/'vehicles specifications'!$M57</f>
        <v>2.6315789473684209E-2</v>
      </c>
      <c r="BG191">
        <f>1/'vehicles specifications'!$M57</f>
        <v>2.6315789473684209E-2</v>
      </c>
      <c r="BH191">
        <f>1/'vehicles specifications'!$M57</f>
        <v>2.6315789473684209E-2</v>
      </c>
      <c r="BI191">
        <f>1/'vehicles specifications'!$M57</f>
        <v>2.6315789473684209E-2</v>
      </c>
      <c r="BJ191">
        <f>-1/'vehicles specifications'!$M57</f>
        <v>-2.6315789473684209E-2</v>
      </c>
      <c r="BK191">
        <f>-1/'vehicles specifications'!$M57</f>
        <v>-2.6315789473684209E-2</v>
      </c>
      <c r="BL191">
        <f>-1/'vehicles specifications'!$M57</f>
        <v>-2.6315789473684209E-2</v>
      </c>
    </row>
    <row r="192" spans="1:64" x14ac:dyDescent="0.2">
      <c r="A192" t="s">
        <v>275</v>
      </c>
      <c r="B192">
        <f t="shared" si="9"/>
        <v>4.7637195121951221E-5</v>
      </c>
      <c r="C192" s="2">
        <f>'vehicles specifications'!S58</f>
        <v>43200</v>
      </c>
      <c r="D192">
        <f t="shared" si="9"/>
        <v>4.7637195121951221E-5</v>
      </c>
      <c r="E192">
        <f t="shared" si="9"/>
        <v>4.7637195121951221E-5</v>
      </c>
      <c r="F192">
        <f>1+'vehicles specifications'!AD58</f>
        <v>1</v>
      </c>
      <c r="G192">
        <f>1+'vehicles specifications'!AD58</f>
        <v>1</v>
      </c>
      <c r="H192">
        <v>1</v>
      </c>
      <c r="I192">
        <v>1</v>
      </c>
      <c r="K192">
        <f>1/('fuels and tailpipe emissions'!$C$3*3.6)</f>
        <v>2.3474178403755867E-2</v>
      </c>
      <c r="L192">
        <v>7.3099415204678359E-3</v>
      </c>
      <c r="M192">
        <f>1/'vehicles specifications'!J58/'vehicles specifications'!M58</f>
        <v>9.3984962406015038E-9</v>
      </c>
      <c r="N192">
        <v>1</v>
      </c>
      <c r="O192">
        <f>1/'vehicles specifications'!M58</f>
        <v>2.6315789473684209E-2</v>
      </c>
      <c r="P192">
        <f t="shared" si="10"/>
        <v>-4.7637195121951221E-5</v>
      </c>
      <c r="Q192">
        <f t="shared" si="10"/>
        <v>-4.7637195121951221E-5</v>
      </c>
      <c r="R192">
        <f>-1-'vehicles specifications'!AD58</f>
        <v>-1</v>
      </c>
      <c r="S192">
        <f>1/'vehicles specifications'!$M58</f>
        <v>2.6315789473684209E-2</v>
      </c>
      <c r="T192">
        <f>1/'vehicles specifications'!$M58</f>
        <v>2.6315789473684209E-2</v>
      </c>
      <c r="U192">
        <f>1/'vehicles specifications'!$M58</f>
        <v>2.6315789473684209E-2</v>
      </c>
      <c r="V192">
        <f>1/'vehicles specifications'!$M58</f>
        <v>2.6315789473684209E-2</v>
      </c>
      <c r="W192">
        <f>1/'vehicles specifications'!$M58</f>
        <v>2.6315789473684209E-2</v>
      </c>
      <c r="X192">
        <f>1/'vehicles specifications'!$M58</f>
        <v>2.6315789473684209E-2</v>
      </c>
      <c r="Y192">
        <f>1/'vehicles specifications'!$M58</f>
        <v>2.6315789473684209E-2</v>
      </c>
      <c r="Z192">
        <f>1/'vehicles specifications'!$M58</f>
        <v>2.6315789473684209E-2</v>
      </c>
      <c r="AA192">
        <f>1/'vehicles specifications'!$M58</f>
        <v>2.6315789473684209E-2</v>
      </c>
      <c r="AB192">
        <f>1/'vehicles specifications'!$M58</f>
        <v>2.6315789473684209E-2</v>
      </c>
      <c r="AC192">
        <f>1/'vehicles specifications'!$M58</f>
        <v>2.6315789473684209E-2</v>
      </c>
      <c r="AD192">
        <f>1/'vehicles specifications'!$M58</f>
        <v>2.6315789473684209E-2</v>
      </c>
      <c r="AE192">
        <f>1/'vehicles specifications'!$M58</f>
        <v>2.6315789473684209E-2</v>
      </c>
      <c r="AF192">
        <f>1/'vehicles specifications'!$M58</f>
        <v>2.6315789473684209E-2</v>
      </c>
      <c r="AG192">
        <f>1/'vehicles specifications'!$M58</f>
        <v>2.6315789473684209E-2</v>
      </c>
      <c r="AH192">
        <f>1/'vehicles specifications'!$M58</f>
        <v>2.6315789473684209E-2</v>
      </c>
      <c r="AI192">
        <f>1/'vehicles specifications'!$M58</f>
        <v>2.6315789473684209E-2</v>
      </c>
      <c r="AJ192">
        <f>1/'vehicles specifications'!$M58</f>
        <v>2.6315789473684209E-2</v>
      </c>
      <c r="AK192">
        <f>1/'vehicles specifications'!$M58</f>
        <v>2.6315789473684209E-2</v>
      </c>
      <c r="AL192">
        <f>1/'vehicles specifications'!$M58</f>
        <v>2.6315789473684209E-2</v>
      </c>
      <c r="AM192">
        <f>1/'vehicles specifications'!$M58</f>
        <v>2.6315789473684209E-2</v>
      </c>
      <c r="AN192">
        <f>1/'vehicles specifications'!$M58</f>
        <v>2.6315789473684209E-2</v>
      </c>
      <c r="AO192">
        <f>1/'vehicles specifications'!$M58</f>
        <v>2.6315789473684209E-2</v>
      </c>
      <c r="AP192">
        <f>1/'vehicles specifications'!$M58</f>
        <v>2.6315789473684209E-2</v>
      </c>
      <c r="AQ192">
        <f>1/'vehicles specifications'!$M58</f>
        <v>2.6315789473684209E-2</v>
      </c>
      <c r="AR192">
        <f>1/'vehicles specifications'!$M58</f>
        <v>2.6315789473684209E-2</v>
      </c>
      <c r="AS192">
        <f>1/'vehicles specifications'!$M58</f>
        <v>2.6315789473684209E-2</v>
      </c>
      <c r="AT192">
        <f>1/'vehicles specifications'!$M58</f>
        <v>2.6315789473684209E-2</v>
      </c>
      <c r="AU192">
        <f>1/'vehicles specifications'!$M58</f>
        <v>2.6315789473684209E-2</v>
      </c>
      <c r="AV192">
        <f>1/'vehicles specifications'!$M58</f>
        <v>2.6315789473684209E-2</v>
      </c>
      <c r="AW192">
        <f>1/'vehicles specifications'!$M58</f>
        <v>2.6315789473684209E-2</v>
      </c>
      <c r="AX192">
        <f>1/'vehicles specifications'!$M58</f>
        <v>2.6315789473684209E-2</v>
      </c>
      <c r="AY192">
        <f>1/'vehicles specifications'!$M58</f>
        <v>2.6315789473684209E-2</v>
      </c>
      <c r="AZ192">
        <f>1/'vehicles specifications'!$M58</f>
        <v>2.6315789473684209E-2</v>
      </c>
      <c r="BA192">
        <f>1/'vehicles specifications'!$M58</f>
        <v>2.6315789473684209E-2</v>
      </c>
      <c r="BB192">
        <f>1/'vehicles specifications'!$M58</f>
        <v>2.6315789473684209E-2</v>
      </c>
      <c r="BC192">
        <f>1/'vehicles specifications'!$M58</f>
        <v>2.6315789473684209E-2</v>
      </c>
      <c r="BD192">
        <f>1/'vehicles specifications'!$M58</f>
        <v>2.6315789473684209E-2</v>
      </c>
      <c r="BE192">
        <f>1/'vehicles specifications'!$M58</f>
        <v>2.6315789473684209E-2</v>
      </c>
      <c r="BF192">
        <f>1/'vehicles specifications'!$M58</f>
        <v>2.6315789473684209E-2</v>
      </c>
      <c r="BG192">
        <f>1/'vehicles specifications'!$M58</f>
        <v>2.6315789473684209E-2</v>
      </c>
      <c r="BH192">
        <f>1/'vehicles specifications'!$M58</f>
        <v>2.6315789473684209E-2</v>
      </c>
      <c r="BI192">
        <f>1/'vehicles specifications'!$M58</f>
        <v>2.6315789473684209E-2</v>
      </c>
      <c r="BJ192">
        <f>-1/'vehicles specifications'!$M58</f>
        <v>-2.6315789473684209E-2</v>
      </c>
      <c r="BK192">
        <f>-1/'vehicles specifications'!$M58</f>
        <v>-2.6315789473684209E-2</v>
      </c>
      <c r="BL192">
        <f>-1/'vehicles specifications'!$M58</f>
        <v>-2.6315789473684209E-2</v>
      </c>
    </row>
    <row r="193" spans="1:64" x14ac:dyDescent="0.2">
      <c r="A193" t="s">
        <v>357</v>
      </c>
      <c r="B193">
        <f t="shared" ref="B193:D210" si="11">1/90</f>
        <v>1.1111111111111112E-2</v>
      </c>
      <c r="C193" s="2">
        <f>'vehicles specifications'!S59</f>
        <v>41.962499999999999</v>
      </c>
      <c r="D193">
        <f t="shared" si="11"/>
        <v>1.1111111111111112E-2</v>
      </c>
      <c r="F193">
        <f>1+'vehicles specifications'!AD59</f>
        <v>1</v>
      </c>
      <c r="G193">
        <f>1+'vehicles specifications'!AD59</f>
        <v>1</v>
      </c>
      <c r="H193">
        <v>1</v>
      </c>
      <c r="I193">
        <v>1</v>
      </c>
      <c r="K193">
        <f>1/('fuels and tailpipe emissions'!$C$3*3.6)</f>
        <v>2.3474178403755867E-2</v>
      </c>
      <c r="L193">
        <f>1/3.6*1.1</f>
        <v>0.30555555555555558</v>
      </c>
      <c r="M193">
        <f>1/'vehicles specifications'!J59</f>
        <v>4.0000000000000003E-5</v>
      </c>
      <c r="N193">
        <v>1</v>
      </c>
      <c r="O193">
        <f>1</f>
        <v>1</v>
      </c>
      <c r="P193">
        <v>-1</v>
      </c>
      <c r="Q193">
        <v>-1</v>
      </c>
      <c r="R193">
        <f>-1-'vehicles specifications'!AD59</f>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row>
    <row r="194" spans="1:64" x14ac:dyDescent="0.2">
      <c r="A194" t="s">
        <v>358</v>
      </c>
      <c r="B194">
        <f t="shared" si="11"/>
        <v>1.1111111111111112E-2</v>
      </c>
      <c r="C194" s="2">
        <f>'vehicles specifications'!S60</f>
        <v>41.962499999999999</v>
      </c>
      <c r="D194">
        <f t="shared" si="11"/>
        <v>1.1111111111111112E-2</v>
      </c>
      <c r="F194">
        <f>1+'vehicles specifications'!AD60</f>
        <v>1</v>
      </c>
      <c r="G194">
        <f>1+'vehicles specifications'!AD60</f>
        <v>1</v>
      </c>
      <c r="H194">
        <v>1</v>
      </c>
      <c r="I194">
        <v>1</v>
      </c>
      <c r="K194">
        <f>1/('fuels and tailpipe emissions'!$C$3*3.6)</f>
        <v>2.3474178403755867E-2</v>
      </c>
      <c r="L194">
        <f t="shared" ref="L194:L293" si="12">1/3.6*1.1</f>
        <v>0.30555555555555558</v>
      </c>
      <c r="M194">
        <f>1/'vehicles specifications'!J60</f>
        <v>4.0000000000000003E-5</v>
      </c>
      <c r="N194">
        <v>1</v>
      </c>
      <c r="O194">
        <f>1</f>
        <v>1</v>
      </c>
      <c r="P194">
        <v>-1</v>
      </c>
      <c r="Q194">
        <v>-1</v>
      </c>
      <c r="R194">
        <f>-1-'vehicles specifications'!AD60</f>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row>
    <row r="195" spans="1:64" x14ac:dyDescent="0.2">
      <c r="A195" t="s">
        <v>359</v>
      </c>
      <c r="B195">
        <f t="shared" si="11"/>
        <v>1.1111111111111112E-2</v>
      </c>
      <c r="C195" s="2">
        <f>'vehicles specifications'!S61</f>
        <v>41.962499999999999</v>
      </c>
      <c r="D195">
        <f t="shared" si="11"/>
        <v>1.1111111111111112E-2</v>
      </c>
      <c r="F195">
        <f>1+'vehicles specifications'!AD61</f>
        <v>1</v>
      </c>
      <c r="G195">
        <f>1+'vehicles specifications'!AD61</f>
        <v>1</v>
      </c>
      <c r="H195">
        <v>1</v>
      </c>
      <c r="I195">
        <v>1</v>
      </c>
      <c r="K195">
        <f>1/('fuels and tailpipe emissions'!$C$3*3.6)</f>
        <v>2.3474178403755867E-2</v>
      </c>
      <c r="L195">
        <f t="shared" si="12"/>
        <v>0.30555555555555558</v>
      </c>
      <c r="M195">
        <f>1/'vehicles specifications'!J61</f>
        <v>4.0000000000000003E-5</v>
      </c>
      <c r="N195">
        <v>1</v>
      </c>
      <c r="O195">
        <f>1</f>
        <v>1</v>
      </c>
      <c r="P195">
        <v>-1</v>
      </c>
      <c r="Q195">
        <v>-1</v>
      </c>
      <c r="R195">
        <f>-1-'vehicles specifications'!AD61</f>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row>
    <row r="196" spans="1:64" x14ac:dyDescent="0.2">
      <c r="A196" t="s">
        <v>360</v>
      </c>
      <c r="B196">
        <f t="shared" si="11"/>
        <v>1.1111111111111112E-2</v>
      </c>
      <c r="C196" s="2">
        <f>'vehicles specifications'!S62</f>
        <v>42.362499999999997</v>
      </c>
      <c r="D196">
        <f t="shared" si="11"/>
        <v>1.1111111111111112E-2</v>
      </c>
      <c r="F196">
        <f>1+'vehicles specifications'!AD62</f>
        <v>1</v>
      </c>
      <c r="G196">
        <f>1+'vehicles specifications'!AD62</f>
        <v>1</v>
      </c>
      <c r="H196">
        <v>1</v>
      </c>
      <c r="I196">
        <v>1</v>
      </c>
      <c r="K196">
        <f>1/('fuels and tailpipe emissions'!$C$3*3.6)</f>
        <v>2.3474178403755867E-2</v>
      </c>
      <c r="L196">
        <f t="shared" si="12"/>
        <v>0.30555555555555558</v>
      </c>
      <c r="M196">
        <f>1/'vehicles specifications'!J62</f>
        <v>4.0000000000000003E-5</v>
      </c>
      <c r="N196">
        <v>1</v>
      </c>
      <c r="O196">
        <f>1</f>
        <v>1</v>
      </c>
      <c r="P196">
        <v>-1</v>
      </c>
      <c r="Q196">
        <v>-1</v>
      </c>
      <c r="R196">
        <f>-1-'vehicles specifications'!AD62</f>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row>
    <row r="197" spans="1:64" x14ac:dyDescent="0.2">
      <c r="A197" t="s">
        <v>361</v>
      </c>
      <c r="B197">
        <f t="shared" si="11"/>
        <v>1.1111111111111112E-2</v>
      </c>
      <c r="C197" s="2">
        <f>'vehicles specifications'!S63</f>
        <v>42.862499999999997</v>
      </c>
      <c r="D197">
        <f t="shared" si="11"/>
        <v>1.1111111111111112E-2</v>
      </c>
      <c r="F197">
        <f>1+'vehicles specifications'!AD63</f>
        <v>1</v>
      </c>
      <c r="G197">
        <f>1+'vehicles specifications'!AD63</f>
        <v>1</v>
      </c>
      <c r="H197">
        <v>1</v>
      </c>
      <c r="I197">
        <v>1</v>
      </c>
      <c r="K197">
        <f>1/('fuels and tailpipe emissions'!$C$3*3.6)</f>
        <v>2.3474178403755867E-2</v>
      </c>
      <c r="L197">
        <f t="shared" si="12"/>
        <v>0.30555555555555558</v>
      </c>
      <c r="M197">
        <f>1/'vehicles specifications'!J63</f>
        <v>4.0000000000000003E-5</v>
      </c>
      <c r="N197">
        <v>1</v>
      </c>
      <c r="O197">
        <f>1</f>
        <v>1</v>
      </c>
      <c r="P197">
        <v>-1</v>
      </c>
      <c r="Q197">
        <v>-1</v>
      </c>
      <c r="R197">
        <f>-1-'vehicles specifications'!AD63</f>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row>
    <row r="198" spans="1:64" x14ac:dyDescent="0.2">
      <c r="A198" t="s">
        <v>362</v>
      </c>
      <c r="B198">
        <f t="shared" si="11"/>
        <v>1.1111111111111112E-2</v>
      </c>
      <c r="C198" s="2">
        <f>'vehicles specifications'!S64</f>
        <v>43.262500000000003</v>
      </c>
      <c r="D198">
        <f t="shared" si="11"/>
        <v>1.1111111111111112E-2</v>
      </c>
      <c r="F198">
        <f>1+'vehicles specifications'!AD64</f>
        <v>1</v>
      </c>
      <c r="G198">
        <f>1+'vehicles specifications'!AD64</f>
        <v>1</v>
      </c>
      <c r="H198">
        <v>1</v>
      </c>
      <c r="I198">
        <v>1</v>
      </c>
      <c r="K198">
        <f>1/('fuels and tailpipe emissions'!$C$3*3.6)</f>
        <v>2.3474178403755867E-2</v>
      </c>
      <c r="L198">
        <f t="shared" si="12"/>
        <v>0.30555555555555558</v>
      </c>
      <c r="M198">
        <f>1/'vehicles specifications'!J64</f>
        <v>4.0000000000000003E-5</v>
      </c>
      <c r="N198">
        <v>1</v>
      </c>
      <c r="O198">
        <f>1</f>
        <v>1</v>
      </c>
      <c r="P198">
        <v>-1</v>
      </c>
      <c r="Q198">
        <v>-1</v>
      </c>
      <c r="R198">
        <f>-1-'vehicles specifications'!AD64</f>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row>
    <row r="199" spans="1:64" x14ac:dyDescent="0.2">
      <c r="A199" t="s">
        <v>387</v>
      </c>
      <c r="B199">
        <f t="shared" si="11"/>
        <v>1.1111111111111112E-2</v>
      </c>
      <c r="C199" s="2">
        <f>'vehicles specifications'!S65</f>
        <v>53</v>
      </c>
      <c r="D199">
        <f t="shared" si="11"/>
        <v>1.1111111111111112E-2</v>
      </c>
      <c r="F199">
        <f>1+'vehicles specifications'!AD65</f>
        <v>1</v>
      </c>
      <c r="G199">
        <f>1+'vehicles specifications'!AD65</f>
        <v>1</v>
      </c>
      <c r="H199">
        <v>1</v>
      </c>
      <c r="I199">
        <v>1</v>
      </c>
      <c r="K199">
        <f>1/('fuels and tailpipe emissions'!$C$3*3.6)</f>
        <v>2.3474178403755867E-2</v>
      </c>
      <c r="L199">
        <f t="shared" si="12"/>
        <v>0.30555555555555558</v>
      </c>
      <c r="M199">
        <f>1/'vehicles specifications'!J65</f>
        <v>4.0000000000000003E-5</v>
      </c>
      <c r="N199">
        <v>1</v>
      </c>
      <c r="O199">
        <f>1</f>
        <v>1</v>
      </c>
      <c r="P199">
        <v>-1</v>
      </c>
      <c r="Q199">
        <v>-1</v>
      </c>
      <c r="R199">
        <f>-1-'vehicles specifications'!AD65</f>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row>
    <row r="200" spans="1:64" x14ac:dyDescent="0.2">
      <c r="A200" t="s">
        <v>388</v>
      </c>
      <c r="B200">
        <f t="shared" si="11"/>
        <v>1.1111111111111112E-2</v>
      </c>
      <c r="C200" s="2">
        <f>'vehicles specifications'!S66</f>
        <v>53</v>
      </c>
      <c r="D200">
        <f t="shared" si="11"/>
        <v>1.1111111111111112E-2</v>
      </c>
      <c r="F200">
        <f>1+'vehicles specifications'!AD66</f>
        <v>1</v>
      </c>
      <c r="G200">
        <f>1+'vehicles specifications'!AD66</f>
        <v>1</v>
      </c>
      <c r="H200">
        <v>1</v>
      </c>
      <c r="I200">
        <v>1</v>
      </c>
      <c r="K200">
        <f>1/('fuels and tailpipe emissions'!$C$3*3.6)</f>
        <v>2.3474178403755867E-2</v>
      </c>
      <c r="L200">
        <f t="shared" si="12"/>
        <v>0.30555555555555558</v>
      </c>
      <c r="M200">
        <f>1/'vehicles specifications'!J66</f>
        <v>4.0000000000000003E-5</v>
      </c>
      <c r="N200">
        <v>1</v>
      </c>
      <c r="O200">
        <f>1</f>
        <v>1</v>
      </c>
      <c r="P200">
        <v>-1</v>
      </c>
      <c r="Q200">
        <v>-1</v>
      </c>
      <c r="R200">
        <f>-1-'vehicles specifications'!AD66</f>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row>
    <row r="201" spans="1:64" x14ac:dyDescent="0.2">
      <c r="A201" t="s">
        <v>389</v>
      </c>
      <c r="B201">
        <f t="shared" si="11"/>
        <v>1.1111111111111112E-2</v>
      </c>
      <c r="C201" s="2">
        <f>'vehicles specifications'!S67</f>
        <v>53</v>
      </c>
      <c r="D201">
        <f t="shared" si="11"/>
        <v>1.1111111111111112E-2</v>
      </c>
      <c r="F201">
        <f>1+'vehicles specifications'!AD67</f>
        <v>1</v>
      </c>
      <c r="G201">
        <f>1+'vehicles specifications'!AD67</f>
        <v>1</v>
      </c>
      <c r="H201">
        <v>1</v>
      </c>
      <c r="I201">
        <v>1</v>
      </c>
      <c r="K201">
        <f>1/('fuels and tailpipe emissions'!$C$3*3.6)</f>
        <v>2.3474178403755867E-2</v>
      </c>
      <c r="L201">
        <f t="shared" si="12"/>
        <v>0.30555555555555558</v>
      </c>
      <c r="M201">
        <f>1/'vehicles specifications'!J67</f>
        <v>4.0000000000000003E-5</v>
      </c>
      <c r="N201">
        <v>1</v>
      </c>
      <c r="O201">
        <f>1</f>
        <v>1</v>
      </c>
      <c r="P201">
        <v>-1</v>
      </c>
      <c r="Q201">
        <v>-1</v>
      </c>
      <c r="R201">
        <f>-1-'vehicles specifications'!AD67</f>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row>
    <row r="202" spans="1:64" x14ac:dyDescent="0.2">
      <c r="A202" t="s">
        <v>390</v>
      </c>
      <c r="B202">
        <f t="shared" si="11"/>
        <v>1.1111111111111112E-2</v>
      </c>
      <c r="C202" s="2">
        <f>'vehicles specifications'!S68</f>
        <v>53</v>
      </c>
      <c r="D202">
        <f t="shared" si="11"/>
        <v>1.1111111111111112E-2</v>
      </c>
      <c r="F202">
        <f>1+'vehicles specifications'!AD68</f>
        <v>1</v>
      </c>
      <c r="G202">
        <f>1+'vehicles specifications'!AD68</f>
        <v>1</v>
      </c>
      <c r="H202">
        <v>1</v>
      </c>
      <c r="I202">
        <v>1</v>
      </c>
      <c r="K202">
        <f>1/('fuels and tailpipe emissions'!$C$3*3.6)</f>
        <v>2.3474178403755867E-2</v>
      </c>
      <c r="L202">
        <f t="shared" si="12"/>
        <v>0.30555555555555558</v>
      </c>
      <c r="M202">
        <f>1/'vehicles specifications'!J68</f>
        <v>4.0000000000000003E-5</v>
      </c>
      <c r="N202">
        <v>1</v>
      </c>
      <c r="O202">
        <f>1</f>
        <v>1</v>
      </c>
      <c r="P202">
        <v>-1</v>
      </c>
      <c r="Q202">
        <v>-1</v>
      </c>
      <c r="R202">
        <f>-1-'vehicles specifications'!AD68</f>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row>
    <row r="203" spans="1:64" x14ac:dyDescent="0.2">
      <c r="A203" t="s">
        <v>391</v>
      </c>
      <c r="B203">
        <f t="shared" si="11"/>
        <v>1.1111111111111112E-2</v>
      </c>
      <c r="C203" s="2">
        <f>'vehicles specifications'!S69</f>
        <v>53</v>
      </c>
      <c r="D203">
        <f t="shared" si="11"/>
        <v>1.1111111111111112E-2</v>
      </c>
      <c r="F203">
        <f>1+'vehicles specifications'!AD69</f>
        <v>1</v>
      </c>
      <c r="G203">
        <f>1+'vehicles specifications'!AD69</f>
        <v>1</v>
      </c>
      <c r="H203">
        <v>1</v>
      </c>
      <c r="I203">
        <v>1</v>
      </c>
      <c r="K203">
        <f>1/('fuels and tailpipe emissions'!$C$3*3.6)</f>
        <v>2.3474178403755867E-2</v>
      </c>
      <c r="L203">
        <f t="shared" si="12"/>
        <v>0.30555555555555558</v>
      </c>
      <c r="M203">
        <f>1/'vehicles specifications'!J69</f>
        <v>4.0000000000000003E-5</v>
      </c>
      <c r="N203">
        <v>1</v>
      </c>
      <c r="O203">
        <f>1</f>
        <v>1</v>
      </c>
      <c r="P203">
        <v>-1</v>
      </c>
      <c r="Q203">
        <v>-1</v>
      </c>
      <c r="R203">
        <f>-1-'vehicles specifications'!AD69</f>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row>
    <row r="204" spans="1:64" x14ac:dyDescent="0.2">
      <c r="A204" t="s">
        <v>392</v>
      </c>
      <c r="B204">
        <f t="shared" si="11"/>
        <v>1.1111111111111112E-2</v>
      </c>
      <c r="C204" s="2">
        <f>'vehicles specifications'!S70</f>
        <v>53</v>
      </c>
      <c r="D204">
        <f t="shared" si="11"/>
        <v>1.1111111111111112E-2</v>
      </c>
      <c r="F204">
        <f>1+'vehicles specifications'!AD70</f>
        <v>1</v>
      </c>
      <c r="G204">
        <f>1+'vehicles specifications'!AD70</f>
        <v>1</v>
      </c>
      <c r="H204">
        <v>1</v>
      </c>
      <c r="I204">
        <v>1</v>
      </c>
      <c r="K204">
        <f>1/('fuels and tailpipe emissions'!$C$3*3.6)</f>
        <v>2.3474178403755867E-2</v>
      </c>
      <c r="L204">
        <f t="shared" si="12"/>
        <v>0.30555555555555558</v>
      </c>
      <c r="M204">
        <f>1/'vehicles specifications'!J70</f>
        <v>4.0000000000000003E-5</v>
      </c>
      <c r="N204">
        <v>1</v>
      </c>
      <c r="O204">
        <f>1</f>
        <v>1</v>
      </c>
      <c r="P204">
        <v>-1</v>
      </c>
      <c r="Q204">
        <v>-1</v>
      </c>
      <c r="R204">
        <f>-1-'vehicles specifications'!AD70</f>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row>
    <row r="205" spans="1:64" x14ac:dyDescent="0.2">
      <c r="A205" t="s">
        <v>348</v>
      </c>
      <c r="B205">
        <f t="shared" si="11"/>
        <v>1.1111111111111112E-2</v>
      </c>
      <c r="C205" s="2">
        <f>'vehicles specifications'!S71</f>
        <v>70</v>
      </c>
      <c r="D205">
        <f t="shared" si="11"/>
        <v>1.1111111111111112E-2</v>
      </c>
      <c r="F205">
        <f>1+'vehicles specifications'!AD71</f>
        <v>1</v>
      </c>
      <c r="G205">
        <f>1+'vehicles specifications'!AD71</f>
        <v>1</v>
      </c>
      <c r="H205">
        <v>1</v>
      </c>
      <c r="I205">
        <v>1</v>
      </c>
      <c r="K205">
        <f>1/('fuels and tailpipe emissions'!$C$3*3.6)</f>
        <v>2.3474178403755867E-2</v>
      </c>
      <c r="L205">
        <f t="shared" si="12"/>
        <v>0.30555555555555558</v>
      </c>
      <c r="M205">
        <f>1/'vehicles specifications'!J71</f>
        <v>3.3333333333333335E-5</v>
      </c>
      <c r="N205">
        <v>1</v>
      </c>
      <c r="O205">
        <f>1</f>
        <v>1</v>
      </c>
      <c r="P205">
        <v>-1</v>
      </c>
      <c r="Q205">
        <v>-1</v>
      </c>
      <c r="R205">
        <f>-1-'vehicles specifications'!AD71</f>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row>
    <row r="206" spans="1:64" x14ac:dyDescent="0.2">
      <c r="A206" t="s">
        <v>349</v>
      </c>
      <c r="B206">
        <f t="shared" si="11"/>
        <v>1.1111111111111112E-2</v>
      </c>
      <c r="C206" s="2">
        <f>'vehicles specifications'!S72</f>
        <v>70</v>
      </c>
      <c r="D206">
        <f t="shared" si="11"/>
        <v>1.1111111111111112E-2</v>
      </c>
      <c r="F206">
        <f>1+'vehicles specifications'!AD72</f>
        <v>1</v>
      </c>
      <c r="G206">
        <f>1+'vehicles specifications'!AD72</f>
        <v>1</v>
      </c>
      <c r="H206">
        <v>1</v>
      </c>
      <c r="I206">
        <v>1</v>
      </c>
      <c r="K206">
        <f>1/('fuels and tailpipe emissions'!$C$3*3.6)</f>
        <v>2.3474178403755867E-2</v>
      </c>
      <c r="L206">
        <f t="shared" si="12"/>
        <v>0.30555555555555558</v>
      </c>
      <c r="M206">
        <f>1/'vehicles specifications'!J72</f>
        <v>3.3333333333333335E-5</v>
      </c>
      <c r="N206">
        <v>1</v>
      </c>
      <c r="O206">
        <f>1</f>
        <v>1</v>
      </c>
      <c r="P206">
        <v>-1</v>
      </c>
      <c r="Q206">
        <v>-1</v>
      </c>
      <c r="R206">
        <f>-1-'vehicles specifications'!AD72</f>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row>
    <row r="207" spans="1:64" x14ac:dyDescent="0.2">
      <c r="A207" t="s">
        <v>350</v>
      </c>
      <c r="B207">
        <f t="shared" si="11"/>
        <v>1.1111111111111112E-2</v>
      </c>
      <c r="C207" s="2">
        <f>'vehicles specifications'!S73</f>
        <v>70</v>
      </c>
      <c r="D207">
        <f t="shared" si="11"/>
        <v>1.1111111111111112E-2</v>
      </c>
      <c r="F207">
        <f>1+'vehicles specifications'!AD73</f>
        <v>1</v>
      </c>
      <c r="G207">
        <f>1+'vehicles specifications'!AD73</f>
        <v>1</v>
      </c>
      <c r="H207">
        <v>1</v>
      </c>
      <c r="I207">
        <v>1</v>
      </c>
      <c r="K207">
        <f>1/('fuels and tailpipe emissions'!$C$3*3.6)</f>
        <v>2.3474178403755867E-2</v>
      </c>
      <c r="L207">
        <f t="shared" si="12"/>
        <v>0.30555555555555558</v>
      </c>
      <c r="M207">
        <f>1/'vehicles specifications'!J73</f>
        <v>3.3333333333333335E-5</v>
      </c>
      <c r="N207">
        <v>1</v>
      </c>
      <c r="O207">
        <f>1</f>
        <v>1</v>
      </c>
      <c r="P207">
        <v>-1</v>
      </c>
      <c r="Q207">
        <v>-1</v>
      </c>
      <c r="R207">
        <f>-1-'vehicles specifications'!AD73</f>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row>
    <row r="208" spans="1:64" x14ac:dyDescent="0.2">
      <c r="A208" t="s">
        <v>351</v>
      </c>
      <c r="B208">
        <f t="shared" si="11"/>
        <v>1.1111111111111112E-2</v>
      </c>
      <c r="C208" s="2">
        <f>'vehicles specifications'!S74</f>
        <v>70</v>
      </c>
      <c r="D208">
        <f t="shared" si="11"/>
        <v>1.1111111111111112E-2</v>
      </c>
      <c r="F208">
        <f>1+'vehicles specifications'!AD74</f>
        <v>1</v>
      </c>
      <c r="G208">
        <f>1+'vehicles specifications'!AD74</f>
        <v>1</v>
      </c>
      <c r="H208">
        <v>1</v>
      </c>
      <c r="I208">
        <v>1</v>
      </c>
      <c r="K208">
        <f>1/('fuels and tailpipe emissions'!$C$3*3.6)</f>
        <v>2.3474178403755867E-2</v>
      </c>
      <c r="L208">
        <f t="shared" si="12"/>
        <v>0.30555555555555558</v>
      </c>
      <c r="M208">
        <f>1/'vehicles specifications'!J74</f>
        <v>3.3333333333333335E-5</v>
      </c>
      <c r="N208">
        <v>1</v>
      </c>
      <c r="O208">
        <f>1</f>
        <v>1</v>
      </c>
      <c r="P208">
        <v>-1</v>
      </c>
      <c r="Q208">
        <v>-1</v>
      </c>
      <c r="R208">
        <f>-1-'vehicles specifications'!AD74</f>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row>
    <row r="209" spans="1:64" x14ac:dyDescent="0.2">
      <c r="A209" t="s">
        <v>352</v>
      </c>
      <c r="B209">
        <f t="shared" si="11"/>
        <v>1.1111111111111112E-2</v>
      </c>
      <c r="C209" s="2">
        <f>'vehicles specifications'!S75</f>
        <v>70</v>
      </c>
      <c r="D209">
        <f t="shared" si="11"/>
        <v>1.1111111111111112E-2</v>
      </c>
      <c r="F209">
        <f>1+'vehicles specifications'!AD75</f>
        <v>1</v>
      </c>
      <c r="G209">
        <f>1+'vehicles specifications'!AD75</f>
        <v>1</v>
      </c>
      <c r="H209">
        <v>1</v>
      </c>
      <c r="I209">
        <v>1</v>
      </c>
      <c r="K209">
        <f>1/('fuels and tailpipe emissions'!$C$3*3.6)</f>
        <v>2.3474178403755867E-2</v>
      </c>
      <c r="L209">
        <f t="shared" si="12"/>
        <v>0.30555555555555558</v>
      </c>
      <c r="M209">
        <f>1/'vehicles specifications'!J75</f>
        <v>3.3333333333333335E-5</v>
      </c>
      <c r="N209">
        <v>1</v>
      </c>
      <c r="O209">
        <f>1</f>
        <v>1</v>
      </c>
      <c r="P209">
        <v>-1</v>
      </c>
      <c r="Q209">
        <v>-1</v>
      </c>
      <c r="R209">
        <f>-1-'vehicles specifications'!AD75</f>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row>
    <row r="210" spans="1:64" x14ac:dyDescent="0.2">
      <c r="A210" t="s">
        <v>353</v>
      </c>
      <c r="B210">
        <f t="shared" si="11"/>
        <v>1.1111111111111112E-2</v>
      </c>
      <c r="C210" s="2">
        <f>'vehicles specifications'!S76</f>
        <v>70</v>
      </c>
      <c r="D210">
        <f t="shared" si="11"/>
        <v>1.1111111111111112E-2</v>
      </c>
      <c r="F210">
        <f>1+'vehicles specifications'!AD76</f>
        <v>1</v>
      </c>
      <c r="G210">
        <f>1+'vehicles specifications'!AD76</f>
        <v>1</v>
      </c>
      <c r="H210">
        <v>1</v>
      </c>
      <c r="I210">
        <v>1</v>
      </c>
      <c r="K210">
        <f>1/('fuels and tailpipe emissions'!$C$3*3.6)</f>
        <v>2.3474178403755867E-2</v>
      </c>
      <c r="L210">
        <f t="shared" si="12"/>
        <v>0.30555555555555558</v>
      </c>
      <c r="M210">
        <f>1/'vehicles specifications'!J76</f>
        <v>3.3333333333333335E-5</v>
      </c>
      <c r="N210">
        <v>1</v>
      </c>
      <c r="O210">
        <f>1</f>
        <v>1</v>
      </c>
      <c r="P210">
        <v>-1</v>
      </c>
      <c r="Q210">
        <v>-1</v>
      </c>
      <c r="R210">
        <f>-1-'vehicles specifications'!AD76</f>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row>
    <row r="211" spans="1:64" x14ac:dyDescent="0.2">
      <c r="A211" t="s">
        <v>534</v>
      </c>
      <c r="B211">
        <v>1</v>
      </c>
      <c r="C211" s="2">
        <f>'vehicles specifications'!S77</f>
        <v>73</v>
      </c>
      <c r="D211">
        <v>1</v>
      </c>
      <c r="E211">
        <v>1</v>
      </c>
      <c r="F211">
        <f>1+'vehicles specifications'!AD77</f>
        <v>2</v>
      </c>
      <c r="G211">
        <f>1+'vehicles specifications'!AD77</f>
        <v>2</v>
      </c>
      <c r="J211">
        <v>1</v>
      </c>
      <c r="K211">
        <f>1/('fuels and tailpipe emissions'!$C$3*3.6)</f>
        <v>2.3474178403755867E-2</v>
      </c>
      <c r="L211">
        <f t="shared" si="12"/>
        <v>0.30555555555555558</v>
      </c>
      <c r="M211">
        <f>1/'vehicles specifications'!J77</f>
        <v>4.0000000000000003E-5</v>
      </c>
      <c r="N211">
        <v>1</v>
      </c>
      <c r="O211">
        <f>1</f>
        <v>1</v>
      </c>
      <c r="P211">
        <v>1</v>
      </c>
      <c r="Q211">
        <v>1</v>
      </c>
      <c r="R211">
        <f>-1-'vehicles specifications'!AD77</f>
        <v>-2</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row>
    <row r="212" spans="1:64" x14ac:dyDescent="0.2">
      <c r="A212" t="s">
        <v>535</v>
      </c>
      <c r="B212">
        <v>1</v>
      </c>
      <c r="C212" s="2">
        <f>'vehicles specifications'!S78</f>
        <v>73</v>
      </c>
      <c r="D212">
        <v>1</v>
      </c>
      <c r="E212">
        <v>1</v>
      </c>
      <c r="F212">
        <f>1+'vehicles specifications'!AD78</f>
        <v>1.5</v>
      </c>
      <c r="G212">
        <f>1+'vehicles specifications'!AD78</f>
        <v>1.5</v>
      </c>
      <c r="J212">
        <v>1</v>
      </c>
      <c r="K212">
        <f>1/('fuels and tailpipe emissions'!$C$3*3.6)</f>
        <v>2.3474178403755867E-2</v>
      </c>
      <c r="L212">
        <f t="shared" si="12"/>
        <v>0.30555555555555558</v>
      </c>
      <c r="M212">
        <f>1/'vehicles specifications'!J78</f>
        <v>4.0000000000000003E-5</v>
      </c>
      <c r="N212">
        <v>1</v>
      </c>
      <c r="O212">
        <f>1</f>
        <v>1</v>
      </c>
      <c r="P212">
        <v>1</v>
      </c>
      <c r="Q212">
        <v>1</v>
      </c>
      <c r="R212">
        <f>-1-'vehicles specifications'!AD78</f>
        <v>-1.5</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row>
    <row r="213" spans="1:64" x14ac:dyDescent="0.2">
      <c r="A213" t="s">
        <v>536</v>
      </c>
      <c r="B213">
        <v>1</v>
      </c>
      <c r="C213" s="2">
        <f>'vehicles specifications'!S79</f>
        <v>73</v>
      </c>
      <c r="D213">
        <v>1</v>
      </c>
      <c r="E213">
        <v>1</v>
      </c>
      <c r="F213">
        <f>1+'vehicles specifications'!AD79</f>
        <v>1.25</v>
      </c>
      <c r="G213">
        <f>1+'vehicles specifications'!AD79</f>
        <v>1.25</v>
      </c>
      <c r="J213">
        <v>1</v>
      </c>
      <c r="K213">
        <f>1/('fuels and tailpipe emissions'!$C$3*3.6)</f>
        <v>2.3474178403755867E-2</v>
      </c>
      <c r="L213">
        <f t="shared" si="12"/>
        <v>0.30555555555555558</v>
      </c>
      <c r="M213">
        <f>1/'vehicles specifications'!J79</f>
        <v>4.0000000000000003E-5</v>
      </c>
      <c r="N213">
        <v>1</v>
      </c>
      <c r="O213">
        <f>1</f>
        <v>1</v>
      </c>
      <c r="P213">
        <v>1</v>
      </c>
      <c r="Q213">
        <v>1</v>
      </c>
      <c r="R213">
        <f>-1-'vehicles specifications'!AD79</f>
        <v>-1.25</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row>
    <row r="214" spans="1:64" x14ac:dyDescent="0.2">
      <c r="A214" t="s">
        <v>537</v>
      </c>
      <c r="B214">
        <v>1</v>
      </c>
      <c r="C214" s="2">
        <f>'vehicles specifications'!S80</f>
        <v>73</v>
      </c>
      <c r="D214">
        <v>1</v>
      </c>
      <c r="E214">
        <v>1</v>
      </c>
      <c r="F214">
        <f>1+'vehicles specifications'!AD80</f>
        <v>1</v>
      </c>
      <c r="G214">
        <f>1+'vehicles specifications'!AD80</f>
        <v>1</v>
      </c>
      <c r="J214">
        <v>1</v>
      </c>
      <c r="K214">
        <f>1/('fuels and tailpipe emissions'!$C$3*3.6)</f>
        <v>2.3474178403755867E-2</v>
      </c>
      <c r="L214">
        <f t="shared" si="12"/>
        <v>0.30555555555555558</v>
      </c>
      <c r="M214">
        <f>1/'vehicles specifications'!J80</f>
        <v>4.0000000000000003E-5</v>
      </c>
      <c r="N214">
        <v>1</v>
      </c>
      <c r="O214">
        <f>1</f>
        <v>1</v>
      </c>
      <c r="P214">
        <v>1</v>
      </c>
      <c r="Q214">
        <v>1</v>
      </c>
      <c r="R214">
        <f>-1-'vehicles specifications'!AD80</f>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row>
    <row r="215" spans="1:64" x14ac:dyDescent="0.2">
      <c r="A215" t="s">
        <v>538</v>
      </c>
      <c r="B215">
        <v>1</v>
      </c>
      <c r="C215" s="2">
        <f>'vehicles specifications'!S77</f>
        <v>73</v>
      </c>
      <c r="D215">
        <v>1</v>
      </c>
      <c r="E215">
        <v>1</v>
      </c>
      <c r="F215">
        <f>1+'vehicles specifications'!AD77</f>
        <v>2</v>
      </c>
      <c r="G215">
        <f>1+'vehicles specifications'!AD77</f>
        <v>2</v>
      </c>
      <c r="J215">
        <v>1</v>
      </c>
      <c r="K215">
        <f>1/('fuels and tailpipe emissions'!$C$3*3.6)</f>
        <v>2.3474178403755867E-2</v>
      </c>
      <c r="L215">
        <f t="shared" si="12"/>
        <v>0.30555555555555558</v>
      </c>
      <c r="M215">
        <f>1/'vehicles specifications'!J77</f>
        <v>4.0000000000000003E-5</v>
      </c>
      <c r="N215">
        <v>1</v>
      </c>
      <c r="O215">
        <f>1</f>
        <v>1</v>
      </c>
      <c r="P215">
        <v>1</v>
      </c>
      <c r="Q215">
        <v>1</v>
      </c>
      <c r="R215">
        <f>-1-'vehicles specifications'!AD77</f>
        <v>-2</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row>
    <row r="216" spans="1:64" x14ac:dyDescent="0.2">
      <c r="A216" t="s">
        <v>539</v>
      </c>
      <c r="B216">
        <v>1</v>
      </c>
      <c r="C216" s="2">
        <f>'vehicles specifications'!S78</f>
        <v>73</v>
      </c>
      <c r="D216">
        <v>1</v>
      </c>
      <c r="E216">
        <v>1</v>
      </c>
      <c r="F216">
        <f>1+'vehicles specifications'!AD78</f>
        <v>1.5</v>
      </c>
      <c r="G216">
        <f>1+'vehicles specifications'!AD78</f>
        <v>1.5</v>
      </c>
      <c r="J216">
        <v>1</v>
      </c>
      <c r="K216">
        <f>1/('fuels and tailpipe emissions'!$C$3*3.6)</f>
        <v>2.3474178403755867E-2</v>
      </c>
      <c r="L216">
        <f t="shared" si="12"/>
        <v>0.30555555555555558</v>
      </c>
      <c r="M216">
        <f>1/'vehicles specifications'!J78</f>
        <v>4.0000000000000003E-5</v>
      </c>
      <c r="N216">
        <v>1</v>
      </c>
      <c r="O216">
        <f>1</f>
        <v>1</v>
      </c>
      <c r="P216">
        <v>1</v>
      </c>
      <c r="Q216">
        <v>1</v>
      </c>
      <c r="R216">
        <f>-1-'vehicles specifications'!AD78</f>
        <v>-1.5</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row>
    <row r="217" spans="1:64" x14ac:dyDescent="0.2">
      <c r="A217" t="s">
        <v>540</v>
      </c>
      <c r="B217">
        <v>1</v>
      </c>
      <c r="C217" s="2">
        <f>'vehicles specifications'!S79</f>
        <v>73</v>
      </c>
      <c r="D217">
        <v>1</v>
      </c>
      <c r="E217">
        <v>1</v>
      </c>
      <c r="F217">
        <f>1+'vehicles specifications'!AD79</f>
        <v>1.25</v>
      </c>
      <c r="G217">
        <f>1+'vehicles specifications'!AD79</f>
        <v>1.25</v>
      </c>
      <c r="J217">
        <v>1</v>
      </c>
      <c r="K217">
        <f>1/('fuels and tailpipe emissions'!$C$3*3.6)</f>
        <v>2.3474178403755867E-2</v>
      </c>
      <c r="L217">
        <f t="shared" si="12"/>
        <v>0.30555555555555558</v>
      </c>
      <c r="M217">
        <f>1/'vehicles specifications'!J79</f>
        <v>4.0000000000000003E-5</v>
      </c>
      <c r="N217">
        <v>1</v>
      </c>
      <c r="O217">
        <f>1</f>
        <v>1</v>
      </c>
      <c r="P217">
        <v>1</v>
      </c>
      <c r="Q217">
        <v>1</v>
      </c>
      <c r="R217">
        <f>-1-'vehicles specifications'!AD79</f>
        <v>-1.25</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row>
    <row r="218" spans="1:64" x14ac:dyDescent="0.2">
      <c r="A218" t="s">
        <v>541</v>
      </c>
      <c r="B218">
        <v>1</v>
      </c>
      <c r="C218" s="2">
        <f>'vehicles specifications'!S80</f>
        <v>73</v>
      </c>
      <c r="D218">
        <v>1</v>
      </c>
      <c r="E218">
        <v>1</v>
      </c>
      <c r="F218">
        <f>1+'vehicles specifications'!AD80</f>
        <v>1</v>
      </c>
      <c r="G218">
        <f>1+'vehicles specifications'!AD80</f>
        <v>1</v>
      </c>
      <c r="J218">
        <v>1</v>
      </c>
      <c r="K218">
        <f>1/('fuels and tailpipe emissions'!$C$3*3.6)</f>
        <v>2.3474178403755867E-2</v>
      </c>
      <c r="L218">
        <f t="shared" si="12"/>
        <v>0.30555555555555558</v>
      </c>
      <c r="M218">
        <f>1/'vehicles specifications'!J80</f>
        <v>4.0000000000000003E-5</v>
      </c>
      <c r="N218">
        <v>1</v>
      </c>
      <c r="O218">
        <f>1</f>
        <v>1</v>
      </c>
      <c r="P218">
        <v>1</v>
      </c>
      <c r="Q218">
        <v>1</v>
      </c>
      <c r="R218">
        <f>-1-'vehicles specifications'!AD80</f>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row>
    <row r="219" spans="1:64" x14ac:dyDescent="0.2">
      <c r="A219" t="s">
        <v>542</v>
      </c>
      <c r="B219">
        <v>1</v>
      </c>
      <c r="C219" s="2">
        <f>'vehicles specifications'!S81</f>
        <v>84</v>
      </c>
      <c r="D219">
        <v>1</v>
      </c>
      <c r="E219">
        <v>1</v>
      </c>
      <c r="F219">
        <f>1+'vehicles specifications'!AD81</f>
        <v>2</v>
      </c>
      <c r="G219">
        <f>1+'vehicles specifications'!AD81</f>
        <v>2</v>
      </c>
      <c r="J219">
        <v>1</v>
      </c>
      <c r="K219">
        <f>1/('fuels and tailpipe emissions'!$C$3*3.6)</f>
        <v>2.3474178403755867E-2</v>
      </c>
      <c r="L219">
        <f t="shared" si="12"/>
        <v>0.30555555555555558</v>
      </c>
      <c r="M219">
        <f>1/'vehicles specifications'!J81</f>
        <v>4.0000000000000003E-5</v>
      </c>
      <c r="N219">
        <v>1</v>
      </c>
      <c r="O219">
        <f>1</f>
        <v>1</v>
      </c>
      <c r="P219">
        <v>1</v>
      </c>
      <c r="Q219">
        <v>1</v>
      </c>
      <c r="R219">
        <f>-1-'vehicles specifications'!AD81</f>
        <v>-2</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row>
    <row r="220" spans="1:64" x14ac:dyDescent="0.2">
      <c r="A220" t="s">
        <v>543</v>
      </c>
      <c r="B220">
        <v>1</v>
      </c>
      <c r="C220" s="2">
        <f>'vehicles specifications'!S82</f>
        <v>84</v>
      </c>
      <c r="D220">
        <v>1</v>
      </c>
      <c r="E220">
        <v>1</v>
      </c>
      <c r="F220">
        <f>1+'vehicles specifications'!AD82</f>
        <v>1.5</v>
      </c>
      <c r="G220">
        <f>1+'vehicles specifications'!AD82</f>
        <v>1.5</v>
      </c>
      <c r="J220">
        <v>1</v>
      </c>
      <c r="K220">
        <f>1/('fuels and tailpipe emissions'!$C$3*3.6)</f>
        <v>2.3474178403755867E-2</v>
      </c>
      <c r="L220">
        <f t="shared" si="12"/>
        <v>0.30555555555555558</v>
      </c>
      <c r="M220">
        <f>1/'vehicles specifications'!J82</f>
        <v>4.0000000000000003E-5</v>
      </c>
      <c r="N220">
        <v>1</v>
      </c>
      <c r="O220">
        <f>1</f>
        <v>1</v>
      </c>
      <c r="P220">
        <v>1</v>
      </c>
      <c r="Q220">
        <v>1</v>
      </c>
      <c r="R220">
        <f>-1-'vehicles specifications'!AD82</f>
        <v>-1.5</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row>
    <row r="221" spans="1:64" x14ac:dyDescent="0.2">
      <c r="A221" t="s">
        <v>544</v>
      </c>
      <c r="B221">
        <v>1</v>
      </c>
      <c r="C221" s="2">
        <f>'vehicles specifications'!S83</f>
        <v>84</v>
      </c>
      <c r="D221">
        <v>1</v>
      </c>
      <c r="E221">
        <v>1</v>
      </c>
      <c r="F221">
        <f>1+'vehicles specifications'!AD83</f>
        <v>1.25</v>
      </c>
      <c r="G221">
        <f>1+'vehicles specifications'!AD83</f>
        <v>1.25</v>
      </c>
      <c r="J221">
        <v>1</v>
      </c>
      <c r="K221">
        <f>1/('fuels and tailpipe emissions'!$C$3*3.6)</f>
        <v>2.3474178403755867E-2</v>
      </c>
      <c r="L221">
        <f t="shared" si="12"/>
        <v>0.30555555555555558</v>
      </c>
      <c r="M221">
        <f>1/'vehicles specifications'!J83</f>
        <v>4.0000000000000003E-5</v>
      </c>
      <c r="N221">
        <v>1</v>
      </c>
      <c r="O221">
        <f>1</f>
        <v>1</v>
      </c>
      <c r="P221">
        <v>1</v>
      </c>
      <c r="Q221">
        <v>1</v>
      </c>
      <c r="R221">
        <f>-1-'vehicles specifications'!AD83</f>
        <v>-1.25</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row>
    <row r="222" spans="1:64" x14ac:dyDescent="0.2">
      <c r="A222" t="s">
        <v>545</v>
      </c>
      <c r="B222">
        <v>1</v>
      </c>
      <c r="C222" s="2">
        <f>'vehicles specifications'!S84</f>
        <v>84</v>
      </c>
      <c r="D222">
        <v>1</v>
      </c>
      <c r="E222">
        <v>1</v>
      </c>
      <c r="F222">
        <f>1+'vehicles specifications'!AD84</f>
        <v>1</v>
      </c>
      <c r="G222">
        <f>1+'vehicles specifications'!AD84</f>
        <v>1</v>
      </c>
      <c r="J222">
        <v>1</v>
      </c>
      <c r="K222">
        <f>1/('fuels and tailpipe emissions'!$C$3*3.6)</f>
        <v>2.3474178403755867E-2</v>
      </c>
      <c r="L222">
        <f t="shared" si="12"/>
        <v>0.30555555555555558</v>
      </c>
      <c r="M222">
        <f>1/'vehicles specifications'!J84</f>
        <v>4.0000000000000003E-5</v>
      </c>
      <c r="N222">
        <v>1</v>
      </c>
      <c r="O222">
        <f>1</f>
        <v>1</v>
      </c>
      <c r="P222">
        <v>1</v>
      </c>
      <c r="Q222">
        <v>1</v>
      </c>
      <c r="R222">
        <f>-1-'vehicles specifications'!AD84</f>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row>
    <row r="223" spans="1:64" x14ac:dyDescent="0.2">
      <c r="A223" t="s">
        <v>476</v>
      </c>
      <c r="B223">
        <v>1</v>
      </c>
      <c r="C223" s="2">
        <f>'vehicles specifications'!S81</f>
        <v>84</v>
      </c>
      <c r="D223">
        <v>1</v>
      </c>
      <c r="E223">
        <v>1</v>
      </c>
      <c r="F223">
        <f>1+'vehicles specifications'!AD81</f>
        <v>2</v>
      </c>
      <c r="G223">
        <f>1+'vehicles specifications'!AD81</f>
        <v>2</v>
      </c>
      <c r="J223">
        <v>1</v>
      </c>
      <c r="K223">
        <f>1/('fuels and tailpipe emissions'!$C$3*3.6)</f>
        <v>2.3474178403755867E-2</v>
      </c>
      <c r="L223">
        <f t="shared" si="12"/>
        <v>0.30555555555555558</v>
      </c>
      <c r="M223">
        <f>1/'vehicles specifications'!J81</f>
        <v>4.0000000000000003E-5</v>
      </c>
      <c r="N223">
        <v>1</v>
      </c>
      <c r="O223">
        <f>1</f>
        <v>1</v>
      </c>
      <c r="P223">
        <v>1</v>
      </c>
      <c r="Q223">
        <v>1</v>
      </c>
      <c r="R223">
        <f>-1-'vehicles specifications'!AD81</f>
        <v>-2</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row>
    <row r="224" spans="1:64" x14ac:dyDescent="0.2">
      <c r="A224" t="s">
        <v>477</v>
      </c>
      <c r="B224">
        <v>1</v>
      </c>
      <c r="C224" s="2">
        <f>'vehicles specifications'!S82</f>
        <v>84</v>
      </c>
      <c r="D224">
        <v>1</v>
      </c>
      <c r="E224">
        <v>1</v>
      </c>
      <c r="F224">
        <f>1+'vehicles specifications'!AD82</f>
        <v>1.5</v>
      </c>
      <c r="G224">
        <f>1+'vehicles specifications'!AD82</f>
        <v>1.5</v>
      </c>
      <c r="J224">
        <v>1</v>
      </c>
      <c r="K224">
        <f>1/('fuels and tailpipe emissions'!$C$3*3.6)</f>
        <v>2.3474178403755867E-2</v>
      </c>
      <c r="L224">
        <f t="shared" si="12"/>
        <v>0.30555555555555558</v>
      </c>
      <c r="M224">
        <f>1/'vehicles specifications'!J82</f>
        <v>4.0000000000000003E-5</v>
      </c>
      <c r="N224">
        <v>1</v>
      </c>
      <c r="O224">
        <f>1</f>
        <v>1</v>
      </c>
      <c r="P224">
        <v>1</v>
      </c>
      <c r="Q224">
        <v>1</v>
      </c>
      <c r="R224">
        <f>-1-'vehicles specifications'!AD82</f>
        <v>-1.5</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row>
    <row r="225" spans="1:64" x14ac:dyDescent="0.2">
      <c r="A225" t="s">
        <v>478</v>
      </c>
      <c r="B225">
        <v>1</v>
      </c>
      <c r="C225" s="2">
        <f>'vehicles specifications'!S83</f>
        <v>84</v>
      </c>
      <c r="D225">
        <v>1</v>
      </c>
      <c r="E225">
        <v>1</v>
      </c>
      <c r="F225">
        <f>1+'vehicles specifications'!AD83</f>
        <v>1.25</v>
      </c>
      <c r="G225">
        <f>1+'vehicles specifications'!AD83</f>
        <v>1.25</v>
      </c>
      <c r="J225">
        <v>1</v>
      </c>
      <c r="K225">
        <f>1/('fuels and tailpipe emissions'!$C$3*3.6)</f>
        <v>2.3474178403755867E-2</v>
      </c>
      <c r="L225">
        <f t="shared" si="12"/>
        <v>0.30555555555555558</v>
      </c>
      <c r="M225">
        <f>1/'vehicles specifications'!J83</f>
        <v>4.0000000000000003E-5</v>
      </c>
      <c r="N225">
        <v>1</v>
      </c>
      <c r="O225">
        <f>1</f>
        <v>1</v>
      </c>
      <c r="P225">
        <v>1</v>
      </c>
      <c r="Q225">
        <v>1</v>
      </c>
      <c r="R225">
        <f>-1-'vehicles specifications'!AD83</f>
        <v>-1.25</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row>
    <row r="226" spans="1:64" x14ac:dyDescent="0.2">
      <c r="A226" t="s">
        <v>479</v>
      </c>
      <c r="B226">
        <v>1</v>
      </c>
      <c r="C226" s="2">
        <f>'vehicles specifications'!S84</f>
        <v>84</v>
      </c>
      <c r="D226">
        <v>1</v>
      </c>
      <c r="E226">
        <v>1</v>
      </c>
      <c r="F226">
        <f>1+'vehicles specifications'!AD84</f>
        <v>1</v>
      </c>
      <c r="G226">
        <f>1+'vehicles specifications'!AD84</f>
        <v>1</v>
      </c>
      <c r="J226">
        <v>1</v>
      </c>
      <c r="K226">
        <f>1/('fuels and tailpipe emissions'!$C$3*3.6)</f>
        <v>2.3474178403755867E-2</v>
      </c>
      <c r="L226">
        <f t="shared" si="12"/>
        <v>0.30555555555555558</v>
      </c>
      <c r="M226">
        <f>1/'vehicles specifications'!J84</f>
        <v>4.0000000000000003E-5</v>
      </c>
      <c r="N226">
        <v>1</v>
      </c>
      <c r="O226">
        <f>1</f>
        <v>1</v>
      </c>
      <c r="P226">
        <v>1</v>
      </c>
      <c r="Q226">
        <v>1</v>
      </c>
      <c r="R226">
        <f>-1-'vehicles specifications'!AD84</f>
        <v>-1</v>
      </c>
      <c r="S226">
        <v>1</v>
      </c>
      <c r="T226">
        <v>1</v>
      </c>
      <c r="U226">
        <v>1</v>
      </c>
      <c r="V226">
        <v>1</v>
      </c>
      <c r="W226">
        <v>1</v>
      </c>
      <c r="X226">
        <v>1</v>
      </c>
      <c r="Y226">
        <v>1</v>
      </c>
      <c r="Z226">
        <v>1</v>
      </c>
      <c r="AA226">
        <v>1</v>
      </c>
      <c r="AB226">
        <v>1</v>
      </c>
      <c r="AC226">
        <v>1</v>
      </c>
      <c r="AD226">
        <v>1</v>
      </c>
      <c r="AE226">
        <v>1</v>
      </c>
      <c r="AF226">
        <v>1</v>
      </c>
      <c r="AG226">
        <v>1</v>
      </c>
      <c r="AH226">
        <v>1</v>
      </c>
      <c r="AI226">
        <v>1</v>
      </c>
      <c r="AJ226">
        <v>1</v>
      </c>
      <c r="AK226">
        <v>1</v>
      </c>
      <c r="AL226">
        <v>1</v>
      </c>
      <c r="AM226">
        <v>1</v>
      </c>
      <c r="AN226">
        <v>1</v>
      </c>
      <c r="AO226">
        <v>1</v>
      </c>
      <c r="AP226">
        <v>1</v>
      </c>
      <c r="AQ226">
        <v>1</v>
      </c>
      <c r="AR226">
        <v>1</v>
      </c>
      <c r="AS226">
        <v>1</v>
      </c>
      <c r="AT226">
        <v>1</v>
      </c>
      <c r="AU226">
        <v>1</v>
      </c>
      <c r="AV226">
        <v>1</v>
      </c>
      <c r="AW226">
        <v>1</v>
      </c>
      <c r="AX226">
        <v>1</v>
      </c>
      <c r="AY226">
        <v>1</v>
      </c>
      <c r="AZ226">
        <v>1</v>
      </c>
      <c r="BA226">
        <v>1</v>
      </c>
      <c r="BB226">
        <v>1</v>
      </c>
      <c r="BC226">
        <v>1</v>
      </c>
      <c r="BD226">
        <v>1</v>
      </c>
      <c r="BE226">
        <v>1</v>
      </c>
      <c r="BF226">
        <v>1</v>
      </c>
      <c r="BG226">
        <v>1</v>
      </c>
      <c r="BH226">
        <v>1</v>
      </c>
      <c r="BI226">
        <v>1</v>
      </c>
      <c r="BJ226">
        <v>-1</v>
      </c>
      <c r="BK226">
        <v>-1</v>
      </c>
      <c r="BL226">
        <v>-1</v>
      </c>
    </row>
    <row r="227" spans="1:64" x14ac:dyDescent="0.2">
      <c r="A227" t="s">
        <v>480</v>
      </c>
      <c r="B227">
        <v>1</v>
      </c>
      <c r="C227" s="2">
        <f>'vehicles specifications'!S85</f>
        <v>73</v>
      </c>
      <c r="D227">
        <v>1</v>
      </c>
      <c r="E227">
        <v>1</v>
      </c>
      <c r="F227">
        <f>1+'vehicles specifications'!AD85</f>
        <v>2</v>
      </c>
      <c r="G227">
        <f>1+'vehicles specifications'!AD85</f>
        <v>2</v>
      </c>
      <c r="J227">
        <v>1</v>
      </c>
      <c r="K227">
        <f>1/('fuels and tailpipe emissions'!$C$3*3.6)</f>
        <v>2.3474178403755867E-2</v>
      </c>
      <c r="L227">
        <f t="shared" si="12"/>
        <v>0.30555555555555558</v>
      </c>
      <c r="M227">
        <f>1/'vehicles specifications'!J85</f>
        <v>4.0000000000000003E-5</v>
      </c>
      <c r="N227">
        <v>1</v>
      </c>
      <c r="O227">
        <f>1</f>
        <v>1</v>
      </c>
      <c r="P227">
        <v>1</v>
      </c>
      <c r="Q227">
        <v>1</v>
      </c>
      <c r="R227">
        <f>-1-'vehicles specifications'!AD85</f>
        <v>-2</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c r="AS227">
        <v>1</v>
      </c>
      <c r="AT227">
        <v>1</v>
      </c>
      <c r="AU227">
        <v>1</v>
      </c>
      <c r="AV227">
        <v>1</v>
      </c>
      <c r="AW227">
        <v>1</v>
      </c>
      <c r="AX227">
        <v>1</v>
      </c>
      <c r="AY227">
        <v>1</v>
      </c>
      <c r="AZ227">
        <v>1</v>
      </c>
      <c r="BA227">
        <v>1</v>
      </c>
      <c r="BB227">
        <v>1</v>
      </c>
      <c r="BC227">
        <v>1</v>
      </c>
      <c r="BD227">
        <v>1</v>
      </c>
      <c r="BE227">
        <v>1</v>
      </c>
      <c r="BF227">
        <v>1</v>
      </c>
      <c r="BG227">
        <v>1</v>
      </c>
      <c r="BH227">
        <v>1</v>
      </c>
      <c r="BI227">
        <v>1</v>
      </c>
      <c r="BJ227">
        <v>-1</v>
      </c>
      <c r="BK227">
        <v>-1</v>
      </c>
      <c r="BL227">
        <v>-1</v>
      </c>
    </row>
    <row r="228" spans="1:64" x14ac:dyDescent="0.2">
      <c r="A228" t="s">
        <v>481</v>
      </c>
      <c r="B228">
        <v>1</v>
      </c>
      <c r="C228" s="2">
        <f>'vehicles specifications'!S86</f>
        <v>73</v>
      </c>
      <c r="D228">
        <v>1</v>
      </c>
      <c r="E228">
        <v>1</v>
      </c>
      <c r="F228">
        <f>1+'vehicles specifications'!AD86</f>
        <v>1.5</v>
      </c>
      <c r="G228">
        <f>1+'vehicles specifications'!AD86</f>
        <v>1.5</v>
      </c>
      <c r="J228">
        <v>1</v>
      </c>
      <c r="K228">
        <f>1/('fuels and tailpipe emissions'!$C$3*3.6)</f>
        <v>2.3474178403755867E-2</v>
      </c>
      <c r="L228">
        <f t="shared" si="12"/>
        <v>0.30555555555555558</v>
      </c>
      <c r="M228">
        <f>1/'vehicles specifications'!J86</f>
        <v>4.0000000000000003E-5</v>
      </c>
      <c r="N228">
        <v>1</v>
      </c>
      <c r="O228">
        <f>1</f>
        <v>1</v>
      </c>
      <c r="P228">
        <v>1</v>
      </c>
      <c r="Q228">
        <v>1</v>
      </c>
      <c r="R228">
        <f>-1-'vehicles specifications'!AD86</f>
        <v>-1.5</v>
      </c>
      <c r="S228">
        <v>1</v>
      </c>
      <c r="T228">
        <v>1</v>
      </c>
      <c r="U228">
        <v>1</v>
      </c>
      <c r="V228">
        <v>1</v>
      </c>
      <c r="W228">
        <v>1</v>
      </c>
      <c r="X228">
        <v>1</v>
      </c>
      <c r="Y228">
        <v>1</v>
      </c>
      <c r="Z228">
        <v>1</v>
      </c>
      <c r="AA228">
        <v>1</v>
      </c>
      <c r="AB228">
        <v>1</v>
      </c>
      <c r="AC228">
        <v>1</v>
      </c>
      <c r="AD228">
        <v>1</v>
      </c>
      <c r="AE228">
        <v>1</v>
      </c>
      <c r="AF228">
        <v>1</v>
      </c>
      <c r="AG228">
        <v>1</v>
      </c>
      <c r="AH228">
        <v>1</v>
      </c>
      <c r="AI228">
        <v>1</v>
      </c>
      <c r="AJ228">
        <v>1</v>
      </c>
      <c r="AK228">
        <v>1</v>
      </c>
      <c r="AL228">
        <v>1</v>
      </c>
      <c r="AM228">
        <v>1</v>
      </c>
      <c r="AN228">
        <v>1</v>
      </c>
      <c r="AO228">
        <v>1</v>
      </c>
      <c r="AP228">
        <v>1</v>
      </c>
      <c r="AQ228">
        <v>1</v>
      </c>
      <c r="AR228">
        <v>1</v>
      </c>
      <c r="AS228">
        <v>1</v>
      </c>
      <c r="AT228">
        <v>1</v>
      </c>
      <c r="AU228">
        <v>1</v>
      </c>
      <c r="AV228">
        <v>1</v>
      </c>
      <c r="AW228">
        <v>1</v>
      </c>
      <c r="AX228">
        <v>1</v>
      </c>
      <c r="AY228">
        <v>1</v>
      </c>
      <c r="AZ228">
        <v>1</v>
      </c>
      <c r="BA228">
        <v>1</v>
      </c>
      <c r="BB228">
        <v>1</v>
      </c>
      <c r="BC228">
        <v>1</v>
      </c>
      <c r="BD228">
        <v>1</v>
      </c>
      <c r="BE228">
        <v>1</v>
      </c>
      <c r="BF228">
        <v>1</v>
      </c>
      <c r="BG228">
        <v>1</v>
      </c>
      <c r="BH228">
        <v>1</v>
      </c>
      <c r="BI228">
        <v>1</v>
      </c>
      <c r="BJ228">
        <v>-1</v>
      </c>
      <c r="BK228">
        <v>-1</v>
      </c>
      <c r="BL228">
        <v>-1</v>
      </c>
    </row>
    <row r="229" spans="1:64" x14ac:dyDescent="0.2">
      <c r="A229" t="s">
        <v>482</v>
      </c>
      <c r="B229">
        <v>1</v>
      </c>
      <c r="C229" s="2">
        <f>'vehicles specifications'!S87</f>
        <v>73</v>
      </c>
      <c r="D229">
        <v>1</v>
      </c>
      <c r="E229">
        <v>1</v>
      </c>
      <c r="F229">
        <f>1+'vehicles specifications'!AD87</f>
        <v>1.25</v>
      </c>
      <c r="G229">
        <f>1+'vehicles specifications'!AD87</f>
        <v>1.25</v>
      </c>
      <c r="J229">
        <v>1</v>
      </c>
      <c r="K229">
        <f>1/('fuels and tailpipe emissions'!$C$3*3.6)</f>
        <v>2.3474178403755867E-2</v>
      </c>
      <c r="L229">
        <f t="shared" si="12"/>
        <v>0.30555555555555558</v>
      </c>
      <c r="M229">
        <f>1/'vehicles specifications'!J87</f>
        <v>4.0000000000000003E-5</v>
      </c>
      <c r="N229">
        <v>1</v>
      </c>
      <c r="O229">
        <f>1</f>
        <v>1</v>
      </c>
      <c r="P229">
        <v>1</v>
      </c>
      <c r="Q229">
        <v>1</v>
      </c>
      <c r="R229">
        <f>-1-'vehicles specifications'!AD87</f>
        <v>-1.25</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c r="BA229">
        <v>1</v>
      </c>
      <c r="BB229">
        <v>1</v>
      </c>
      <c r="BC229">
        <v>1</v>
      </c>
      <c r="BD229">
        <v>1</v>
      </c>
      <c r="BE229">
        <v>1</v>
      </c>
      <c r="BF229">
        <v>1</v>
      </c>
      <c r="BG229">
        <v>1</v>
      </c>
      <c r="BH229">
        <v>1</v>
      </c>
      <c r="BI229">
        <v>1</v>
      </c>
      <c r="BJ229">
        <v>-1</v>
      </c>
      <c r="BK229">
        <v>-1</v>
      </c>
      <c r="BL229">
        <v>-1</v>
      </c>
    </row>
    <row r="230" spans="1:64" x14ac:dyDescent="0.2">
      <c r="A230" t="s">
        <v>483</v>
      </c>
      <c r="B230">
        <v>1</v>
      </c>
      <c r="C230" s="2">
        <f>'vehicles specifications'!S88</f>
        <v>73</v>
      </c>
      <c r="D230">
        <v>1</v>
      </c>
      <c r="E230">
        <v>1</v>
      </c>
      <c r="F230">
        <f>1+'vehicles specifications'!AD88</f>
        <v>1</v>
      </c>
      <c r="G230">
        <f>1+'vehicles specifications'!AD88</f>
        <v>1</v>
      </c>
      <c r="J230">
        <v>1</v>
      </c>
      <c r="K230">
        <f>1/('fuels and tailpipe emissions'!$C$3*3.6)</f>
        <v>2.3474178403755867E-2</v>
      </c>
      <c r="L230">
        <f t="shared" si="12"/>
        <v>0.30555555555555558</v>
      </c>
      <c r="M230">
        <f>1/'vehicles specifications'!J88</f>
        <v>4.0000000000000003E-5</v>
      </c>
      <c r="N230">
        <v>1</v>
      </c>
      <c r="O230">
        <f>1</f>
        <v>1</v>
      </c>
      <c r="P230">
        <v>1</v>
      </c>
      <c r="Q230">
        <v>1</v>
      </c>
      <c r="R230">
        <f>-1-'vehicles specifications'!AD88</f>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row>
    <row r="231" spans="1:64" x14ac:dyDescent="0.2">
      <c r="A231" t="s">
        <v>484</v>
      </c>
      <c r="B231">
        <v>1</v>
      </c>
      <c r="C231" s="2">
        <f>'vehicles specifications'!S89</f>
        <v>84</v>
      </c>
      <c r="D231">
        <v>1</v>
      </c>
      <c r="E231">
        <v>1</v>
      </c>
      <c r="F231">
        <f>1+'vehicles specifications'!AD89</f>
        <v>2</v>
      </c>
      <c r="G231">
        <f>1+'vehicles specifications'!AD89</f>
        <v>2</v>
      </c>
      <c r="J231">
        <v>1</v>
      </c>
      <c r="K231">
        <f>1/('fuels and tailpipe emissions'!$C$3*3.6)</f>
        <v>2.3474178403755867E-2</v>
      </c>
      <c r="L231">
        <f t="shared" si="12"/>
        <v>0.30555555555555558</v>
      </c>
      <c r="M231">
        <f>1/'vehicles specifications'!J89</f>
        <v>3.3333333333333335E-5</v>
      </c>
      <c r="N231">
        <v>1</v>
      </c>
      <c r="O231">
        <f>1</f>
        <v>1</v>
      </c>
      <c r="P231">
        <v>1</v>
      </c>
      <c r="Q231">
        <v>1</v>
      </c>
      <c r="R231">
        <f>-1-'vehicles specifications'!AD89</f>
        <v>-2</v>
      </c>
      <c r="S231">
        <v>1</v>
      </c>
      <c r="T231">
        <v>1</v>
      </c>
      <c r="U231">
        <v>1</v>
      </c>
      <c r="V231">
        <v>1</v>
      </c>
      <c r="W231">
        <v>1</v>
      </c>
      <c r="X231">
        <v>1</v>
      </c>
      <c r="Y231">
        <v>1</v>
      </c>
      <c r="Z231">
        <v>1</v>
      </c>
      <c r="AA231">
        <v>1</v>
      </c>
      <c r="AB231">
        <v>1</v>
      </c>
      <c r="AC231">
        <v>1</v>
      </c>
      <c r="AD231">
        <v>1</v>
      </c>
      <c r="AE231">
        <v>1</v>
      </c>
      <c r="AF231">
        <v>1</v>
      </c>
      <c r="AG231">
        <v>1</v>
      </c>
      <c r="AH231">
        <v>1</v>
      </c>
      <c r="AI231">
        <v>1</v>
      </c>
      <c r="AJ231">
        <v>1</v>
      </c>
      <c r="AK231">
        <v>1</v>
      </c>
      <c r="AL231">
        <v>1</v>
      </c>
      <c r="AM231">
        <v>1</v>
      </c>
      <c r="AN231">
        <v>1</v>
      </c>
      <c r="AO231">
        <v>1</v>
      </c>
      <c r="AP231">
        <v>1</v>
      </c>
      <c r="AQ231">
        <v>1</v>
      </c>
      <c r="AR231">
        <v>1</v>
      </c>
      <c r="AS231">
        <v>1</v>
      </c>
      <c r="AT231">
        <v>1</v>
      </c>
      <c r="AU231">
        <v>1</v>
      </c>
      <c r="AV231">
        <v>1</v>
      </c>
      <c r="AW231">
        <v>1</v>
      </c>
      <c r="AX231">
        <v>1</v>
      </c>
      <c r="AY231">
        <v>1</v>
      </c>
      <c r="AZ231">
        <v>1</v>
      </c>
      <c r="BA231">
        <v>1</v>
      </c>
      <c r="BB231">
        <v>1</v>
      </c>
      <c r="BC231">
        <v>1</v>
      </c>
      <c r="BD231">
        <v>1</v>
      </c>
      <c r="BE231">
        <v>1</v>
      </c>
      <c r="BF231">
        <v>1</v>
      </c>
      <c r="BG231">
        <v>1</v>
      </c>
      <c r="BH231">
        <v>1</v>
      </c>
      <c r="BI231">
        <v>1</v>
      </c>
      <c r="BJ231">
        <v>-1</v>
      </c>
      <c r="BK231">
        <v>-1</v>
      </c>
      <c r="BL231">
        <v>-1</v>
      </c>
    </row>
    <row r="232" spans="1:64" x14ac:dyDescent="0.2">
      <c r="A232" t="s">
        <v>485</v>
      </c>
      <c r="B232">
        <v>1</v>
      </c>
      <c r="C232" s="2">
        <f>'vehicles specifications'!S90</f>
        <v>84</v>
      </c>
      <c r="D232">
        <v>1</v>
      </c>
      <c r="E232">
        <v>1</v>
      </c>
      <c r="F232">
        <f>1+'vehicles specifications'!AD90</f>
        <v>1.5</v>
      </c>
      <c r="G232">
        <f>1+'vehicles specifications'!AD90</f>
        <v>1.5</v>
      </c>
      <c r="J232">
        <v>1</v>
      </c>
      <c r="K232">
        <f>1/('fuels and tailpipe emissions'!$C$3*3.6)</f>
        <v>2.3474178403755867E-2</v>
      </c>
      <c r="L232">
        <f t="shared" si="12"/>
        <v>0.30555555555555558</v>
      </c>
      <c r="M232">
        <f>1/'vehicles specifications'!J90</f>
        <v>3.3333333333333335E-5</v>
      </c>
      <c r="N232">
        <v>1</v>
      </c>
      <c r="O232">
        <f>1</f>
        <v>1</v>
      </c>
      <c r="P232">
        <v>1</v>
      </c>
      <c r="Q232">
        <v>1</v>
      </c>
      <c r="R232">
        <f>-1-'vehicles specifications'!AD90</f>
        <v>-1.5</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1</v>
      </c>
      <c r="AQ232">
        <v>1</v>
      </c>
      <c r="AR232">
        <v>1</v>
      </c>
      <c r="AS232">
        <v>1</v>
      </c>
      <c r="AT232">
        <v>1</v>
      </c>
      <c r="AU232">
        <v>1</v>
      </c>
      <c r="AV232">
        <v>1</v>
      </c>
      <c r="AW232">
        <v>1</v>
      </c>
      <c r="AX232">
        <v>1</v>
      </c>
      <c r="AY232">
        <v>1</v>
      </c>
      <c r="AZ232">
        <v>1</v>
      </c>
      <c r="BA232">
        <v>1</v>
      </c>
      <c r="BB232">
        <v>1</v>
      </c>
      <c r="BC232">
        <v>1</v>
      </c>
      <c r="BD232">
        <v>1</v>
      </c>
      <c r="BE232">
        <v>1</v>
      </c>
      <c r="BF232">
        <v>1</v>
      </c>
      <c r="BG232">
        <v>1</v>
      </c>
      <c r="BH232">
        <v>1</v>
      </c>
      <c r="BI232">
        <v>1</v>
      </c>
      <c r="BJ232">
        <v>-1</v>
      </c>
      <c r="BK232">
        <v>-1</v>
      </c>
      <c r="BL232">
        <v>-1</v>
      </c>
    </row>
    <row r="233" spans="1:64" x14ac:dyDescent="0.2">
      <c r="A233" t="s">
        <v>486</v>
      </c>
      <c r="B233">
        <v>1</v>
      </c>
      <c r="C233" s="2">
        <f>'vehicles specifications'!S91</f>
        <v>84</v>
      </c>
      <c r="D233">
        <v>1</v>
      </c>
      <c r="E233">
        <v>1</v>
      </c>
      <c r="F233">
        <f>1+'vehicles specifications'!AD91</f>
        <v>1.25</v>
      </c>
      <c r="G233">
        <f>1+'vehicles specifications'!AD91</f>
        <v>1.25</v>
      </c>
      <c r="J233">
        <v>1</v>
      </c>
      <c r="K233">
        <f>1/('fuels and tailpipe emissions'!$C$3*3.6)</f>
        <v>2.3474178403755867E-2</v>
      </c>
      <c r="L233">
        <f t="shared" si="12"/>
        <v>0.30555555555555558</v>
      </c>
      <c r="M233">
        <f>1/'vehicles specifications'!J91</f>
        <v>3.3333333333333335E-5</v>
      </c>
      <c r="N233">
        <v>1</v>
      </c>
      <c r="O233">
        <f>1</f>
        <v>1</v>
      </c>
      <c r="P233">
        <v>1</v>
      </c>
      <c r="Q233">
        <v>1</v>
      </c>
      <c r="R233">
        <f>-1-'vehicles specifications'!AD91</f>
        <v>-1.25</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c r="AS233">
        <v>1</v>
      </c>
      <c r="AT233">
        <v>1</v>
      </c>
      <c r="AU233">
        <v>1</v>
      </c>
      <c r="AV233">
        <v>1</v>
      </c>
      <c r="AW233">
        <v>1</v>
      </c>
      <c r="AX233">
        <v>1</v>
      </c>
      <c r="AY233">
        <v>1</v>
      </c>
      <c r="AZ233">
        <v>1</v>
      </c>
      <c r="BA233">
        <v>1</v>
      </c>
      <c r="BB233">
        <v>1</v>
      </c>
      <c r="BC233">
        <v>1</v>
      </c>
      <c r="BD233">
        <v>1</v>
      </c>
      <c r="BE233">
        <v>1</v>
      </c>
      <c r="BF233">
        <v>1</v>
      </c>
      <c r="BG233">
        <v>1</v>
      </c>
      <c r="BH233">
        <v>1</v>
      </c>
      <c r="BI233">
        <v>1</v>
      </c>
      <c r="BJ233">
        <v>-1</v>
      </c>
      <c r="BK233">
        <v>-1</v>
      </c>
      <c r="BL233">
        <v>-1</v>
      </c>
    </row>
    <row r="234" spans="1:64" x14ac:dyDescent="0.2">
      <c r="A234" t="s">
        <v>487</v>
      </c>
      <c r="B234">
        <v>1</v>
      </c>
      <c r="C234" s="2">
        <f>'vehicles specifications'!S92</f>
        <v>84</v>
      </c>
      <c r="D234">
        <v>1</v>
      </c>
      <c r="E234">
        <v>1</v>
      </c>
      <c r="F234">
        <f>1+'vehicles specifications'!AD92</f>
        <v>1</v>
      </c>
      <c r="G234">
        <f>1+'vehicles specifications'!AD92</f>
        <v>1</v>
      </c>
      <c r="J234">
        <v>1</v>
      </c>
      <c r="K234">
        <f>1/('fuels and tailpipe emissions'!$C$3*3.6)</f>
        <v>2.3474178403755867E-2</v>
      </c>
      <c r="L234">
        <f t="shared" si="12"/>
        <v>0.30555555555555558</v>
      </c>
      <c r="M234">
        <f>1/'vehicles specifications'!J92</f>
        <v>3.3333333333333335E-5</v>
      </c>
      <c r="N234">
        <v>1</v>
      </c>
      <c r="O234">
        <f>1</f>
        <v>1</v>
      </c>
      <c r="P234">
        <v>1</v>
      </c>
      <c r="Q234">
        <v>1</v>
      </c>
      <c r="R234">
        <f>-1-'vehicles specifications'!AD92</f>
        <v>-1</v>
      </c>
      <c r="S234">
        <v>1</v>
      </c>
      <c r="T234">
        <v>1</v>
      </c>
      <c r="U234">
        <v>1</v>
      </c>
      <c r="V234">
        <v>1</v>
      </c>
      <c r="W234">
        <v>1</v>
      </c>
      <c r="X234">
        <v>1</v>
      </c>
      <c r="Y234">
        <v>1</v>
      </c>
      <c r="Z234">
        <v>1</v>
      </c>
      <c r="AA234">
        <v>1</v>
      </c>
      <c r="AB234">
        <v>1</v>
      </c>
      <c r="AC234">
        <v>1</v>
      </c>
      <c r="AD234">
        <v>1</v>
      </c>
      <c r="AE234">
        <v>1</v>
      </c>
      <c r="AF234">
        <v>1</v>
      </c>
      <c r="AG234">
        <v>1</v>
      </c>
      <c r="AH234">
        <v>1</v>
      </c>
      <c r="AI234">
        <v>1</v>
      </c>
      <c r="AJ234">
        <v>1</v>
      </c>
      <c r="AK234">
        <v>1</v>
      </c>
      <c r="AL234">
        <v>1</v>
      </c>
      <c r="AM234">
        <v>1</v>
      </c>
      <c r="AN234">
        <v>1</v>
      </c>
      <c r="AO234">
        <v>1</v>
      </c>
      <c r="AP234">
        <v>1</v>
      </c>
      <c r="AQ234">
        <v>1</v>
      </c>
      <c r="AR234">
        <v>1</v>
      </c>
      <c r="AS234">
        <v>1</v>
      </c>
      <c r="AT234">
        <v>1</v>
      </c>
      <c r="AU234">
        <v>1</v>
      </c>
      <c r="AV234">
        <v>1</v>
      </c>
      <c r="AW234">
        <v>1</v>
      </c>
      <c r="AX234">
        <v>1</v>
      </c>
      <c r="AY234">
        <v>1</v>
      </c>
      <c r="AZ234">
        <v>1</v>
      </c>
      <c r="BA234">
        <v>1</v>
      </c>
      <c r="BB234">
        <v>1</v>
      </c>
      <c r="BC234">
        <v>1</v>
      </c>
      <c r="BD234">
        <v>1</v>
      </c>
      <c r="BE234">
        <v>1</v>
      </c>
      <c r="BF234">
        <v>1</v>
      </c>
      <c r="BG234">
        <v>1</v>
      </c>
      <c r="BH234">
        <v>1</v>
      </c>
      <c r="BI234">
        <v>1</v>
      </c>
      <c r="BJ234">
        <v>-1</v>
      </c>
      <c r="BK234">
        <v>-1</v>
      </c>
      <c r="BL234">
        <v>-1</v>
      </c>
    </row>
    <row r="235" spans="1:64" x14ac:dyDescent="0.2">
      <c r="A235" t="s">
        <v>416</v>
      </c>
      <c r="B235">
        <f t="shared" ref="B235:D252" si="13">1/90</f>
        <v>1.1111111111111112E-2</v>
      </c>
      <c r="C235" s="2">
        <f>'vehicles specifications'!S101</f>
        <v>65.433826960328489</v>
      </c>
      <c r="D235">
        <f t="shared" si="13"/>
        <v>1.1111111111111112E-2</v>
      </c>
      <c r="F235">
        <f>1+'vehicles specifications'!AD101</f>
        <v>1</v>
      </c>
      <c r="G235">
        <f>1+'vehicles specifications'!AD101</f>
        <v>1</v>
      </c>
      <c r="H235">
        <v>1</v>
      </c>
      <c r="I235">
        <v>1</v>
      </c>
      <c r="K235">
        <f>1/('fuels and tailpipe emissions'!$C$3*3.6)</f>
        <v>2.3474178403755867E-2</v>
      </c>
      <c r="L235">
        <f t="shared" si="12"/>
        <v>0.30555555555555558</v>
      </c>
      <c r="M235">
        <f>1/'vehicles specifications'!J101</f>
        <v>4.0000000000000003E-5</v>
      </c>
      <c r="N235">
        <v>1</v>
      </c>
      <c r="O235">
        <f>1</f>
        <v>1</v>
      </c>
      <c r="P235">
        <v>-1</v>
      </c>
      <c r="Q235">
        <v>-1</v>
      </c>
      <c r="R235">
        <f>-1-'vehicles specifications'!AD101</f>
        <v>-1</v>
      </c>
      <c r="S235">
        <v>1</v>
      </c>
      <c r="T235">
        <v>1</v>
      </c>
      <c r="U235">
        <v>1</v>
      </c>
      <c r="V235">
        <v>1</v>
      </c>
      <c r="W235">
        <v>1</v>
      </c>
      <c r="X235">
        <v>1</v>
      </c>
      <c r="Y235">
        <v>1</v>
      </c>
      <c r="Z235">
        <v>1</v>
      </c>
      <c r="AA235">
        <v>1</v>
      </c>
      <c r="AB235">
        <v>1</v>
      </c>
      <c r="AC235">
        <v>1</v>
      </c>
      <c r="AD235">
        <v>1</v>
      </c>
      <c r="AE235">
        <v>1</v>
      </c>
      <c r="AF235">
        <v>1</v>
      </c>
      <c r="AG235">
        <v>1</v>
      </c>
      <c r="AH235">
        <v>1</v>
      </c>
      <c r="AI235">
        <v>1</v>
      </c>
      <c r="AJ235">
        <v>1</v>
      </c>
      <c r="AK235">
        <v>1</v>
      </c>
      <c r="AL235">
        <v>1</v>
      </c>
      <c r="AM235">
        <v>1</v>
      </c>
      <c r="AN235">
        <v>1</v>
      </c>
      <c r="AO235">
        <v>1</v>
      </c>
      <c r="AP235">
        <v>1</v>
      </c>
      <c r="AQ235">
        <v>1</v>
      </c>
      <c r="AR235">
        <v>1</v>
      </c>
      <c r="AS235">
        <v>1</v>
      </c>
      <c r="AT235">
        <v>1</v>
      </c>
      <c r="AU235">
        <v>1</v>
      </c>
      <c r="AV235">
        <v>1</v>
      </c>
      <c r="AW235">
        <v>1</v>
      </c>
      <c r="AX235">
        <v>1</v>
      </c>
      <c r="AY235">
        <v>1</v>
      </c>
      <c r="AZ235">
        <v>1</v>
      </c>
      <c r="BA235">
        <v>1</v>
      </c>
      <c r="BB235">
        <v>1</v>
      </c>
      <c r="BC235">
        <v>1</v>
      </c>
      <c r="BD235">
        <v>1</v>
      </c>
      <c r="BE235">
        <v>1</v>
      </c>
      <c r="BF235">
        <v>1</v>
      </c>
      <c r="BG235">
        <v>1</v>
      </c>
      <c r="BH235">
        <v>1</v>
      </c>
      <c r="BI235">
        <v>1</v>
      </c>
      <c r="BJ235">
        <v>-1</v>
      </c>
      <c r="BK235">
        <v>-1</v>
      </c>
      <c r="BL235">
        <v>-1</v>
      </c>
    </row>
    <row r="236" spans="1:64" x14ac:dyDescent="0.2">
      <c r="A236" t="s">
        <v>417</v>
      </c>
      <c r="B236">
        <f t="shared" si="13"/>
        <v>1.1111111111111112E-2</v>
      </c>
      <c r="C236" s="2">
        <f>'vehicles specifications'!S102</f>
        <v>65.433826960328489</v>
      </c>
      <c r="D236">
        <f t="shared" si="13"/>
        <v>1.1111111111111112E-2</v>
      </c>
      <c r="F236">
        <f>1+'vehicles specifications'!AD102</f>
        <v>1</v>
      </c>
      <c r="G236">
        <f>1+'vehicles specifications'!AD102</f>
        <v>1</v>
      </c>
      <c r="H236">
        <v>1</v>
      </c>
      <c r="I236">
        <v>1</v>
      </c>
      <c r="K236">
        <f>1/('fuels and tailpipe emissions'!$C$3*3.6)</f>
        <v>2.3474178403755867E-2</v>
      </c>
      <c r="L236">
        <f t="shared" si="12"/>
        <v>0.30555555555555558</v>
      </c>
      <c r="M236">
        <f>1/'vehicles specifications'!J102</f>
        <v>4.0000000000000003E-5</v>
      </c>
      <c r="N236">
        <v>1</v>
      </c>
      <c r="O236">
        <f>1</f>
        <v>1</v>
      </c>
      <c r="P236">
        <v>-1</v>
      </c>
      <c r="Q236">
        <v>-1</v>
      </c>
      <c r="R236">
        <f>-1-'vehicles specifications'!AD102</f>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1</v>
      </c>
      <c r="AO236">
        <v>1</v>
      </c>
      <c r="AP236">
        <v>1</v>
      </c>
      <c r="AQ236">
        <v>1</v>
      </c>
      <c r="AR236">
        <v>1</v>
      </c>
      <c r="AS236">
        <v>1</v>
      </c>
      <c r="AT236">
        <v>1</v>
      </c>
      <c r="AU236">
        <v>1</v>
      </c>
      <c r="AV236">
        <v>1</v>
      </c>
      <c r="AW236">
        <v>1</v>
      </c>
      <c r="AX236">
        <v>1</v>
      </c>
      <c r="AY236">
        <v>1</v>
      </c>
      <c r="AZ236">
        <v>1</v>
      </c>
      <c r="BA236">
        <v>1</v>
      </c>
      <c r="BB236">
        <v>1</v>
      </c>
      <c r="BC236">
        <v>1</v>
      </c>
      <c r="BD236">
        <v>1</v>
      </c>
      <c r="BE236">
        <v>1</v>
      </c>
      <c r="BF236">
        <v>1</v>
      </c>
      <c r="BG236">
        <v>1</v>
      </c>
      <c r="BH236">
        <v>1</v>
      </c>
      <c r="BI236">
        <v>1</v>
      </c>
      <c r="BJ236">
        <v>-1</v>
      </c>
      <c r="BK236">
        <v>-1</v>
      </c>
      <c r="BL236">
        <v>-1</v>
      </c>
    </row>
    <row r="237" spans="1:64" x14ac:dyDescent="0.2">
      <c r="A237" t="s">
        <v>418</v>
      </c>
      <c r="B237">
        <f t="shared" si="13"/>
        <v>1.1111111111111112E-2</v>
      </c>
      <c r="C237" s="2">
        <f>'vehicles specifications'!S103</f>
        <v>65.433826960328489</v>
      </c>
      <c r="D237">
        <f t="shared" si="13"/>
        <v>1.1111111111111112E-2</v>
      </c>
      <c r="F237">
        <f>1+'vehicles specifications'!AD103</f>
        <v>1</v>
      </c>
      <c r="G237">
        <f>1+'vehicles specifications'!AD103</f>
        <v>1</v>
      </c>
      <c r="H237">
        <v>1</v>
      </c>
      <c r="I237">
        <v>1</v>
      </c>
      <c r="K237">
        <f>1/('fuels and tailpipe emissions'!$C$3*3.6)</f>
        <v>2.3474178403755867E-2</v>
      </c>
      <c r="L237">
        <f t="shared" si="12"/>
        <v>0.30555555555555558</v>
      </c>
      <c r="M237">
        <f>1/'vehicles specifications'!J103</f>
        <v>4.0000000000000003E-5</v>
      </c>
      <c r="N237">
        <v>1</v>
      </c>
      <c r="O237">
        <f>1</f>
        <v>1</v>
      </c>
      <c r="P237">
        <v>-1</v>
      </c>
      <c r="Q237">
        <v>-1</v>
      </c>
      <c r="R237">
        <f>-1-'vehicles specifications'!AD103</f>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1</v>
      </c>
      <c r="AO237">
        <v>1</v>
      </c>
      <c r="AP237">
        <v>1</v>
      </c>
      <c r="AQ237">
        <v>1</v>
      </c>
      <c r="AR237">
        <v>1</v>
      </c>
      <c r="AS237">
        <v>1</v>
      </c>
      <c r="AT237">
        <v>1</v>
      </c>
      <c r="AU237">
        <v>1</v>
      </c>
      <c r="AV237">
        <v>1</v>
      </c>
      <c r="AW237">
        <v>1</v>
      </c>
      <c r="AX237">
        <v>1</v>
      </c>
      <c r="AY237">
        <v>1</v>
      </c>
      <c r="AZ237">
        <v>1</v>
      </c>
      <c r="BA237">
        <v>1</v>
      </c>
      <c r="BB237">
        <v>1</v>
      </c>
      <c r="BC237">
        <v>1</v>
      </c>
      <c r="BD237">
        <v>1</v>
      </c>
      <c r="BE237">
        <v>1</v>
      </c>
      <c r="BF237">
        <v>1</v>
      </c>
      <c r="BG237">
        <v>1</v>
      </c>
      <c r="BH237">
        <v>1</v>
      </c>
      <c r="BI237">
        <v>1</v>
      </c>
      <c r="BJ237">
        <v>-1</v>
      </c>
      <c r="BK237">
        <v>-1</v>
      </c>
      <c r="BL237">
        <v>-1</v>
      </c>
    </row>
    <row r="238" spans="1:64" x14ac:dyDescent="0.2">
      <c r="A238" t="s">
        <v>419</v>
      </c>
      <c r="B238">
        <f t="shared" si="13"/>
        <v>1.1111111111111112E-2</v>
      </c>
      <c r="C238" s="2">
        <f>'vehicles specifications'!S104</f>
        <v>65.433826960328489</v>
      </c>
      <c r="D238">
        <f t="shared" si="13"/>
        <v>1.1111111111111112E-2</v>
      </c>
      <c r="F238">
        <f>1+'vehicles specifications'!AD104</f>
        <v>1</v>
      </c>
      <c r="G238">
        <f>1+'vehicles specifications'!AD104</f>
        <v>1</v>
      </c>
      <c r="H238">
        <v>1</v>
      </c>
      <c r="I238">
        <v>1</v>
      </c>
      <c r="K238">
        <f>1/('fuels and tailpipe emissions'!$C$3*3.6)</f>
        <v>2.3474178403755867E-2</v>
      </c>
      <c r="L238">
        <f t="shared" si="12"/>
        <v>0.30555555555555558</v>
      </c>
      <c r="M238">
        <f>1/'vehicles specifications'!J104</f>
        <v>4.0000000000000003E-5</v>
      </c>
      <c r="N238">
        <v>1</v>
      </c>
      <c r="O238">
        <f>1</f>
        <v>1</v>
      </c>
      <c r="P238">
        <v>-1</v>
      </c>
      <c r="Q238">
        <v>-1</v>
      </c>
      <c r="R238">
        <f>-1-'vehicles specifications'!AD104</f>
        <v>-1</v>
      </c>
      <c r="S238">
        <v>1</v>
      </c>
      <c r="T238">
        <v>1</v>
      </c>
      <c r="U238">
        <v>1</v>
      </c>
      <c r="V238">
        <v>1</v>
      </c>
      <c r="W238">
        <v>1</v>
      </c>
      <c r="X238">
        <v>1</v>
      </c>
      <c r="Y238">
        <v>1</v>
      </c>
      <c r="Z238">
        <v>1</v>
      </c>
      <c r="AA238">
        <v>1</v>
      </c>
      <c r="AB238">
        <v>1</v>
      </c>
      <c r="AC238">
        <v>1</v>
      </c>
      <c r="AD238">
        <v>1</v>
      </c>
      <c r="AE238">
        <v>1</v>
      </c>
      <c r="AF238">
        <v>1</v>
      </c>
      <c r="AG238">
        <v>1</v>
      </c>
      <c r="AH238">
        <v>1</v>
      </c>
      <c r="AI238">
        <v>1</v>
      </c>
      <c r="AJ238">
        <v>1</v>
      </c>
      <c r="AK238">
        <v>1</v>
      </c>
      <c r="AL238">
        <v>1</v>
      </c>
      <c r="AM238">
        <v>1</v>
      </c>
      <c r="AN238">
        <v>1</v>
      </c>
      <c r="AO238">
        <v>1</v>
      </c>
      <c r="AP238">
        <v>1</v>
      </c>
      <c r="AQ238">
        <v>1</v>
      </c>
      <c r="AR238">
        <v>1</v>
      </c>
      <c r="AS238">
        <v>1</v>
      </c>
      <c r="AT238">
        <v>1</v>
      </c>
      <c r="AU238">
        <v>1</v>
      </c>
      <c r="AV238">
        <v>1</v>
      </c>
      <c r="AW238">
        <v>1</v>
      </c>
      <c r="AX238">
        <v>1</v>
      </c>
      <c r="AY238">
        <v>1</v>
      </c>
      <c r="AZ238">
        <v>1</v>
      </c>
      <c r="BA238">
        <v>1</v>
      </c>
      <c r="BB238">
        <v>1</v>
      </c>
      <c r="BC238">
        <v>1</v>
      </c>
      <c r="BD238">
        <v>1</v>
      </c>
      <c r="BE238">
        <v>1</v>
      </c>
      <c r="BF238">
        <v>1</v>
      </c>
      <c r="BG238">
        <v>1</v>
      </c>
      <c r="BH238">
        <v>1</v>
      </c>
      <c r="BI238">
        <v>1</v>
      </c>
      <c r="BJ238">
        <v>-1</v>
      </c>
      <c r="BK238">
        <v>-1</v>
      </c>
      <c r="BL238">
        <v>-1</v>
      </c>
    </row>
    <row r="239" spans="1:64" x14ac:dyDescent="0.2">
      <c r="A239" t="s">
        <v>420</v>
      </c>
      <c r="B239">
        <f t="shared" si="13"/>
        <v>1.1111111111111112E-2</v>
      </c>
      <c r="C239" s="2">
        <f>'vehicles specifications'!S105</f>
        <v>65.433826960328489</v>
      </c>
      <c r="D239">
        <f t="shared" si="13"/>
        <v>1.1111111111111112E-2</v>
      </c>
      <c r="F239">
        <f>1+'vehicles specifications'!AD105</f>
        <v>1</v>
      </c>
      <c r="G239">
        <f>1+'vehicles specifications'!AD105</f>
        <v>1</v>
      </c>
      <c r="H239">
        <v>1</v>
      </c>
      <c r="I239">
        <v>1</v>
      </c>
      <c r="K239">
        <f>1/('fuels and tailpipe emissions'!$C$3*3.6)</f>
        <v>2.3474178403755867E-2</v>
      </c>
      <c r="L239">
        <f t="shared" si="12"/>
        <v>0.30555555555555558</v>
      </c>
      <c r="M239">
        <f>1/'vehicles specifications'!J105</f>
        <v>4.0000000000000003E-5</v>
      </c>
      <c r="N239">
        <v>1</v>
      </c>
      <c r="O239">
        <f>1</f>
        <v>1</v>
      </c>
      <c r="P239">
        <v>-1</v>
      </c>
      <c r="Q239">
        <v>-1</v>
      </c>
      <c r="R239">
        <f>-1-'vehicles specifications'!AD105</f>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row>
    <row r="240" spans="1:64" x14ac:dyDescent="0.2">
      <c r="A240" t="s">
        <v>421</v>
      </c>
      <c r="B240">
        <f t="shared" si="13"/>
        <v>1.1111111111111112E-2</v>
      </c>
      <c r="C240" s="2">
        <f>'vehicles specifications'!S106</f>
        <v>65.433826960328489</v>
      </c>
      <c r="D240">
        <f t="shared" si="13"/>
        <v>1.1111111111111112E-2</v>
      </c>
      <c r="F240">
        <f>1+'vehicles specifications'!AD106</f>
        <v>1</v>
      </c>
      <c r="G240">
        <f>1+'vehicles specifications'!AD106</f>
        <v>1</v>
      </c>
      <c r="H240">
        <v>1</v>
      </c>
      <c r="I240">
        <v>1</v>
      </c>
      <c r="K240">
        <f>1/('fuels and tailpipe emissions'!$C$3*3.6)</f>
        <v>2.3474178403755867E-2</v>
      </c>
      <c r="L240">
        <f t="shared" si="12"/>
        <v>0.30555555555555558</v>
      </c>
      <c r="M240">
        <f>1/'vehicles specifications'!J106</f>
        <v>4.0000000000000003E-5</v>
      </c>
      <c r="N240">
        <v>1</v>
      </c>
      <c r="O240">
        <f>1</f>
        <v>1</v>
      </c>
      <c r="P240">
        <v>-1</v>
      </c>
      <c r="Q240">
        <v>-1</v>
      </c>
      <c r="R240">
        <f>-1-'vehicles specifications'!AD106</f>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1</v>
      </c>
      <c r="AO240">
        <v>1</v>
      </c>
      <c r="AP240">
        <v>1</v>
      </c>
      <c r="AQ240">
        <v>1</v>
      </c>
      <c r="AR240">
        <v>1</v>
      </c>
      <c r="AS240">
        <v>1</v>
      </c>
      <c r="AT240">
        <v>1</v>
      </c>
      <c r="AU240">
        <v>1</v>
      </c>
      <c r="AV240">
        <v>1</v>
      </c>
      <c r="AW240">
        <v>1</v>
      </c>
      <c r="AX240">
        <v>1</v>
      </c>
      <c r="AY240">
        <v>1</v>
      </c>
      <c r="AZ240">
        <v>1</v>
      </c>
      <c r="BA240">
        <v>1</v>
      </c>
      <c r="BB240">
        <v>1</v>
      </c>
      <c r="BC240">
        <v>1</v>
      </c>
      <c r="BD240">
        <v>1</v>
      </c>
      <c r="BE240">
        <v>1</v>
      </c>
      <c r="BF240">
        <v>1</v>
      </c>
      <c r="BG240">
        <v>1</v>
      </c>
      <c r="BH240">
        <v>1</v>
      </c>
      <c r="BI240">
        <v>1</v>
      </c>
      <c r="BJ240">
        <v>-1</v>
      </c>
      <c r="BK240">
        <v>-1</v>
      </c>
      <c r="BL240">
        <v>-1</v>
      </c>
    </row>
    <row r="241" spans="1:64" x14ac:dyDescent="0.2">
      <c r="A241" t="s">
        <v>398</v>
      </c>
      <c r="B241">
        <f t="shared" si="13"/>
        <v>1.1111111111111112E-2</v>
      </c>
      <c r="C241" s="2">
        <f>'vehicles specifications'!S107</f>
        <v>81</v>
      </c>
      <c r="D241">
        <f t="shared" si="13"/>
        <v>1.1111111111111112E-2</v>
      </c>
      <c r="F241">
        <f>1+'vehicles specifications'!AD107</f>
        <v>1</v>
      </c>
      <c r="G241">
        <f>1+'vehicles specifications'!AD107</f>
        <v>1</v>
      </c>
      <c r="H241">
        <v>1</v>
      </c>
      <c r="I241">
        <v>1</v>
      </c>
      <c r="K241">
        <f>1/('fuels and tailpipe emissions'!$C$3*3.6)</f>
        <v>2.3474178403755867E-2</v>
      </c>
      <c r="L241">
        <f t="shared" si="12"/>
        <v>0.30555555555555558</v>
      </c>
      <c r="M241">
        <f>1/'vehicles specifications'!J107</f>
        <v>2.5974025974025975E-5</v>
      </c>
      <c r="N241">
        <v>1</v>
      </c>
      <c r="O241">
        <f>1</f>
        <v>1</v>
      </c>
      <c r="P241">
        <v>-1</v>
      </c>
      <c r="Q241">
        <v>-1</v>
      </c>
      <c r="R241">
        <f>-1-'vehicles specifications'!AD107</f>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c r="AS241">
        <v>1</v>
      </c>
      <c r="AT241">
        <v>1</v>
      </c>
      <c r="AU241">
        <v>1</v>
      </c>
      <c r="AV241">
        <v>1</v>
      </c>
      <c r="AW241">
        <v>1</v>
      </c>
      <c r="AX241">
        <v>1</v>
      </c>
      <c r="AY241">
        <v>1</v>
      </c>
      <c r="AZ241">
        <v>1</v>
      </c>
      <c r="BA241">
        <v>1</v>
      </c>
      <c r="BB241">
        <v>1</v>
      </c>
      <c r="BC241">
        <v>1</v>
      </c>
      <c r="BD241">
        <v>1</v>
      </c>
      <c r="BE241">
        <v>1</v>
      </c>
      <c r="BF241">
        <v>1</v>
      </c>
      <c r="BG241">
        <v>1</v>
      </c>
      <c r="BH241">
        <v>1</v>
      </c>
      <c r="BI241">
        <v>1</v>
      </c>
      <c r="BJ241">
        <v>-1</v>
      </c>
      <c r="BK241">
        <v>-1</v>
      </c>
      <c r="BL241">
        <v>-1</v>
      </c>
    </row>
    <row r="242" spans="1:64" x14ac:dyDescent="0.2">
      <c r="A242" t="s">
        <v>399</v>
      </c>
      <c r="B242">
        <f t="shared" si="13"/>
        <v>1.1111111111111112E-2</v>
      </c>
      <c r="C242" s="2">
        <f>'vehicles specifications'!S108</f>
        <v>81</v>
      </c>
      <c r="D242">
        <f t="shared" si="13"/>
        <v>1.1111111111111112E-2</v>
      </c>
      <c r="F242">
        <f>1+'vehicles specifications'!AD108</f>
        <v>1</v>
      </c>
      <c r="G242">
        <f>1+'vehicles specifications'!AD108</f>
        <v>1</v>
      </c>
      <c r="H242">
        <v>1</v>
      </c>
      <c r="I242">
        <v>1</v>
      </c>
      <c r="K242">
        <f>1/('fuels and tailpipe emissions'!$C$3*3.6)</f>
        <v>2.3474178403755867E-2</v>
      </c>
      <c r="L242">
        <f t="shared" si="12"/>
        <v>0.30555555555555558</v>
      </c>
      <c r="M242">
        <f>1/'vehicles specifications'!J108</f>
        <v>2.5974025974025975E-5</v>
      </c>
      <c r="N242">
        <v>1</v>
      </c>
      <c r="O242">
        <f>1</f>
        <v>1</v>
      </c>
      <c r="P242">
        <v>-1</v>
      </c>
      <c r="Q242">
        <v>-1</v>
      </c>
      <c r="R242">
        <f>-1-'vehicles specifications'!AD108</f>
        <v>-1</v>
      </c>
      <c r="S242">
        <v>1</v>
      </c>
      <c r="T242">
        <v>1</v>
      </c>
      <c r="U242">
        <v>1</v>
      </c>
      <c r="V242">
        <v>1</v>
      </c>
      <c r="W242">
        <v>1</v>
      </c>
      <c r="X242">
        <v>1</v>
      </c>
      <c r="Y242">
        <v>1</v>
      </c>
      <c r="Z242">
        <v>1</v>
      </c>
      <c r="AA242">
        <v>1</v>
      </c>
      <c r="AB242">
        <v>1</v>
      </c>
      <c r="AC242">
        <v>1</v>
      </c>
      <c r="AD242">
        <v>1</v>
      </c>
      <c r="AE242">
        <v>1</v>
      </c>
      <c r="AF242">
        <v>1</v>
      </c>
      <c r="AG242">
        <v>1</v>
      </c>
      <c r="AH242">
        <v>1</v>
      </c>
      <c r="AI242">
        <v>1</v>
      </c>
      <c r="AJ242">
        <v>1</v>
      </c>
      <c r="AK242">
        <v>1</v>
      </c>
      <c r="AL242">
        <v>1</v>
      </c>
      <c r="AM242">
        <v>1</v>
      </c>
      <c r="AN242">
        <v>1</v>
      </c>
      <c r="AO242">
        <v>1</v>
      </c>
      <c r="AP242">
        <v>1</v>
      </c>
      <c r="AQ242">
        <v>1</v>
      </c>
      <c r="AR242">
        <v>1</v>
      </c>
      <c r="AS242">
        <v>1</v>
      </c>
      <c r="AT242">
        <v>1</v>
      </c>
      <c r="AU242">
        <v>1</v>
      </c>
      <c r="AV242">
        <v>1</v>
      </c>
      <c r="AW242">
        <v>1</v>
      </c>
      <c r="AX242">
        <v>1</v>
      </c>
      <c r="AY242">
        <v>1</v>
      </c>
      <c r="AZ242">
        <v>1</v>
      </c>
      <c r="BA242">
        <v>1</v>
      </c>
      <c r="BB242">
        <v>1</v>
      </c>
      <c r="BC242">
        <v>1</v>
      </c>
      <c r="BD242">
        <v>1</v>
      </c>
      <c r="BE242">
        <v>1</v>
      </c>
      <c r="BF242">
        <v>1</v>
      </c>
      <c r="BG242">
        <v>1</v>
      </c>
      <c r="BH242">
        <v>1</v>
      </c>
      <c r="BI242">
        <v>1</v>
      </c>
      <c r="BJ242">
        <v>-1</v>
      </c>
      <c r="BK242">
        <v>-1</v>
      </c>
      <c r="BL242">
        <v>-1</v>
      </c>
    </row>
    <row r="243" spans="1:64" x14ac:dyDescent="0.2">
      <c r="A243" t="s">
        <v>400</v>
      </c>
      <c r="B243">
        <f t="shared" si="13"/>
        <v>1.1111111111111112E-2</v>
      </c>
      <c r="C243" s="2">
        <f>'vehicles specifications'!S109</f>
        <v>81</v>
      </c>
      <c r="D243">
        <f t="shared" si="13"/>
        <v>1.1111111111111112E-2</v>
      </c>
      <c r="F243">
        <f>1+'vehicles specifications'!AD109</f>
        <v>1</v>
      </c>
      <c r="G243">
        <f>1+'vehicles specifications'!AD109</f>
        <v>1</v>
      </c>
      <c r="H243">
        <v>1</v>
      </c>
      <c r="I243">
        <v>1</v>
      </c>
      <c r="K243">
        <f>1/('fuels and tailpipe emissions'!$C$3*3.6)</f>
        <v>2.3474178403755867E-2</v>
      </c>
      <c r="L243">
        <f t="shared" si="12"/>
        <v>0.30555555555555558</v>
      </c>
      <c r="M243">
        <f>1/'vehicles specifications'!J109</f>
        <v>2.5974025974025975E-5</v>
      </c>
      <c r="N243">
        <v>1</v>
      </c>
      <c r="O243">
        <f>1</f>
        <v>1</v>
      </c>
      <c r="P243">
        <v>-1</v>
      </c>
      <c r="Q243">
        <v>-1</v>
      </c>
      <c r="R243">
        <f>-1-'vehicles specifications'!AD109</f>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c r="AS243">
        <v>1</v>
      </c>
      <c r="AT243">
        <v>1</v>
      </c>
      <c r="AU243">
        <v>1</v>
      </c>
      <c r="AV243">
        <v>1</v>
      </c>
      <c r="AW243">
        <v>1</v>
      </c>
      <c r="AX243">
        <v>1</v>
      </c>
      <c r="AY243">
        <v>1</v>
      </c>
      <c r="AZ243">
        <v>1</v>
      </c>
      <c r="BA243">
        <v>1</v>
      </c>
      <c r="BB243">
        <v>1</v>
      </c>
      <c r="BC243">
        <v>1</v>
      </c>
      <c r="BD243">
        <v>1</v>
      </c>
      <c r="BE243">
        <v>1</v>
      </c>
      <c r="BF243">
        <v>1</v>
      </c>
      <c r="BG243">
        <v>1</v>
      </c>
      <c r="BH243">
        <v>1</v>
      </c>
      <c r="BI243">
        <v>1</v>
      </c>
      <c r="BJ243">
        <v>-1</v>
      </c>
      <c r="BK243">
        <v>-1</v>
      </c>
      <c r="BL243">
        <v>-1</v>
      </c>
    </row>
    <row r="244" spans="1:64" x14ac:dyDescent="0.2">
      <c r="A244" t="s">
        <v>401</v>
      </c>
      <c r="B244">
        <f t="shared" si="13"/>
        <v>1.1111111111111112E-2</v>
      </c>
      <c r="C244" s="2">
        <f>'vehicles specifications'!S110</f>
        <v>81</v>
      </c>
      <c r="D244">
        <f t="shared" si="13"/>
        <v>1.1111111111111112E-2</v>
      </c>
      <c r="F244">
        <f>1+'vehicles specifications'!AD110</f>
        <v>1</v>
      </c>
      <c r="G244">
        <f>1+'vehicles specifications'!AD110</f>
        <v>1</v>
      </c>
      <c r="H244">
        <v>1</v>
      </c>
      <c r="I244">
        <v>1</v>
      </c>
      <c r="K244">
        <f>1/('fuels and tailpipe emissions'!$C$3*3.6)</f>
        <v>2.3474178403755867E-2</v>
      </c>
      <c r="L244">
        <f t="shared" si="12"/>
        <v>0.30555555555555558</v>
      </c>
      <c r="M244">
        <f>1/'vehicles specifications'!J110</f>
        <v>2.5974025974025975E-5</v>
      </c>
      <c r="N244">
        <v>1</v>
      </c>
      <c r="O244">
        <f>1</f>
        <v>1</v>
      </c>
      <c r="P244">
        <v>-1</v>
      </c>
      <c r="Q244">
        <v>-1</v>
      </c>
      <c r="R244">
        <f>-1-'vehicles specifications'!AD110</f>
        <v>-1</v>
      </c>
      <c r="S244">
        <v>1</v>
      </c>
      <c r="T244">
        <v>1</v>
      </c>
      <c r="U244">
        <v>1</v>
      </c>
      <c r="V244">
        <v>1</v>
      </c>
      <c r="W244">
        <v>1</v>
      </c>
      <c r="X244">
        <v>1</v>
      </c>
      <c r="Y244">
        <v>1</v>
      </c>
      <c r="Z244">
        <v>1</v>
      </c>
      <c r="AA244">
        <v>1</v>
      </c>
      <c r="AB244">
        <v>1</v>
      </c>
      <c r="AC244">
        <v>1</v>
      </c>
      <c r="AD244">
        <v>1</v>
      </c>
      <c r="AE244">
        <v>1</v>
      </c>
      <c r="AF244">
        <v>1</v>
      </c>
      <c r="AG244">
        <v>1</v>
      </c>
      <c r="AH244">
        <v>1</v>
      </c>
      <c r="AI244">
        <v>1</v>
      </c>
      <c r="AJ244">
        <v>1</v>
      </c>
      <c r="AK244">
        <v>1</v>
      </c>
      <c r="AL244">
        <v>1</v>
      </c>
      <c r="AM244">
        <v>1</v>
      </c>
      <c r="AN244">
        <v>1</v>
      </c>
      <c r="AO244">
        <v>1</v>
      </c>
      <c r="AP244">
        <v>1</v>
      </c>
      <c r="AQ244">
        <v>1</v>
      </c>
      <c r="AR244">
        <v>1</v>
      </c>
      <c r="AS244">
        <v>1</v>
      </c>
      <c r="AT244">
        <v>1</v>
      </c>
      <c r="AU244">
        <v>1</v>
      </c>
      <c r="AV244">
        <v>1</v>
      </c>
      <c r="AW244">
        <v>1</v>
      </c>
      <c r="AX244">
        <v>1</v>
      </c>
      <c r="AY244">
        <v>1</v>
      </c>
      <c r="AZ244">
        <v>1</v>
      </c>
      <c r="BA244">
        <v>1</v>
      </c>
      <c r="BB244">
        <v>1</v>
      </c>
      <c r="BC244">
        <v>1</v>
      </c>
      <c r="BD244">
        <v>1</v>
      </c>
      <c r="BE244">
        <v>1</v>
      </c>
      <c r="BF244">
        <v>1</v>
      </c>
      <c r="BG244">
        <v>1</v>
      </c>
      <c r="BH244">
        <v>1</v>
      </c>
      <c r="BI244">
        <v>1</v>
      </c>
      <c r="BJ244">
        <v>-1</v>
      </c>
      <c r="BK244">
        <v>-1</v>
      </c>
      <c r="BL244">
        <v>-1</v>
      </c>
    </row>
    <row r="245" spans="1:64" x14ac:dyDescent="0.2">
      <c r="A245" t="s">
        <v>402</v>
      </c>
      <c r="B245">
        <f t="shared" si="13"/>
        <v>1.1111111111111112E-2</v>
      </c>
      <c r="C245" s="2">
        <f>'vehicles specifications'!S111</f>
        <v>81</v>
      </c>
      <c r="D245">
        <f t="shared" si="13"/>
        <v>1.1111111111111112E-2</v>
      </c>
      <c r="F245">
        <f>1+'vehicles specifications'!AD111</f>
        <v>1</v>
      </c>
      <c r="G245">
        <f>1+'vehicles specifications'!AD111</f>
        <v>1</v>
      </c>
      <c r="H245">
        <v>1</v>
      </c>
      <c r="I245">
        <v>1</v>
      </c>
      <c r="K245">
        <f>1/('fuels and tailpipe emissions'!$C$3*3.6)</f>
        <v>2.3474178403755867E-2</v>
      </c>
      <c r="L245">
        <f t="shared" si="12"/>
        <v>0.30555555555555558</v>
      </c>
      <c r="M245">
        <f>1/'vehicles specifications'!J111</f>
        <v>2.5974025974025975E-5</v>
      </c>
      <c r="N245">
        <v>1</v>
      </c>
      <c r="O245">
        <f>1</f>
        <v>1</v>
      </c>
      <c r="P245">
        <v>-1</v>
      </c>
      <c r="Q245">
        <v>-1</v>
      </c>
      <c r="R245">
        <f>-1-'vehicles specifications'!AD111</f>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c r="AS245">
        <v>1</v>
      </c>
      <c r="AT245">
        <v>1</v>
      </c>
      <c r="AU245">
        <v>1</v>
      </c>
      <c r="AV245">
        <v>1</v>
      </c>
      <c r="AW245">
        <v>1</v>
      </c>
      <c r="AX245">
        <v>1</v>
      </c>
      <c r="AY245">
        <v>1</v>
      </c>
      <c r="AZ245">
        <v>1</v>
      </c>
      <c r="BA245">
        <v>1</v>
      </c>
      <c r="BB245">
        <v>1</v>
      </c>
      <c r="BC245">
        <v>1</v>
      </c>
      <c r="BD245">
        <v>1</v>
      </c>
      <c r="BE245">
        <v>1</v>
      </c>
      <c r="BF245">
        <v>1</v>
      </c>
      <c r="BG245">
        <v>1</v>
      </c>
      <c r="BH245">
        <v>1</v>
      </c>
      <c r="BI245">
        <v>1</v>
      </c>
      <c r="BJ245">
        <v>-1</v>
      </c>
      <c r="BK245">
        <v>-1</v>
      </c>
      <c r="BL245">
        <v>-1</v>
      </c>
    </row>
    <row r="246" spans="1:64" x14ac:dyDescent="0.2">
      <c r="A246" t="s">
        <v>403</v>
      </c>
      <c r="B246">
        <f t="shared" si="13"/>
        <v>1.1111111111111112E-2</v>
      </c>
      <c r="C246" s="2">
        <f>'vehicles specifications'!S112</f>
        <v>81</v>
      </c>
      <c r="D246">
        <f t="shared" si="13"/>
        <v>1.1111111111111112E-2</v>
      </c>
      <c r="F246">
        <f>1+'vehicles specifications'!AD112</f>
        <v>1</v>
      </c>
      <c r="G246">
        <f>1+'vehicles specifications'!AD112</f>
        <v>1</v>
      </c>
      <c r="H246">
        <v>1</v>
      </c>
      <c r="I246">
        <v>1</v>
      </c>
      <c r="K246">
        <f>1/('fuels and tailpipe emissions'!$C$3*3.6)</f>
        <v>2.3474178403755867E-2</v>
      </c>
      <c r="L246">
        <f t="shared" si="12"/>
        <v>0.30555555555555558</v>
      </c>
      <c r="M246">
        <f>1/'vehicles specifications'!J112</f>
        <v>2.5974025974025975E-5</v>
      </c>
      <c r="N246">
        <v>1</v>
      </c>
      <c r="O246">
        <f>1</f>
        <v>1</v>
      </c>
      <c r="P246">
        <v>-1</v>
      </c>
      <c r="Q246">
        <v>-1</v>
      </c>
      <c r="R246">
        <f>-1-'vehicles specifications'!AD112</f>
        <v>-1</v>
      </c>
      <c r="S246">
        <v>1</v>
      </c>
      <c r="T246">
        <v>1</v>
      </c>
      <c r="U246">
        <v>1</v>
      </c>
      <c r="V246">
        <v>1</v>
      </c>
      <c r="W246">
        <v>1</v>
      </c>
      <c r="X246">
        <v>1</v>
      </c>
      <c r="Y246">
        <v>1</v>
      </c>
      <c r="Z246">
        <v>1</v>
      </c>
      <c r="AA246">
        <v>1</v>
      </c>
      <c r="AB246">
        <v>1</v>
      </c>
      <c r="AC246">
        <v>1</v>
      </c>
      <c r="AD246">
        <v>1</v>
      </c>
      <c r="AE246">
        <v>1</v>
      </c>
      <c r="AF246">
        <v>1</v>
      </c>
      <c r="AG246">
        <v>1</v>
      </c>
      <c r="AH246">
        <v>1</v>
      </c>
      <c r="AI246">
        <v>1</v>
      </c>
      <c r="AJ246">
        <v>1</v>
      </c>
      <c r="AK246">
        <v>1</v>
      </c>
      <c r="AL246">
        <v>1</v>
      </c>
      <c r="AM246">
        <v>1</v>
      </c>
      <c r="AN246">
        <v>1</v>
      </c>
      <c r="AO246">
        <v>1</v>
      </c>
      <c r="AP246">
        <v>1</v>
      </c>
      <c r="AQ246">
        <v>1</v>
      </c>
      <c r="AR246">
        <v>1</v>
      </c>
      <c r="AS246">
        <v>1</v>
      </c>
      <c r="AT246">
        <v>1</v>
      </c>
      <c r="AU246">
        <v>1</v>
      </c>
      <c r="AV246">
        <v>1</v>
      </c>
      <c r="AW246">
        <v>1</v>
      </c>
      <c r="AX246">
        <v>1</v>
      </c>
      <c r="AY246">
        <v>1</v>
      </c>
      <c r="AZ246">
        <v>1</v>
      </c>
      <c r="BA246">
        <v>1</v>
      </c>
      <c r="BB246">
        <v>1</v>
      </c>
      <c r="BC246">
        <v>1</v>
      </c>
      <c r="BD246">
        <v>1</v>
      </c>
      <c r="BE246">
        <v>1</v>
      </c>
      <c r="BF246">
        <v>1</v>
      </c>
      <c r="BG246">
        <v>1</v>
      </c>
      <c r="BH246">
        <v>1</v>
      </c>
      <c r="BI246">
        <v>1</v>
      </c>
      <c r="BJ246">
        <v>-1</v>
      </c>
      <c r="BK246">
        <v>-1</v>
      </c>
      <c r="BL246">
        <v>-1</v>
      </c>
    </row>
    <row r="247" spans="1:64" x14ac:dyDescent="0.2">
      <c r="A247" t="s">
        <v>407</v>
      </c>
      <c r="B247">
        <f t="shared" si="13"/>
        <v>1.1111111111111112E-2</v>
      </c>
      <c r="C247" s="2">
        <f>'vehicles specifications'!S113</f>
        <v>111</v>
      </c>
      <c r="D247">
        <f t="shared" si="13"/>
        <v>1.1111111111111112E-2</v>
      </c>
      <c r="F247">
        <f>1+'vehicles specifications'!AD113</f>
        <v>1</v>
      </c>
      <c r="G247">
        <f>1+'vehicles specifications'!AD113</f>
        <v>1</v>
      </c>
      <c r="H247">
        <v>1</v>
      </c>
      <c r="I247">
        <v>1</v>
      </c>
      <c r="K247">
        <f>1/('fuels and tailpipe emissions'!$C$3*3.6)</f>
        <v>2.3474178403755867E-2</v>
      </c>
      <c r="L247">
        <f t="shared" si="12"/>
        <v>0.30555555555555558</v>
      </c>
      <c r="M247">
        <f>1/'vehicles specifications'!J113</f>
        <v>2.4691358024691357E-5</v>
      </c>
      <c r="N247">
        <v>1</v>
      </c>
      <c r="O247">
        <f>1</f>
        <v>1</v>
      </c>
      <c r="P247">
        <v>-1</v>
      </c>
      <c r="Q247">
        <v>-1</v>
      </c>
      <c r="R247">
        <f>-1-'vehicles specifications'!AD113</f>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row>
    <row r="248" spans="1:64" x14ac:dyDescent="0.2">
      <c r="A248" t="s">
        <v>408</v>
      </c>
      <c r="B248">
        <f t="shared" si="13"/>
        <v>1.1111111111111112E-2</v>
      </c>
      <c r="C248" s="2">
        <f>'vehicles specifications'!S114</f>
        <v>111</v>
      </c>
      <c r="D248">
        <f t="shared" si="13"/>
        <v>1.1111111111111112E-2</v>
      </c>
      <c r="F248">
        <f>1+'vehicles specifications'!AD114</f>
        <v>1</v>
      </c>
      <c r="G248">
        <f>1+'vehicles specifications'!AD114</f>
        <v>1</v>
      </c>
      <c r="H248">
        <v>1</v>
      </c>
      <c r="I248">
        <v>1</v>
      </c>
      <c r="K248">
        <f>1/('fuels and tailpipe emissions'!$C$3*3.6)</f>
        <v>2.3474178403755867E-2</v>
      </c>
      <c r="L248">
        <f t="shared" si="12"/>
        <v>0.30555555555555558</v>
      </c>
      <c r="M248">
        <f>1/'vehicles specifications'!J114</f>
        <v>2.4691358024691357E-5</v>
      </c>
      <c r="N248">
        <v>1</v>
      </c>
      <c r="O248">
        <f>1</f>
        <v>1</v>
      </c>
      <c r="P248">
        <v>-1</v>
      </c>
      <c r="Q248">
        <v>-1</v>
      </c>
      <c r="R248">
        <f>-1-'vehicles specifications'!AD114</f>
        <v>-1</v>
      </c>
      <c r="S248">
        <v>1</v>
      </c>
      <c r="T248">
        <v>1</v>
      </c>
      <c r="U248">
        <v>1</v>
      </c>
      <c r="V248">
        <v>1</v>
      </c>
      <c r="W248">
        <v>1</v>
      </c>
      <c r="X248">
        <v>1</v>
      </c>
      <c r="Y248">
        <v>1</v>
      </c>
      <c r="Z248">
        <v>1</v>
      </c>
      <c r="AA248">
        <v>1</v>
      </c>
      <c r="AB248">
        <v>1</v>
      </c>
      <c r="AC248">
        <v>1</v>
      </c>
      <c r="AD248">
        <v>1</v>
      </c>
      <c r="AE248">
        <v>1</v>
      </c>
      <c r="AF248">
        <v>1</v>
      </c>
      <c r="AG248">
        <v>1</v>
      </c>
      <c r="AH248">
        <v>1</v>
      </c>
      <c r="AI248">
        <v>1</v>
      </c>
      <c r="AJ248">
        <v>1</v>
      </c>
      <c r="AK248">
        <v>1</v>
      </c>
      <c r="AL248">
        <v>1</v>
      </c>
      <c r="AM248">
        <v>1</v>
      </c>
      <c r="AN248">
        <v>1</v>
      </c>
      <c r="AO248">
        <v>1</v>
      </c>
      <c r="AP248">
        <v>1</v>
      </c>
      <c r="AQ248">
        <v>1</v>
      </c>
      <c r="AR248">
        <v>1</v>
      </c>
      <c r="AS248">
        <v>1</v>
      </c>
      <c r="AT248">
        <v>1</v>
      </c>
      <c r="AU248">
        <v>1</v>
      </c>
      <c r="AV248">
        <v>1</v>
      </c>
      <c r="AW248">
        <v>1</v>
      </c>
      <c r="AX248">
        <v>1</v>
      </c>
      <c r="AY248">
        <v>1</v>
      </c>
      <c r="AZ248">
        <v>1</v>
      </c>
      <c r="BA248">
        <v>1</v>
      </c>
      <c r="BB248">
        <v>1</v>
      </c>
      <c r="BC248">
        <v>1</v>
      </c>
      <c r="BD248">
        <v>1</v>
      </c>
      <c r="BE248">
        <v>1</v>
      </c>
      <c r="BF248">
        <v>1</v>
      </c>
      <c r="BG248">
        <v>1</v>
      </c>
      <c r="BH248">
        <v>1</v>
      </c>
      <c r="BI248">
        <v>1</v>
      </c>
      <c r="BJ248">
        <v>-1</v>
      </c>
      <c r="BK248">
        <v>-1</v>
      </c>
      <c r="BL248">
        <v>-1</v>
      </c>
    </row>
    <row r="249" spans="1:64" x14ac:dyDescent="0.2">
      <c r="A249" t="s">
        <v>409</v>
      </c>
      <c r="B249">
        <f t="shared" si="13"/>
        <v>1.1111111111111112E-2</v>
      </c>
      <c r="C249" s="2">
        <f>'vehicles specifications'!S115</f>
        <v>111</v>
      </c>
      <c r="D249">
        <f t="shared" si="13"/>
        <v>1.1111111111111112E-2</v>
      </c>
      <c r="F249">
        <f>1+'vehicles specifications'!AD115</f>
        <v>1</v>
      </c>
      <c r="G249">
        <f>1+'vehicles specifications'!AD115</f>
        <v>1</v>
      </c>
      <c r="H249">
        <v>1</v>
      </c>
      <c r="I249">
        <v>1</v>
      </c>
      <c r="K249">
        <f>1/('fuels and tailpipe emissions'!$C$3*3.6)</f>
        <v>2.3474178403755867E-2</v>
      </c>
      <c r="L249">
        <f t="shared" si="12"/>
        <v>0.30555555555555558</v>
      </c>
      <c r="M249">
        <f>1/'vehicles specifications'!J115</f>
        <v>2.4691358024691357E-5</v>
      </c>
      <c r="N249">
        <v>1</v>
      </c>
      <c r="O249">
        <f>1</f>
        <v>1</v>
      </c>
      <c r="P249">
        <v>-1</v>
      </c>
      <c r="Q249">
        <v>-1</v>
      </c>
      <c r="R249">
        <f>-1-'vehicles specifications'!AD115</f>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1</v>
      </c>
      <c r="AS249">
        <v>1</v>
      </c>
      <c r="AT249">
        <v>1</v>
      </c>
      <c r="AU249">
        <v>1</v>
      </c>
      <c r="AV249">
        <v>1</v>
      </c>
      <c r="AW249">
        <v>1</v>
      </c>
      <c r="AX249">
        <v>1</v>
      </c>
      <c r="AY249">
        <v>1</v>
      </c>
      <c r="AZ249">
        <v>1</v>
      </c>
      <c r="BA249">
        <v>1</v>
      </c>
      <c r="BB249">
        <v>1</v>
      </c>
      <c r="BC249">
        <v>1</v>
      </c>
      <c r="BD249">
        <v>1</v>
      </c>
      <c r="BE249">
        <v>1</v>
      </c>
      <c r="BF249">
        <v>1</v>
      </c>
      <c r="BG249">
        <v>1</v>
      </c>
      <c r="BH249">
        <v>1</v>
      </c>
      <c r="BI249">
        <v>1</v>
      </c>
      <c r="BJ249">
        <v>-1</v>
      </c>
      <c r="BK249">
        <v>-1</v>
      </c>
      <c r="BL249">
        <v>-1</v>
      </c>
    </row>
    <row r="250" spans="1:64" x14ac:dyDescent="0.2">
      <c r="A250" t="s">
        <v>410</v>
      </c>
      <c r="B250">
        <f t="shared" si="13"/>
        <v>1.1111111111111112E-2</v>
      </c>
      <c r="C250" s="2">
        <f>'vehicles specifications'!S116</f>
        <v>111</v>
      </c>
      <c r="D250">
        <f t="shared" si="13"/>
        <v>1.1111111111111112E-2</v>
      </c>
      <c r="F250">
        <f>1+'vehicles specifications'!AD116</f>
        <v>1</v>
      </c>
      <c r="G250">
        <f>1+'vehicles specifications'!AD116</f>
        <v>1</v>
      </c>
      <c r="H250">
        <v>1</v>
      </c>
      <c r="I250">
        <v>1</v>
      </c>
      <c r="K250">
        <f>1/('fuels and tailpipe emissions'!$C$3*3.6)</f>
        <v>2.3474178403755867E-2</v>
      </c>
      <c r="L250">
        <f t="shared" si="12"/>
        <v>0.30555555555555558</v>
      </c>
      <c r="M250">
        <f>1/'vehicles specifications'!J116</f>
        <v>2.4691358024691357E-5</v>
      </c>
      <c r="N250">
        <v>1</v>
      </c>
      <c r="O250">
        <f>1</f>
        <v>1</v>
      </c>
      <c r="P250">
        <v>-1</v>
      </c>
      <c r="Q250">
        <v>-1</v>
      </c>
      <c r="R250">
        <f>-1-'vehicles specifications'!AD116</f>
        <v>-1</v>
      </c>
      <c r="S250">
        <v>1</v>
      </c>
      <c r="T250">
        <v>1</v>
      </c>
      <c r="U250">
        <v>1</v>
      </c>
      <c r="V250">
        <v>1</v>
      </c>
      <c r="W250">
        <v>1</v>
      </c>
      <c r="X250">
        <v>1</v>
      </c>
      <c r="Y250">
        <v>1</v>
      </c>
      <c r="Z250">
        <v>1</v>
      </c>
      <c r="AA250">
        <v>1</v>
      </c>
      <c r="AB250">
        <v>1</v>
      </c>
      <c r="AC250">
        <v>1</v>
      </c>
      <c r="AD250">
        <v>1</v>
      </c>
      <c r="AE250">
        <v>1</v>
      </c>
      <c r="AF250">
        <v>1</v>
      </c>
      <c r="AG250">
        <v>1</v>
      </c>
      <c r="AH250">
        <v>1</v>
      </c>
      <c r="AI250">
        <v>1</v>
      </c>
      <c r="AJ250">
        <v>1</v>
      </c>
      <c r="AK250">
        <v>1</v>
      </c>
      <c r="AL250">
        <v>1</v>
      </c>
      <c r="AM250">
        <v>1</v>
      </c>
      <c r="AN250">
        <v>1</v>
      </c>
      <c r="AO250">
        <v>1</v>
      </c>
      <c r="AP250">
        <v>1</v>
      </c>
      <c r="AQ250">
        <v>1</v>
      </c>
      <c r="AR250">
        <v>1</v>
      </c>
      <c r="AS250">
        <v>1</v>
      </c>
      <c r="AT250">
        <v>1</v>
      </c>
      <c r="AU250">
        <v>1</v>
      </c>
      <c r="AV250">
        <v>1</v>
      </c>
      <c r="AW250">
        <v>1</v>
      </c>
      <c r="AX250">
        <v>1</v>
      </c>
      <c r="AY250">
        <v>1</v>
      </c>
      <c r="AZ250">
        <v>1</v>
      </c>
      <c r="BA250">
        <v>1</v>
      </c>
      <c r="BB250">
        <v>1</v>
      </c>
      <c r="BC250">
        <v>1</v>
      </c>
      <c r="BD250">
        <v>1</v>
      </c>
      <c r="BE250">
        <v>1</v>
      </c>
      <c r="BF250">
        <v>1</v>
      </c>
      <c r="BG250">
        <v>1</v>
      </c>
      <c r="BH250">
        <v>1</v>
      </c>
      <c r="BI250">
        <v>1</v>
      </c>
      <c r="BJ250">
        <v>-1</v>
      </c>
      <c r="BK250">
        <v>-1</v>
      </c>
      <c r="BL250">
        <v>-1</v>
      </c>
    </row>
    <row r="251" spans="1:64" x14ac:dyDescent="0.2">
      <c r="A251" t="s">
        <v>411</v>
      </c>
      <c r="B251">
        <f t="shared" si="13"/>
        <v>1.1111111111111112E-2</v>
      </c>
      <c r="C251" s="2">
        <f>'vehicles specifications'!S117</f>
        <v>111</v>
      </c>
      <c r="D251">
        <f t="shared" si="13"/>
        <v>1.1111111111111112E-2</v>
      </c>
      <c r="F251">
        <f>1+'vehicles specifications'!AD117</f>
        <v>1</v>
      </c>
      <c r="G251">
        <f>1+'vehicles specifications'!AD117</f>
        <v>1</v>
      </c>
      <c r="H251">
        <v>1</v>
      </c>
      <c r="I251">
        <v>1</v>
      </c>
      <c r="K251">
        <f>1/('fuels and tailpipe emissions'!$C$3*3.6)</f>
        <v>2.3474178403755867E-2</v>
      </c>
      <c r="L251">
        <f t="shared" si="12"/>
        <v>0.30555555555555558</v>
      </c>
      <c r="M251">
        <f>1/'vehicles specifications'!J117</f>
        <v>2.4691358024691357E-5</v>
      </c>
      <c r="N251">
        <v>1</v>
      </c>
      <c r="O251">
        <f>1</f>
        <v>1</v>
      </c>
      <c r="P251">
        <v>-1</v>
      </c>
      <c r="Q251">
        <v>-1</v>
      </c>
      <c r="R251">
        <f>-1-'vehicles specifications'!AD117</f>
        <v>-1</v>
      </c>
      <c r="S251">
        <v>1</v>
      </c>
      <c r="T251">
        <v>1</v>
      </c>
      <c r="U251">
        <v>1</v>
      </c>
      <c r="V251">
        <v>1</v>
      </c>
      <c r="W251">
        <v>1</v>
      </c>
      <c r="X251">
        <v>1</v>
      </c>
      <c r="Y251">
        <v>1</v>
      </c>
      <c r="Z251">
        <v>1</v>
      </c>
      <c r="AA251">
        <v>1</v>
      </c>
      <c r="AB251">
        <v>1</v>
      </c>
      <c r="AC251">
        <v>1</v>
      </c>
      <c r="AD251">
        <v>1</v>
      </c>
      <c r="AE251">
        <v>1</v>
      </c>
      <c r="AF251">
        <v>1</v>
      </c>
      <c r="AG251">
        <v>1</v>
      </c>
      <c r="AH251">
        <v>1</v>
      </c>
      <c r="AI251">
        <v>1</v>
      </c>
      <c r="AJ251">
        <v>1</v>
      </c>
      <c r="AK251">
        <v>1</v>
      </c>
      <c r="AL251">
        <v>1</v>
      </c>
      <c r="AM251">
        <v>1</v>
      </c>
      <c r="AN251">
        <v>1</v>
      </c>
      <c r="AO251">
        <v>1</v>
      </c>
      <c r="AP251">
        <v>1</v>
      </c>
      <c r="AQ251">
        <v>1</v>
      </c>
      <c r="AR251">
        <v>1</v>
      </c>
      <c r="AS251">
        <v>1</v>
      </c>
      <c r="AT251">
        <v>1</v>
      </c>
      <c r="AU251">
        <v>1</v>
      </c>
      <c r="AV251">
        <v>1</v>
      </c>
      <c r="AW251">
        <v>1</v>
      </c>
      <c r="AX251">
        <v>1</v>
      </c>
      <c r="AY251">
        <v>1</v>
      </c>
      <c r="AZ251">
        <v>1</v>
      </c>
      <c r="BA251">
        <v>1</v>
      </c>
      <c r="BB251">
        <v>1</v>
      </c>
      <c r="BC251">
        <v>1</v>
      </c>
      <c r="BD251">
        <v>1</v>
      </c>
      <c r="BE251">
        <v>1</v>
      </c>
      <c r="BF251">
        <v>1</v>
      </c>
      <c r="BG251">
        <v>1</v>
      </c>
      <c r="BH251">
        <v>1</v>
      </c>
      <c r="BI251">
        <v>1</v>
      </c>
      <c r="BJ251">
        <v>-1</v>
      </c>
      <c r="BK251">
        <v>-1</v>
      </c>
      <c r="BL251">
        <v>-1</v>
      </c>
    </row>
    <row r="252" spans="1:64" x14ac:dyDescent="0.2">
      <c r="A252" t="s">
        <v>412</v>
      </c>
      <c r="B252">
        <f t="shared" si="13"/>
        <v>1.1111111111111112E-2</v>
      </c>
      <c r="C252" s="2">
        <f>'vehicles specifications'!S118</f>
        <v>111</v>
      </c>
      <c r="D252">
        <f t="shared" si="13"/>
        <v>1.1111111111111112E-2</v>
      </c>
      <c r="F252">
        <f>1+'vehicles specifications'!AD118</f>
        <v>1</v>
      </c>
      <c r="G252">
        <f>1+'vehicles specifications'!AD118</f>
        <v>1</v>
      </c>
      <c r="H252">
        <v>1</v>
      </c>
      <c r="I252">
        <v>1</v>
      </c>
      <c r="K252">
        <f>1/('fuels and tailpipe emissions'!$C$3*3.6)</f>
        <v>2.3474178403755867E-2</v>
      </c>
      <c r="L252">
        <f t="shared" si="12"/>
        <v>0.30555555555555558</v>
      </c>
      <c r="M252">
        <f>1/'vehicles specifications'!J118</f>
        <v>2.4691358024691357E-5</v>
      </c>
      <c r="N252">
        <v>1</v>
      </c>
      <c r="O252">
        <f>1</f>
        <v>1</v>
      </c>
      <c r="P252">
        <v>-1</v>
      </c>
      <c r="Q252">
        <v>-1</v>
      </c>
      <c r="R252">
        <f>-1-'vehicles specifications'!AD118</f>
        <v>-1</v>
      </c>
      <c r="S252">
        <v>1</v>
      </c>
      <c r="T252">
        <v>1</v>
      </c>
      <c r="U252">
        <v>1</v>
      </c>
      <c r="V252">
        <v>1</v>
      </c>
      <c r="W252">
        <v>1</v>
      </c>
      <c r="X252">
        <v>1</v>
      </c>
      <c r="Y252">
        <v>1</v>
      </c>
      <c r="Z252">
        <v>1</v>
      </c>
      <c r="AA252">
        <v>1</v>
      </c>
      <c r="AB252">
        <v>1</v>
      </c>
      <c r="AC252">
        <v>1</v>
      </c>
      <c r="AD252">
        <v>1</v>
      </c>
      <c r="AE252">
        <v>1</v>
      </c>
      <c r="AF252">
        <v>1</v>
      </c>
      <c r="AG252">
        <v>1</v>
      </c>
      <c r="AH252">
        <v>1</v>
      </c>
      <c r="AI252">
        <v>1</v>
      </c>
      <c r="AJ252">
        <v>1</v>
      </c>
      <c r="AK252">
        <v>1</v>
      </c>
      <c r="AL252">
        <v>1</v>
      </c>
      <c r="AM252">
        <v>1</v>
      </c>
      <c r="AN252">
        <v>1</v>
      </c>
      <c r="AO252">
        <v>1</v>
      </c>
      <c r="AP252">
        <v>1</v>
      </c>
      <c r="AQ252">
        <v>1</v>
      </c>
      <c r="AR252">
        <v>1</v>
      </c>
      <c r="AS252">
        <v>1</v>
      </c>
      <c r="AT252">
        <v>1</v>
      </c>
      <c r="AU252">
        <v>1</v>
      </c>
      <c r="AV252">
        <v>1</v>
      </c>
      <c r="AW252">
        <v>1</v>
      </c>
      <c r="AX252">
        <v>1</v>
      </c>
      <c r="AY252">
        <v>1</v>
      </c>
      <c r="AZ252">
        <v>1</v>
      </c>
      <c r="BA252">
        <v>1</v>
      </c>
      <c r="BB252">
        <v>1</v>
      </c>
      <c r="BC252">
        <v>1</v>
      </c>
      <c r="BD252">
        <v>1</v>
      </c>
      <c r="BE252">
        <v>1</v>
      </c>
      <c r="BF252">
        <v>1</v>
      </c>
      <c r="BG252">
        <v>1</v>
      </c>
      <c r="BH252">
        <v>1</v>
      </c>
      <c r="BI252">
        <v>1</v>
      </c>
      <c r="BJ252">
        <v>-1</v>
      </c>
      <c r="BK252">
        <v>-1</v>
      </c>
      <c r="BL252">
        <v>-1</v>
      </c>
    </row>
    <row r="253" spans="1:64" x14ac:dyDescent="0.2">
      <c r="A253" t="s">
        <v>488</v>
      </c>
      <c r="B253">
        <v>1</v>
      </c>
      <c r="C253" s="2">
        <f>'vehicles specifications'!S151</f>
        <v>53</v>
      </c>
      <c r="D253">
        <v>1</v>
      </c>
      <c r="E253">
        <v>1</v>
      </c>
      <c r="F253">
        <f>1+'vehicles specifications'!AD151</f>
        <v>2</v>
      </c>
      <c r="G253">
        <f>1+'vehicles specifications'!AD151</f>
        <v>2</v>
      </c>
      <c r="J253">
        <v>1</v>
      </c>
      <c r="K253">
        <f>1/('fuels and tailpipe emissions'!$C$3*3.6)</f>
        <v>2.3474178403755867E-2</v>
      </c>
      <c r="L253">
        <f t="shared" si="12"/>
        <v>0.30555555555555558</v>
      </c>
      <c r="M253">
        <f>1/'vehicles specifications'!J151</f>
        <v>4.0000000000000003E-5</v>
      </c>
      <c r="N253">
        <v>1</v>
      </c>
      <c r="O253">
        <f>1</f>
        <v>1</v>
      </c>
      <c r="P253">
        <v>1</v>
      </c>
      <c r="Q253">
        <v>1</v>
      </c>
      <c r="R253">
        <f>-1-'vehicles specifications'!AD151</f>
        <v>-2</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row>
    <row r="254" spans="1:64" x14ac:dyDescent="0.2">
      <c r="A254" t="s">
        <v>489</v>
      </c>
      <c r="B254">
        <v>1</v>
      </c>
      <c r="C254" s="2">
        <f>'vehicles specifications'!S137</f>
        <v>53</v>
      </c>
      <c r="D254">
        <v>1</v>
      </c>
      <c r="E254">
        <v>1</v>
      </c>
      <c r="F254">
        <f>1+'vehicles specifications'!AD137</f>
        <v>1.25</v>
      </c>
      <c r="G254">
        <f>1+'vehicles specifications'!AD137</f>
        <v>1.25</v>
      </c>
      <c r="J254">
        <v>1</v>
      </c>
      <c r="K254">
        <f>1/('fuels and tailpipe emissions'!$C$3*3.6)</f>
        <v>2.3474178403755867E-2</v>
      </c>
      <c r="L254">
        <f t="shared" si="12"/>
        <v>0.30555555555555558</v>
      </c>
      <c r="M254">
        <f>1/'vehicles specifications'!J137</f>
        <v>4.0000000000000003E-5</v>
      </c>
      <c r="N254">
        <v>1</v>
      </c>
      <c r="O254">
        <f>1</f>
        <v>1</v>
      </c>
      <c r="P254">
        <v>1</v>
      </c>
      <c r="Q254">
        <v>1</v>
      </c>
      <c r="R254">
        <f>-1-'vehicles specifications'!AD137</f>
        <v>-1.25</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c r="AS254">
        <v>1</v>
      </c>
      <c r="AT254">
        <v>1</v>
      </c>
      <c r="AU254">
        <v>1</v>
      </c>
      <c r="AV254">
        <v>1</v>
      </c>
      <c r="AW254">
        <v>1</v>
      </c>
      <c r="AX254">
        <v>1</v>
      </c>
      <c r="AY254">
        <v>1</v>
      </c>
      <c r="AZ254">
        <v>1</v>
      </c>
      <c r="BA254">
        <v>1</v>
      </c>
      <c r="BB254">
        <v>1</v>
      </c>
      <c r="BC254">
        <v>1</v>
      </c>
      <c r="BD254">
        <v>1</v>
      </c>
      <c r="BE254">
        <v>1</v>
      </c>
      <c r="BF254">
        <v>1</v>
      </c>
      <c r="BG254">
        <v>1</v>
      </c>
      <c r="BH254">
        <v>1</v>
      </c>
      <c r="BI254">
        <v>1</v>
      </c>
      <c r="BJ254">
        <v>-1</v>
      </c>
      <c r="BK254">
        <v>-1</v>
      </c>
      <c r="BL254">
        <v>-1</v>
      </c>
    </row>
    <row r="255" spans="1:64" x14ac:dyDescent="0.2">
      <c r="A255" t="s">
        <v>490</v>
      </c>
      <c r="B255">
        <v>1</v>
      </c>
      <c r="C255" s="2">
        <f>'vehicles specifications'!S138</f>
        <v>53</v>
      </c>
      <c r="D255">
        <v>1</v>
      </c>
      <c r="E255">
        <v>1</v>
      </c>
      <c r="F255">
        <f>1+'vehicles specifications'!AD138</f>
        <v>1</v>
      </c>
      <c r="G255">
        <f>1+'vehicles specifications'!AD138</f>
        <v>1</v>
      </c>
      <c r="J255">
        <v>1</v>
      </c>
      <c r="K255">
        <f>1/('fuels and tailpipe emissions'!$C$3*3.6)</f>
        <v>2.3474178403755867E-2</v>
      </c>
      <c r="L255">
        <f t="shared" si="12"/>
        <v>0.30555555555555558</v>
      </c>
      <c r="M255">
        <f>1/'vehicles specifications'!J138</f>
        <v>4.0000000000000003E-5</v>
      </c>
      <c r="N255">
        <v>1</v>
      </c>
      <c r="O255">
        <f>1</f>
        <v>1</v>
      </c>
      <c r="P255">
        <v>1</v>
      </c>
      <c r="Q255">
        <v>1</v>
      </c>
      <c r="R255">
        <f>-1-'vehicles specifications'!AD138</f>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c r="AS255">
        <v>1</v>
      </c>
      <c r="AT255">
        <v>1</v>
      </c>
      <c r="AU255">
        <v>1</v>
      </c>
      <c r="AV255">
        <v>1</v>
      </c>
      <c r="AW255">
        <v>1</v>
      </c>
      <c r="AX255">
        <v>1</v>
      </c>
      <c r="AY255">
        <v>1</v>
      </c>
      <c r="AZ255">
        <v>1</v>
      </c>
      <c r="BA255">
        <v>1</v>
      </c>
      <c r="BB255">
        <v>1</v>
      </c>
      <c r="BC255">
        <v>1</v>
      </c>
      <c r="BD255">
        <v>1</v>
      </c>
      <c r="BE255">
        <v>1</v>
      </c>
      <c r="BF255">
        <v>1</v>
      </c>
      <c r="BG255">
        <v>1</v>
      </c>
      <c r="BH255">
        <v>1</v>
      </c>
      <c r="BI255">
        <v>1</v>
      </c>
      <c r="BJ255">
        <v>-1</v>
      </c>
      <c r="BK255">
        <v>-1</v>
      </c>
      <c r="BL255">
        <v>-1</v>
      </c>
    </row>
    <row r="256" spans="1:64" x14ac:dyDescent="0.2">
      <c r="A256" t="s">
        <v>491</v>
      </c>
      <c r="B256">
        <v>1</v>
      </c>
      <c r="C256" s="2">
        <f>'vehicles specifications'!S139</f>
        <v>65.433826960328489</v>
      </c>
      <c r="D256">
        <v>1</v>
      </c>
      <c r="E256">
        <v>1</v>
      </c>
      <c r="F256">
        <f>1+'vehicles specifications'!AD139</f>
        <v>2</v>
      </c>
      <c r="G256">
        <f>1+'vehicles specifications'!AD139</f>
        <v>2</v>
      </c>
      <c r="J256">
        <v>1</v>
      </c>
      <c r="K256">
        <f>1/('fuels and tailpipe emissions'!$C$3*3.6)</f>
        <v>2.3474178403755867E-2</v>
      </c>
      <c r="L256">
        <f t="shared" si="12"/>
        <v>0.30555555555555558</v>
      </c>
      <c r="M256">
        <f>1/'vehicles specifications'!J139</f>
        <v>4.0000000000000003E-5</v>
      </c>
      <c r="N256">
        <v>1</v>
      </c>
      <c r="O256">
        <f>1</f>
        <v>1</v>
      </c>
      <c r="P256">
        <v>1</v>
      </c>
      <c r="Q256">
        <v>1</v>
      </c>
      <c r="R256">
        <f>-1-'vehicles specifications'!AD139</f>
        <v>-2</v>
      </c>
      <c r="S256">
        <v>1</v>
      </c>
      <c r="T256">
        <v>1</v>
      </c>
      <c r="U256">
        <v>1</v>
      </c>
      <c r="V256">
        <v>1</v>
      </c>
      <c r="W256">
        <v>1</v>
      </c>
      <c r="X256">
        <v>1</v>
      </c>
      <c r="Y256">
        <v>1</v>
      </c>
      <c r="Z256">
        <v>1</v>
      </c>
      <c r="AA256">
        <v>1</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1</v>
      </c>
      <c r="BI256">
        <v>1</v>
      </c>
      <c r="BJ256">
        <v>-1</v>
      </c>
      <c r="BK256">
        <v>-1</v>
      </c>
      <c r="BL256">
        <v>-1</v>
      </c>
    </row>
    <row r="257" spans="1:64" x14ac:dyDescent="0.2">
      <c r="A257" t="s">
        <v>492</v>
      </c>
      <c r="B257">
        <v>1</v>
      </c>
      <c r="C257" s="2">
        <f>'vehicles specifications'!S140</f>
        <v>65.433826960328489</v>
      </c>
      <c r="D257">
        <v>1</v>
      </c>
      <c r="E257">
        <v>1</v>
      </c>
      <c r="F257">
        <f>1+'vehicles specifications'!AD140</f>
        <v>1.5</v>
      </c>
      <c r="G257">
        <f>1+'vehicles specifications'!AD140</f>
        <v>1.5</v>
      </c>
      <c r="J257">
        <v>1</v>
      </c>
      <c r="K257">
        <f>1/('fuels and tailpipe emissions'!$C$3*3.6)</f>
        <v>2.3474178403755867E-2</v>
      </c>
      <c r="L257">
        <f t="shared" si="12"/>
        <v>0.30555555555555558</v>
      </c>
      <c r="M257">
        <f>1/'vehicles specifications'!J140</f>
        <v>4.0000000000000003E-5</v>
      </c>
      <c r="N257">
        <v>1</v>
      </c>
      <c r="O257">
        <f>1</f>
        <v>1</v>
      </c>
      <c r="P257">
        <v>1</v>
      </c>
      <c r="Q257">
        <v>1</v>
      </c>
      <c r="R257">
        <f>-1-'vehicles specifications'!AD140</f>
        <v>-1.5</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row>
    <row r="258" spans="1:64" x14ac:dyDescent="0.2">
      <c r="A258" t="s">
        <v>493</v>
      </c>
      <c r="B258">
        <v>1</v>
      </c>
      <c r="C258" s="2">
        <f>'vehicles specifications'!S141</f>
        <v>65.433826960328489</v>
      </c>
      <c r="D258">
        <v>1</v>
      </c>
      <c r="E258">
        <v>1</v>
      </c>
      <c r="F258">
        <f>1+'vehicles specifications'!AD141</f>
        <v>1.25</v>
      </c>
      <c r="G258">
        <f>1+'vehicles specifications'!AD141</f>
        <v>1.25</v>
      </c>
      <c r="J258">
        <v>1</v>
      </c>
      <c r="K258">
        <f>1/('fuels and tailpipe emissions'!$C$3*3.6)</f>
        <v>2.3474178403755867E-2</v>
      </c>
      <c r="L258">
        <f t="shared" si="12"/>
        <v>0.30555555555555558</v>
      </c>
      <c r="M258">
        <f>1/'vehicles specifications'!J141</f>
        <v>4.0000000000000003E-5</v>
      </c>
      <c r="N258">
        <v>1</v>
      </c>
      <c r="O258">
        <f>1</f>
        <v>1</v>
      </c>
      <c r="P258">
        <v>1</v>
      </c>
      <c r="Q258">
        <v>1</v>
      </c>
      <c r="R258">
        <f>-1-'vehicles specifications'!AD141</f>
        <v>-1.25</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row>
    <row r="259" spans="1:64" x14ac:dyDescent="0.2">
      <c r="A259" t="s">
        <v>494</v>
      </c>
      <c r="B259">
        <v>1</v>
      </c>
      <c r="C259" s="2">
        <f>'vehicles specifications'!S142</f>
        <v>65.433826960328489</v>
      </c>
      <c r="D259">
        <v>1</v>
      </c>
      <c r="E259">
        <v>1</v>
      </c>
      <c r="F259">
        <f>1+'vehicles specifications'!AD142</f>
        <v>1</v>
      </c>
      <c r="G259">
        <f>1+'vehicles specifications'!AD142</f>
        <v>1</v>
      </c>
      <c r="J259">
        <v>1</v>
      </c>
      <c r="K259">
        <f>1/('fuels and tailpipe emissions'!$C$3*3.6)</f>
        <v>2.3474178403755867E-2</v>
      </c>
      <c r="L259">
        <f t="shared" si="12"/>
        <v>0.30555555555555558</v>
      </c>
      <c r="M259">
        <f>1/'vehicles specifications'!J142</f>
        <v>4.0000000000000003E-5</v>
      </c>
      <c r="N259">
        <v>1</v>
      </c>
      <c r="O259">
        <f>1</f>
        <v>1</v>
      </c>
      <c r="P259">
        <v>1</v>
      </c>
      <c r="Q259">
        <v>1</v>
      </c>
      <c r="R259">
        <f>-1-'vehicles specifications'!AD142</f>
        <v>-1</v>
      </c>
      <c r="S259">
        <v>1</v>
      </c>
      <c r="T259">
        <v>1</v>
      </c>
      <c r="U259">
        <v>1</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1</v>
      </c>
      <c r="AP259">
        <v>1</v>
      </c>
      <c r="AQ259">
        <v>1</v>
      </c>
      <c r="AR259">
        <v>1</v>
      </c>
      <c r="AS259">
        <v>1</v>
      </c>
      <c r="AT259">
        <v>1</v>
      </c>
      <c r="AU259">
        <v>1</v>
      </c>
      <c r="AV259">
        <v>1</v>
      </c>
      <c r="AW259">
        <v>1</v>
      </c>
      <c r="AX259">
        <v>1</v>
      </c>
      <c r="AY259">
        <v>1</v>
      </c>
      <c r="AZ259">
        <v>1</v>
      </c>
      <c r="BA259">
        <v>1</v>
      </c>
      <c r="BB259">
        <v>1</v>
      </c>
      <c r="BC259">
        <v>1</v>
      </c>
      <c r="BD259">
        <v>1</v>
      </c>
      <c r="BE259">
        <v>1</v>
      </c>
      <c r="BF259">
        <v>1</v>
      </c>
      <c r="BG259">
        <v>1</v>
      </c>
      <c r="BH259">
        <v>1</v>
      </c>
      <c r="BI259">
        <v>1</v>
      </c>
      <c r="BJ259">
        <v>-1</v>
      </c>
      <c r="BK259">
        <v>-1</v>
      </c>
      <c r="BL259">
        <v>-1</v>
      </c>
    </row>
    <row r="260" spans="1:64" x14ac:dyDescent="0.2">
      <c r="A260" t="s">
        <v>495</v>
      </c>
      <c r="B260">
        <v>1</v>
      </c>
      <c r="C260" s="2">
        <f>'vehicles specifications'!S143</f>
        <v>81</v>
      </c>
      <c r="D260">
        <v>1</v>
      </c>
      <c r="E260">
        <v>1</v>
      </c>
      <c r="F260">
        <f>1+'vehicles specifications'!AD143</f>
        <v>2</v>
      </c>
      <c r="G260">
        <f>1+'vehicles specifications'!AD143</f>
        <v>2</v>
      </c>
      <c r="J260">
        <v>1</v>
      </c>
      <c r="K260">
        <f>1/('fuels and tailpipe emissions'!$C$3*3.6)</f>
        <v>2.3474178403755867E-2</v>
      </c>
      <c r="L260">
        <f t="shared" si="12"/>
        <v>0.30555555555555558</v>
      </c>
      <c r="M260">
        <f>1/'vehicles specifications'!J143</f>
        <v>2.5974025974025975E-5</v>
      </c>
      <c r="N260">
        <v>1</v>
      </c>
      <c r="O260">
        <f>1</f>
        <v>1</v>
      </c>
      <c r="P260">
        <v>1</v>
      </c>
      <c r="Q260">
        <v>1</v>
      </c>
      <c r="R260">
        <f>-1-'vehicles specifications'!AD143</f>
        <v>-2</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Y260">
        <v>1</v>
      </c>
      <c r="AZ260">
        <v>1</v>
      </c>
      <c r="BA260">
        <v>1</v>
      </c>
      <c r="BB260">
        <v>1</v>
      </c>
      <c r="BC260">
        <v>1</v>
      </c>
      <c r="BD260">
        <v>1</v>
      </c>
      <c r="BE260">
        <v>1</v>
      </c>
      <c r="BF260">
        <v>1</v>
      </c>
      <c r="BG260">
        <v>1</v>
      </c>
      <c r="BH260">
        <v>1</v>
      </c>
      <c r="BI260">
        <v>1</v>
      </c>
      <c r="BJ260">
        <v>-1</v>
      </c>
      <c r="BK260">
        <v>-1</v>
      </c>
      <c r="BL260">
        <v>-1</v>
      </c>
    </row>
    <row r="261" spans="1:64" x14ac:dyDescent="0.2">
      <c r="A261" t="s">
        <v>496</v>
      </c>
      <c r="B261">
        <v>1</v>
      </c>
      <c r="C261" s="2">
        <f>'vehicles specifications'!S144</f>
        <v>81</v>
      </c>
      <c r="D261">
        <v>1</v>
      </c>
      <c r="E261">
        <v>1</v>
      </c>
      <c r="F261">
        <f>1+'vehicles specifications'!AD144</f>
        <v>1.5</v>
      </c>
      <c r="G261">
        <f>1+'vehicles specifications'!AD144</f>
        <v>1.5</v>
      </c>
      <c r="J261">
        <v>1</v>
      </c>
      <c r="K261">
        <f>1/('fuels and tailpipe emissions'!$C$3*3.6)</f>
        <v>2.3474178403755867E-2</v>
      </c>
      <c r="L261">
        <f t="shared" si="12"/>
        <v>0.30555555555555558</v>
      </c>
      <c r="M261">
        <f>1/'vehicles specifications'!J144</f>
        <v>2.5974025974025975E-5</v>
      </c>
      <c r="N261">
        <v>1</v>
      </c>
      <c r="O261">
        <f>1</f>
        <v>1</v>
      </c>
      <c r="P261">
        <v>1</v>
      </c>
      <c r="Q261">
        <v>1</v>
      </c>
      <c r="R261">
        <f>-1-'vehicles specifications'!AD144</f>
        <v>-1.5</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v>1</v>
      </c>
      <c r="AU261">
        <v>1</v>
      </c>
      <c r="AV261">
        <v>1</v>
      </c>
      <c r="AW261">
        <v>1</v>
      </c>
      <c r="AX261">
        <v>1</v>
      </c>
      <c r="AY261">
        <v>1</v>
      </c>
      <c r="AZ261">
        <v>1</v>
      </c>
      <c r="BA261">
        <v>1</v>
      </c>
      <c r="BB261">
        <v>1</v>
      </c>
      <c r="BC261">
        <v>1</v>
      </c>
      <c r="BD261">
        <v>1</v>
      </c>
      <c r="BE261">
        <v>1</v>
      </c>
      <c r="BF261">
        <v>1</v>
      </c>
      <c r="BG261">
        <v>1</v>
      </c>
      <c r="BH261">
        <v>1</v>
      </c>
      <c r="BI261">
        <v>1</v>
      </c>
      <c r="BJ261">
        <v>-1</v>
      </c>
      <c r="BK261">
        <v>-1</v>
      </c>
      <c r="BL261">
        <v>-1</v>
      </c>
    </row>
    <row r="262" spans="1:64" x14ac:dyDescent="0.2">
      <c r="A262" t="s">
        <v>497</v>
      </c>
      <c r="B262">
        <v>1</v>
      </c>
      <c r="C262" s="2">
        <f>'vehicles specifications'!S145</f>
        <v>81</v>
      </c>
      <c r="D262">
        <v>1</v>
      </c>
      <c r="E262">
        <v>1</v>
      </c>
      <c r="F262">
        <f>1+'vehicles specifications'!AD145</f>
        <v>1.25</v>
      </c>
      <c r="G262">
        <f>1+'vehicles specifications'!AD145</f>
        <v>1.25</v>
      </c>
      <c r="J262">
        <v>1</v>
      </c>
      <c r="K262">
        <f>1/('fuels and tailpipe emissions'!$C$3*3.6)</f>
        <v>2.3474178403755867E-2</v>
      </c>
      <c r="L262">
        <f t="shared" si="12"/>
        <v>0.30555555555555558</v>
      </c>
      <c r="M262">
        <f>1/'vehicles specifications'!J145</f>
        <v>2.5974025974025975E-5</v>
      </c>
      <c r="N262">
        <v>1</v>
      </c>
      <c r="O262">
        <f>1</f>
        <v>1</v>
      </c>
      <c r="P262">
        <v>1</v>
      </c>
      <c r="Q262">
        <v>1</v>
      </c>
      <c r="R262">
        <f>-1-'vehicles specifications'!AD145</f>
        <v>-1.25</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c r="BA262">
        <v>1</v>
      </c>
      <c r="BB262">
        <v>1</v>
      </c>
      <c r="BC262">
        <v>1</v>
      </c>
      <c r="BD262">
        <v>1</v>
      </c>
      <c r="BE262">
        <v>1</v>
      </c>
      <c r="BF262">
        <v>1</v>
      </c>
      <c r="BG262">
        <v>1</v>
      </c>
      <c r="BH262">
        <v>1</v>
      </c>
      <c r="BI262">
        <v>1</v>
      </c>
      <c r="BJ262">
        <v>-1</v>
      </c>
      <c r="BK262">
        <v>-1</v>
      </c>
      <c r="BL262">
        <v>-1</v>
      </c>
    </row>
    <row r="263" spans="1:64" x14ac:dyDescent="0.2">
      <c r="A263" t="s">
        <v>498</v>
      </c>
      <c r="B263">
        <v>1</v>
      </c>
      <c r="C263" s="2">
        <f>'vehicles specifications'!S146</f>
        <v>81</v>
      </c>
      <c r="D263">
        <v>1</v>
      </c>
      <c r="E263">
        <v>1</v>
      </c>
      <c r="F263">
        <f>1+'vehicles specifications'!AD146</f>
        <v>1</v>
      </c>
      <c r="G263">
        <f>1+'vehicles specifications'!AD146</f>
        <v>1</v>
      </c>
      <c r="J263">
        <v>1</v>
      </c>
      <c r="K263">
        <f>1/('fuels and tailpipe emissions'!$C$3*3.6)</f>
        <v>2.3474178403755867E-2</v>
      </c>
      <c r="L263">
        <f t="shared" si="12"/>
        <v>0.30555555555555558</v>
      </c>
      <c r="M263">
        <f>1/'vehicles specifications'!J146</f>
        <v>2.5974025974025975E-5</v>
      </c>
      <c r="N263">
        <v>1</v>
      </c>
      <c r="O263">
        <f>1</f>
        <v>1</v>
      </c>
      <c r="P263">
        <v>1</v>
      </c>
      <c r="Q263">
        <v>1</v>
      </c>
      <c r="R263">
        <f>-1-'vehicles specifications'!AD146</f>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c r="AS263">
        <v>1</v>
      </c>
      <c r="AT263">
        <v>1</v>
      </c>
      <c r="AU263">
        <v>1</v>
      </c>
      <c r="AV263">
        <v>1</v>
      </c>
      <c r="AW263">
        <v>1</v>
      </c>
      <c r="AX263">
        <v>1</v>
      </c>
      <c r="AY263">
        <v>1</v>
      </c>
      <c r="AZ263">
        <v>1</v>
      </c>
      <c r="BA263">
        <v>1</v>
      </c>
      <c r="BB263">
        <v>1</v>
      </c>
      <c r="BC263">
        <v>1</v>
      </c>
      <c r="BD263">
        <v>1</v>
      </c>
      <c r="BE263">
        <v>1</v>
      </c>
      <c r="BF263">
        <v>1</v>
      </c>
      <c r="BG263">
        <v>1</v>
      </c>
      <c r="BH263">
        <v>1</v>
      </c>
      <c r="BI263">
        <v>1</v>
      </c>
      <c r="BJ263">
        <v>-1</v>
      </c>
      <c r="BK263">
        <v>-1</v>
      </c>
      <c r="BL263">
        <v>-1</v>
      </c>
    </row>
    <row r="264" spans="1:64" x14ac:dyDescent="0.2">
      <c r="A264" t="s">
        <v>499</v>
      </c>
      <c r="B264">
        <v>1</v>
      </c>
      <c r="C264" s="2">
        <f>'vehicles specifications'!S147</f>
        <v>111</v>
      </c>
      <c r="D264">
        <v>1</v>
      </c>
      <c r="E264">
        <v>1</v>
      </c>
      <c r="F264">
        <f>1+'vehicles specifications'!AD147</f>
        <v>2</v>
      </c>
      <c r="G264">
        <f>1+'vehicles specifications'!AD147</f>
        <v>2</v>
      </c>
      <c r="J264">
        <v>1</v>
      </c>
      <c r="K264">
        <f>1/('fuels and tailpipe emissions'!$C$3*3.6)</f>
        <v>2.3474178403755867E-2</v>
      </c>
      <c r="L264">
        <f t="shared" si="12"/>
        <v>0.30555555555555558</v>
      </c>
      <c r="M264">
        <f>1/'vehicles specifications'!J147</f>
        <v>2.4691358024691357E-5</v>
      </c>
      <c r="N264">
        <v>1</v>
      </c>
      <c r="O264">
        <f>1</f>
        <v>1</v>
      </c>
      <c r="P264">
        <v>1</v>
      </c>
      <c r="Q264">
        <v>1</v>
      </c>
      <c r="R264">
        <f>-1-'vehicles specifications'!AD147</f>
        <v>-2</v>
      </c>
      <c r="S264">
        <v>1</v>
      </c>
      <c r="T264">
        <v>1</v>
      </c>
      <c r="U264">
        <v>1</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c r="AS264">
        <v>1</v>
      </c>
      <c r="AT264">
        <v>1</v>
      </c>
      <c r="AU264">
        <v>1</v>
      </c>
      <c r="AV264">
        <v>1</v>
      </c>
      <c r="AW264">
        <v>1</v>
      </c>
      <c r="AX264">
        <v>1</v>
      </c>
      <c r="AY264">
        <v>1</v>
      </c>
      <c r="AZ264">
        <v>1</v>
      </c>
      <c r="BA264">
        <v>1</v>
      </c>
      <c r="BB264">
        <v>1</v>
      </c>
      <c r="BC264">
        <v>1</v>
      </c>
      <c r="BD264">
        <v>1</v>
      </c>
      <c r="BE264">
        <v>1</v>
      </c>
      <c r="BF264">
        <v>1</v>
      </c>
      <c r="BG264">
        <v>1</v>
      </c>
      <c r="BH264">
        <v>1</v>
      </c>
      <c r="BI264">
        <v>1</v>
      </c>
      <c r="BJ264">
        <v>-1</v>
      </c>
      <c r="BK264">
        <v>-1</v>
      </c>
      <c r="BL264">
        <v>-1</v>
      </c>
    </row>
    <row r="265" spans="1:64" x14ac:dyDescent="0.2">
      <c r="A265" t="s">
        <v>500</v>
      </c>
      <c r="B265">
        <v>1</v>
      </c>
      <c r="C265" s="2">
        <f>'vehicles specifications'!S148</f>
        <v>111</v>
      </c>
      <c r="D265">
        <v>1</v>
      </c>
      <c r="E265">
        <v>1</v>
      </c>
      <c r="F265">
        <f>1+'vehicles specifications'!AD148</f>
        <v>1.5</v>
      </c>
      <c r="G265">
        <f>1+'vehicles specifications'!AD148</f>
        <v>1.5</v>
      </c>
      <c r="J265">
        <v>1</v>
      </c>
      <c r="K265">
        <f>1/('fuels and tailpipe emissions'!$C$3*3.6)</f>
        <v>2.3474178403755867E-2</v>
      </c>
      <c r="L265">
        <f t="shared" si="12"/>
        <v>0.30555555555555558</v>
      </c>
      <c r="M265">
        <f>1/'vehicles specifications'!J148</f>
        <v>2.4691358024691357E-5</v>
      </c>
      <c r="N265">
        <v>1</v>
      </c>
      <c r="O265">
        <f>1</f>
        <v>1</v>
      </c>
      <c r="P265">
        <v>1</v>
      </c>
      <c r="Q265">
        <v>1</v>
      </c>
      <c r="R265">
        <f>-1-'vehicles specifications'!AD148</f>
        <v>-1.5</v>
      </c>
      <c r="S265">
        <v>1</v>
      </c>
      <c r="T265">
        <v>1</v>
      </c>
      <c r="U265">
        <v>1</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c r="AS265">
        <v>1</v>
      </c>
      <c r="AT265">
        <v>1</v>
      </c>
      <c r="AU265">
        <v>1</v>
      </c>
      <c r="AV265">
        <v>1</v>
      </c>
      <c r="AW265">
        <v>1</v>
      </c>
      <c r="AX265">
        <v>1</v>
      </c>
      <c r="AY265">
        <v>1</v>
      </c>
      <c r="AZ265">
        <v>1</v>
      </c>
      <c r="BA265">
        <v>1</v>
      </c>
      <c r="BB265">
        <v>1</v>
      </c>
      <c r="BC265">
        <v>1</v>
      </c>
      <c r="BD265">
        <v>1</v>
      </c>
      <c r="BE265">
        <v>1</v>
      </c>
      <c r="BF265">
        <v>1</v>
      </c>
      <c r="BG265">
        <v>1</v>
      </c>
      <c r="BH265">
        <v>1</v>
      </c>
      <c r="BI265">
        <v>1</v>
      </c>
      <c r="BJ265">
        <v>-1</v>
      </c>
      <c r="BK265">
        <v>-1</v>
      </c>
      <c r="BL265">
        <v>-1</v>
      </c>
    </row>
    <row r="266" spans="1:64" x14ac:dyDescent="0.2">
      <c r="A266" t="s">
        <v>501</v>
      </c>
      <c r="B266">
        <v>1</v>
      </c>
      <c r="C266" s="2">
        <f>'vehicles specifications'!S149</f>
        <v>111</v>
      </c>
      <c r="D266">
        <v>1</v>
      </c>
      <c r="E266">
        <v>1</v>
      </c>
      <c r="F266">
        <f>1+'vehicles specifications'!AD149</f>
        <v>1.25</v>
      </c>
      <c r="G266">
        <f>1+'vehicles specifications'!AD149</f>
        <v>1.25</v>
      </c>
      <c r="J266">
        <v>1</v>
      </c>
      <c r="K266">
        <f>1/('fuels and tailpipe emissions'!$C$3*3.6)</f>
        <v>2.3474178403755867E-2</v>
      </c>
      <c r="L266">
        <f t="shared" si="12"/>
        <v>0.30555555555555558</v>
      </c>
      <c r="M266">
        <f>1/'vehicles specifications'!J149</f>
        <v>2.4691358024691357E-5</v>
      </c>
      <c r="N266">
        <v>1</v>
      </c>
      <c r="O266">
        <f>1</f>
        <v>1</v>
      </c>
      <c r="P266">
        <v>1</v>
      </c>
      <c r="Q266">
        <v>1</v>
      </c>
      <c r="R266">
        <f>-1-'vehicles specifications'!AD149</f>
        <v>-1.25</v>
      </c>
      <c r="S266">
        <v>1</v>
      </c>
      <c r="T266">
        <v>1</v>
      </c>
      <c r="U266">
        <v>1</v>
      </c>
      <c r="V266">
        <v>1</v>
      </c>
      <c r="W266">
        <v>1</v>
      </c>
      <c r="X266">
        <v>1</v>
      </c>
      <c r="Y266">
        <v>1</v>
      </c>
      <c r="Z266">
        <v>1</v>
      </c>
      <c r="AA266">
        <v>1</v>
      </c>
      <c r="AB266">
        <v>1</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c r="BA266">
        <v>1</v>
      </c>
      <c r="BB266">
        <v>1</v>
      </c>
      <c r="BC266">
        <v>1</v>
      </c>
      <c r="BD266">
        <v>1</v>
      </c>
      <c r="BE266">
        <v>1</v>
      </c>
      <c r="BF266">
        <v>1</v>
      </c>
      <c r="BG266">
        <v>1</v>
      </c>
      <c r="BH266">
        <v>1</v>
      </c>
      <c r="BI266">
        <v>1</v>
      </c>
      <c r="BJ266">
        <v>-1</v>
      </c>
      <c r="BK266">
        <v>-1</v>
      </c>
      <c r="BL266">
        <v>-1</v>
      </c>
    </row>
    <row r="267" spans="1:64" x14ac:dyDescent="0.2">
      <c r="A267" t="s">
        <v>502</v>
      </c>
      <c r="B267">
        <v>1</v>
      </c>
      <c r="C267" s="2">
        <f>'vehicles specifications'!S150</f>
        <v>111</v>
      </c>
      <c r="D267">
        <v>1</v>
      </c>
      <c r="E267">
        <v>1</v>
      </c>
      <c r="F267">
        <f>1+'vehicles specifications'!AD150</f>
        <v>1</v>
      </c>
      <c r="G267">
        <f>1+'vehicles specifications'!AD150</f>
        <v>1</v>
      </c>
      <c r="J267">
        <v>1</v>
      </c>
      <c r="K267">
        <f>1/('fuels and tailpipe emissions'!$C$3*3.6)</f>
        <v>2.3474178403755867E-2</v>
      </c>
      <c r="L267">
        <f t="shared" si="12"/>
        <v>0.30555555555555558</v>
      </c>
      <c r="M267">
        <f>1/'vehicles specifications'!J150</f>
        <v>2.4691358024691357E-5</v>
      </c>
      <c r="N267">
        <v>1</v>
      </c>
      <c r="O267">
        <f>1</f>
        <v>1</v>
      </c>
      <c r="P267">
        <v>1</v>
      </c>
      <c r="Q267">
        <v>1</v>
      </c>
      <c r="R267">
        <f>-1-'vehicles specifications'!AD150</f>
        <v>-1</v>
      </c>
      <c r="S267">
        <v>1</v>
      </c>
      <c r="T267">
        <v>1</v>
      </c>
      <c r="U267">
        <v>1</v>
      </c>
      <c r="V267">
        <v>1</v>
      </c>
      <c r="W267">
        <v>1</v>
      </c>
      <c r="X267">
        <v>1</v>
      </c>
      <c r="Y267">
        <v>1</v>
      </c>
      <c r="Z267">
        <v>1</v>
      </c>
      <c r="AA267">
        <v>1</v>
      </c>
      <c r="AB267">
        <v>1</v>
      </c>
      <c r="AC267">
        <v>1</v>
      </c>
      <c r="AD267">
        <v>1</v>
      </c>
      <c r="AE267">
        <v>1</v>
      </c>
      <c r="AF267">
        <v>1</v>
      </c>
      <c r="AG267">
        <v>1</v>
      </c>
      <c r="AH267">
        <v>1</v>
      </c>
      <c r="AI267">
        <v>1</v>
      </c>
      <c r="AJ267">
        <v>1</v>
      </c>
      <c r="AK267">
        <v>1</v>
      </c>
      <c r="AL267">
        <v>1</v>
      </c>
      <c r="AM267">
        <v>1</v>
      </c>
      <c r="AN267">
        <v>1</v>
      </c>
      <c r="AO267">
        <v>1</v>
      </c>
      <c r="AP267">
        <v>1</v>
      </c>
      <c r="AQ267">
        <v>1</v>
      </c>
      <c r="AR267">
        <v>1</v>
      </c>
      <c r="AS267">
        <v>1</v>
      </c>
      <c r="AT267">
        <v>1</v>
      </c>
      <c r="AU267">
        <v>1</v>
      </c>
      <c r="AV267">
        <v>1</v>
      </c>
      <c r="AW267">
        <v>1</v>
      </c>
      <c r="AX267">
        <v>1</v>
      </c>
      <c r="AY267">
        <v>1</v>
      </c>
      <c r="AZ267">
        <v>1</v>
      </c>
      <c r="BA267">
        <v>1</v>
      </c>
      <c r="BB267">
        <v>1</v>
      </c>
      <c r="BC267">
        <v>1</v>
      </c>
      <c r="BD267">
        <v>1</v>
      </c>
      <c r="BE267">
        <v>1</v>
      </c>
      <c r="BF267">
        <v>1</v>
      </c>
      <c r="BG267">
        <v>1</v>
      </c>
      <c r="BH267">
        <v>1</v>
      </c>
      <c r="BI267">
        <v>1</v>
      </c>
      <c r="BJ267">
        <v>-1</v>
      </c>
      <c r="BK267">
        <v>-1</v>
      </c>
      <c r="BL267">
        <v>-1</v>
      </c>
    </row>
    <row r="268" spans="1:64" x14ac:dyDescent="0.2">
      <c r="A268" t="s">
        <v>503</v>
      </c>
      <c r="B268">
        <v>1</v>
      </c>
      <c r="C268" s="2">
        <f>'vehicles specifications'!S151</f>
        <v>53</v>
      </c>
      <c r="D268">
        <v>1</v>
      </c>
      <c r="E268">
        <v>1</v>
      </c>
      <c r="F268">
        <f>1+'vehicles specifications'!AD151</f>
        <v>2</v>
      </c>
      <c r="G268">
        <f>1+'vehicles specifications'!AD151</f>
        <v>2</v>
      </c>
      <c r="J268">
        <v>1</v>
      </c>
      <c r="K268">
        <f>1/('fuels and tailpipe emissions'!$C$3*3.6)</f>
        <v>2.3474178403755867E-2</v>
      </c>
      <c r="L268">
        <f t="shared" si="12"/>
        <v>0.30555555555555558</v>
      </c>
      <c r="M268">
        <f>1/'vehicles specifications'!J151</f>
        <v>4.0000000000000003E-5</v>
      </c>
      <c r="N268">
        <v>1</v>
      </c>
      <c r="O268">
        <f>1</f>
        <v>1</v>
      </c>
      <c r="P268">
        <v>1</v>
      </c>
      <c r="Q268">
        <v>1</v>
      </c>
      <c r="R268">
        <f>-1-'vehicles specifications'!AD151</f>
        <v>-2</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1</v>
      </c>
      <c r="AQ268">
        <v>1</v>
      </c>
      <c r="AR268">
        <v>1</v>
      </c>
      <c r="AS268">
        <v>1</v>
      </c>
      <c r="AT268">
        <v>1</v>
      </c>
      <c r="AU268">
        <v>1</v>
      </c>
      <c r="AV268">
        <v>1</v>
      </c>
      <c r="AW268">
        <v>1</v>
      </c>
      <c r="AX268">
        <v>1</v>
      </c>
      <c r="AY268">
        <v>1</v>
      </c>
      <c r="AZ268">
        <v>1</v>
      </c>
      <c r="BA268">
        <v>1</v>
      </c>
      <c r="BB268">
        <v>1</v>
      </c>
      <c r="BC268">
        <v>1</v>
      </c>
      <c r="BD268">
        <v>1</v>
      </c>
      <c r="BE268">
        <v>1</v>
      </c>
      <c r="BF268">
        <v>1</v>
      </c>
      <c r="BG268">
        <v>1</v>
      </c>
      <c r="BH268">
        <v>1</v>
      </c>
      <c r="BI268">
        <v>1</v>
      </c>
      <c r="BJ268">
        <v>-1</v>
      </c>
      <c r="BK268">
        <v>-1</v>
      </c>
      <c r="BL268">
        <v>-1</v>
      </c>
    </row>
    <row r="269" spans="1:64" x14ac:dyDescent="0.2">
      <c r="A269" t="s">
        <v>546</v>
      </c>
      <c r="B269">
        <v>1</v>
      </c>
      <c r="C269" s="2">
        <f>'vehicles specifications'!S136</f>
        <v>53</v>
      </c>
      <c r="D269">
        <v>1</v>
      </c>
      <c r="E269">
        <v>1</v>
      </c>
      <c r="F269">
        <f>1+'vehicles specifications'!AD136</f>
        <v>1.5</v>
      </c>
      <c r="G269">
        <f>1+'vehicles specifications'!AD136</f>
        <v>1.5</v>
      </c>
      <c r="J269">
        <v>1</v>
      </c>
      <c r="K269">
        <f>1/('fuels and tailpipe emissions'!$C$3*3.6)</f>
        <v>2.3474178403755867E-2</v>
      </c>
      <c r="L269">
        <f t="shared" si="12"/>
        <v>0.30555555555555558</v>
      </c>
      <c r="M269">
        <f>1/'vehicles specifications'!J136</f>
        <v>4.0000000000000003E-5</v>
      </c>
      <c r="N269">
        <v>1</v>
      </c>
      <c r="O269">
        <f>1</f>
        <v>1</v>
      </c>
      <c r="P269">
        <v>1</v>
      </c>
      <c r="Q269">
        <v>1</v>
      </c>
      <c r="R269">
        <f>-1-'vehicles specifications'!AD136</f>
        <v>-1.5</v>
      </c>
      <c r="S269">
        <v>1</v>
      </c>
      <c r="T269">
        <v>1</v>
      </c>
      <c r="U269">
        <v>1</v>
      </c>
      <c r="V269">
        <v>1</v>
      </c>
      <c r="W269">
        <v>1</v>
      </c>
      <c r="X269">
        <v>1</v>
      </c>
      <c r="Y269">
        <v>1</v>
      </c>
      <c r="Z269">
        <v>1</v>
      </c>
      <c r="AA269">
        <v>1</v>
      </c>
      <c r="AB269">
        <v>1</v>
      </c>
      <c r="AC269">
        <v>1</v>
      </c>
      <c r="AD269">
        <v>1</v>
      </c>
      <c r="AE269">
        <v>1</v>
      </c>
      <c r="AF269">
        <v>1</v>
      </c>
      <c r="AG269">
        <v>1</v>
      </c>
      <c r="AH269">
        <v>1</v>
      </c>
      <c r="AI269">
        <v>1</v>
      </c>
      <c r="AJ269">
        <v>1</v>
      </c>
      <c r="AK269">
        <v>1</v>
      </c>
      <c r="AL269">
        <v>1</v>
      </c>
      <c r="AM269">
        <v>1</v>
      </c>
      <c r="AN269">
        <v>1</v>
      </c>
      <c r="AO269">
        <v>1</v>
      </c>
      <c r="AP269">
        <v>1</v>
      </c>
      <c r="AQ269">
        <v>1</v>
      </c>
      <c r="AR269">
        <v>1</v>
      </c>
      <c r="AS269">
        <v>1</v>
      </c>
      <c r="AT269">
        <v>1</v>
      </c>
      <c r="AU269">
        <v>1</v>
      </c>
      <c r="AV269">
        <v>1</v>
      </c>
      <c r="AW269">
        <v>1</v>
      </c>
      <c r="AX269">
        <v>1</v>
      </c>
      <c r="AY269">
        <v>1</v>
      </c>
      <c r="AZ269">
        <v>1</v>
      </c>
      <c r="BA269">
        <v>1</v>
      </c>
      <c r="BB269">
        <v>1</v>
      </c>
      <c r="BC269">
        <v>1</v>
      </c>
      <c r="BD269">
        <v>1</v>
      </c>
      <c r="BE269">
        <v>1</v>
      </c>
      <c r="BF269">
        <v>1</v>
      </c>
      <c r="BG269">
        <v>1</v>
      </c>
      <c r="BH269">
        <v>1</v>
      </c>
      <c r="BI269">
        <v>1</v>
      </c>
      <c r="BJ269">
        <v>-1</v>
      </c>
      <c r="BK269">
        <v>-1</v>
      </c>
      <c r="BL269">
        <v>-1</v>
      </c>
    </row>
    <row r="270" spans="1:64" x14ac:dyDescent="0.2">
      <c r="A270" t="s">
        <v>504</v>
      </c>
      <c r="B270">
        <v>1</v>
      </c>
      <c r="C270" s="2">
        <f>'vehicles specifications'!S137</f>
        <v>53</v>
      </c>
      <c r="D270">
        <v>1</v>
      </c>
      <c r="E270">
        <v>1</v>
      </c>
      <c r="F270">
        <f>1+'vehicles specifications'!AD137</f>
        <v>1.25</v>
      </c>
      <c r="G270">
        <f>1+'vehicles specifications'!AD137</f>
        <v>1.25</v>
      </c>
      <c r="J270">
        <v>1</v>
      </c>
      <c r="K270">
        <f>1/('fuels and tailpipe emissions'!$C$3*3.6)</f>
        <v>2.3474178403755867E-2</v>
      </c>
      <c r="L270">
        <f t="shared" si="12"/>
        <v>0.30555555555555558</v>
      </c>
      <c r="M270">
        <f>1/'vehicles specifications'!J137</f>
        <v>4.0000000000000003E-5</v>
      </c>
      <c r="N270">
        <v>1</v>
      </c>
      <c r="O270">
        <f>1</f>
        <v>1</v>
      </c>
      <c r="P270">
        <v>1</v>
      </c>
      <c r="Q270">
        <v>1</v>
      </c>
      <c r="R270">
        <f>-1-'vehicles specifications'!AD137</f>
        <v>-1.25</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c r="AS270">
        <v>1</v>
      </c>
      <c r="AT270">
        <v>1</v>
      </c>
      <c r="AU270">
        <v>1</v>
      </c>
      <c r="AV270">
        <v>1</v>
      </c>
      <c r="AW270">
        <v>1</v>
      </c>
      <c r="AX270">
        <v>1</v>
      </c>
      <c r="AY270">
        <v>1</v>
      </c>
      <c r="AZ270">
        <v>1</v>
      </c>
      <c r="BA270">
        <v>1</v>
      </c>
      <c r="BB270">
        <v>1</v>
      </c>
      <c r="BC270">
        <v>1</v>
      </c>
      <c r="BD270">
        <v>1</v>
      </c>
      <c r="BE270">
        <v>1</v>
      </c>
      <c r="BF270">
        <v>1</v>
      </c>
      <c r="BG270">
        <v>1</v>
      </c>
      <c r="BH270">
        <v>1</v>
      </c>
      <c r="BI270">
        <v>1</v>
      </c>
      <c r="BJ270">
        <v>-1</v>
      </c>
      <c r="BK270">
        <v>-1</v>
      </c>
      <c r="BL270">
        <v>-1</v>
      </c>
    </row>
    <row r="271" spans="1:64" x14ac:dyDescent="0.2">
      <c r="A271" t="s">
        <v>505</v>
      </c>
      <c r="B271">
        <v>1</v>
      </c>
      <c r="C271" s="2">
        <f>'vehicles specifications'!S138</f>
        <v>53</v>
      </c>
      <c r="D271">
        <v>1</v>
      </c>
      <c r="E271">
        <v>1</v>
      </c>
      <c r="F271">
        <f>1+'vehicles specifications'!AD138</f>
        <v>1</v>
      </c>
      <c r="G271">
        <f>1+'vehicles specifications'!AD138</f>
        <v>1</v>
      </c>
      <c r="J271">
        <v>1</v>
      </c>
      <c r="K271">
        <f>1/('fuels and tailpipe emissions'!$C$3*3.6)</f>
        <v>2.3474178403755867E-2</v>
      </c>
      <c r="L271">
        <f t="shared" si="12"/>
        <v>0.30555555555555558</v>
      </c>
      <c r="M271">
        <f>1/'vehicles specifications'!J138</f>
        <v>4.0000000000000003E-5</v>
      </c>
      <c r="N271">
        <v>1</v>
      </c>
      <c r="O271">
        <f>1</f>
        <v>1</v>
      </c>
      <c r="P271">
        <v>1</v>
      </c>
      <c r="Q271">
        <v>1</v>
      </c>
      <c r="R271">
        <f>-1-'vehicles specifications'!AD138</f>
        <v>-1</v>
      </c>
      <c r="S271">
        <v>1</v>
      </c>
      <c r="T271">
        <v>1</v>
      </c>
      <c r="U271">
        <v>1</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c r="AS271">
        <v>1</v>
      </c>
      <c r="AT271">
        <v>1</v>
      </c>
      <c r="AU271">
        <v>1</v>
      </c>
      <c r="AV271">
        <v>1</v>
      </c>
      <c r="AW271">
        <v>1</v>
      </c>
      <c r="AX271">
        <v>1</v>
      </c>
      <c r="AY271">
        <v>1</v>
      </c>
      <c r="AZ271">
        <v>1</v>
      </c>
      <c r="BA271">
        <v>1</v>
      </c>
      <c r="BB271">
        <v>1</v>
      </c>
      <c r="BC271">
        <v>1</v>
      </c>
      <c r="BD271">
        <v>1</v>
      </c>
      <c r="BE271">
        <v>1</v>
      </c>
      <c r="BF271">
        <v>1</v>
      </c>
      <c r="BG271">
        <v>1</v>
      </c>
      <c r="BH271">
        <v>1</v>
      </c>
      <c r="BI271">
        <v>1</v>
      </c>
      <c r="BJ271">
        <v>-1</v>
      </c>
      <c r="BK271">
        <v>-1</v>
      </c>
      <c r="BL271">
        <v>-1</v>
      </c>
    </row>
    <row r="272" spans="1:64" x14ac:dyDescent="0.2">
      <c r="A272" t="s">
        <v>506</v>
      </c>
      <c r="B272">
        <v>1</v>
      </c>
      <c r="C272" s="2">
        <f>'vehicles specifications'!S139</f>
        <v>65.433826960328489</v>
      </c>
      <c r="D272">
        <v>1</v>
      </c>
      <c r="E272">
        <v>1</v>
      </c>
      <c r="F272">
        <f>1+'vehicles specifications'!AD139</f>
        <v>2</v>
      </c>
      <c r="G272">
        <f>1+'vehicles specifications'!AD139</f>
        <v>2</v>
      </c>
      <c r="J272">
        <v>1</v>
      </c>
      <c r="K272">
        <f>1/('fuels and tailpipe emissions'!$C$3*3.6)</f>
        <v>2.3474178403755867E-2</v>
      </c>
      <c r="L272">
        <f t="shared" si="12"/>
        <v>0.30555555555555558</v>
      </c>
      <c r="M272">
        <f>1/'vehicles specifications'!J139</f>
        <v>4.0000000000000003E-5</v>
      </c>
      <c r="N272">
        <v>1</v>
      </c>
      <c r="O272">
        <f>1</f>
        <v>1</v>
      </c>
      <c r="P272">
        <v>1</v>
      </c>
      <c r="Q272">
        <v>1</v>
      </c>
      <c r="R272">
        <f>-1-'vehicles specifications'!AD139</f>
        <v>-2</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c r="BA272">
        <v>1</v>
      </c>
      <c r="BB272">
        <v>1</v>
      </c>
      <c r="BC272">
        <v>1</v>
      </c>
      <c r="BD272">
        <v>1</v>
      </c>
      <c r="BE272">
        <v>1</v>
      </c>
      <c r="BF272">
        <v>1</v>
      </c>
      <c r="BG272">
        <v>1</v>
      </c>
      <c r="BH272">
        <v>1</v>
      </c>
      <c r="BI272">
        <v>1</v>
      </c>
      <c r="BJ272">
        <v>-1</v>
      </c>
      <c r="BK272">
        <v>-1</v>
      </c>
      <c r="BL272">
        <v>-1</v>
      </c>
    </row>
    <row r="273" spans="1:64" x14ac:dyDescent="0.2">
      <c r="A273" t="s">
        <v>507</v>
      </c>
      <c r="B273">
        <v>1</v>
      </c>
      <c r="C273" s="2">
        <f>'vehicles specifications'!S140</f>
        <v>65.433826960328489</v>
      </c>
      <c r="D273">
        <v>1</v>
      </c>
      <c r="E273">
        <v>1</v>
      </c>
      <c r="F273">
        <f>1+'vehicles specifications'!AD140</f>
        <v>1.5</v>
      </c>
      <c r="G273">
        <f>1+'vehicles specifications'!AD140</f>
        <v>1.5</v>
      </c>
      <c r="J273">
        <v>1</v>
      </c>
      <c r="K273">
        <f>1/('fuels and tailpipe emissions'!$C$3*3.6)</f>
        <v>2.3474178403755867E-2</v>
      </c>
      <c r="L273">
        <f t="shared" si="12"/>
        <v>0.30555555555555558</v>
      </c>
      <c r="M273">
        <f>1/'vehicles specifications'!J140</f>
        <v>4.0000000000000003E-5</v>
      </c>
      <c r="N273">
        <v>1</v>
      </c>
      <c r="O273">
        <f>1</f>
        <v>1</v>
      </c>
      <c r="P273">
        <v>1</v>
      </c>
      <c r="Q273">
        <v>1</v>
      </c>
      <c r="R273">
        <f>-1-'vehicles specifications'!AD140</f>
        <v>-1.5</v>
      </c>
      <c r="S273">
        <v>1</v>
      </c>
      <c r="T273">
        <v>1</v>
      </c>
      <c r="U273">
        <v>1</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c r="AS273">
        <v>1</v>
      </c>
      <c r="AT273">
        <v>1</v>
      </c>
      <c r="AU273">
        <v>1</v>
      </c>
      <c r="AV273">
        <v>1</v>
      </c>
      <c r="AW273">
        <v>1</v>
      </c>
      <c r="AX273">
        <v>1</v>
      </c>
      <c r="AY273">
        <v>1</v>
      </c>
      <c r="AZ273">
        <v>1</v>
      </c>
      <c r="BA273">
        <v>1</v>
      </c>
      <c r="BB273">
        <v>1</v>
      </c>
      <c r="BC273">
        <v>1</v>
      </c>
      <c r="BD273">
        <v>1</v>
      </c>
      <c r="BE273">
        <v>1</v>
      </c>
      <c r="BF273">
        <v>1</v>
      </c>
      <c r="BG273">
        <v>1</v>
      </c>
      <c r="BH273">
        <v>1</v>
      </c>
      <c r="BI273">
        <v>1</v>
      </c>
      <c r="BJ273">
        <v>-1</v>
      </c>
      <c r="BK273">
        <v>-1</v>
      </c>
      <c r="BL273">
        <v>-1</v>
      </c>
    </row>
    <row r="274" spans="1:64" x14ac:dyDescent="0.2">
      <c r="A274" t="s">
        <v>508</v>
      </c>
      <c r="B274">
        <v>1</v>
      </c>
      <c r="C274" s="2">
        <f>'vehicles specifications'!S141</f>
        <v>65.433826960328489</v>
      </c>
      <c r="D274">
        <v>1</v>
      </c>
      <c r="E274">
        <v>1</v>
      </c>
      <c r="F274">
        <f>1+'vehicles specifications'!AD141</f>
        <v>1.25</v>
      </c>
      <c r="G274">
        <f>1+'vehicles specifications'!AD141</f>
        <v>1.25</v>
      </c>
      <c r="J274">
        <v>1</v>
      </c>
      <c r="K274">
        <f>1/('fuels and tailpipe emissions'!$C$3*3.6)</f>
        <v>2.3474178403755867E-2</v>
      </c>
      <c r="L274">
        <f t="shared" si="12"/>
        <v>0.30555555555555558</v>
      </c>
      <c r="M274">
        <f>1/'vehicles specifications'!J141</f>
        <v>4.0000000000000003E-5</v>
      </c>
      <c r="N274">
        <v>1</v>
      </c>
      <c r="O274">
        <f>1</f>
        <v>1</v>
      </c>
      <c r="P274">
        <v>1</v>
      </c>
      <c r="Q274">
        <v>1</v>
      </c>
      <c r="R274">
        <f>-1-'vehicles specifications'!AD141</f>
        <v>-1.25</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c r="AS274">
        <v>1</v>
      </c>
      <c r="AT274">
        <v>1</v>
      </c>
      <c r="AU274">
        <v>1</v>
      </c>
      <c r="AV274">
        <v>1</v>
      </c>
      <c r="AW274">
        <v>1</v>
      </c>
      <c r="AX274">
        <v>1</v>
      </c>
      <c r="AY274">
        <v>1</v>
      </c>
      <c r="AZ274">
        <v>1</v>
      </c>
      <c r="BA274">
        <v>1</v>
      </c>
      <c r="BB274">
        <v>1</v>
      </c>
      <c r="BC274">
        <v>1</v>
      </c>
      <c r="BD274">
        <v>1</v>
      </c>
      <c r="BE274">
        <v>1</v>
      </c>
      <c r="BF274">
        <v>1</v>
      </c>
      <c r="BG274">
        <v>1</v>
      </c>
      <c r="BH274">
        <v>1</v>
      </c>
      <c r="BI274">
        <v>1</v>
      </c>
      <c r="BJ274">
        <v>-1</v>
      </c>
      <c r="BK274">
        <v>-1</v>
      </c>
      <c r="BL274">
        <v>-1</v>
      </c>
    </row>
    <row r="275" spans="1:64" x14ac:dyDescent="0.2">
      <c r="A275" t="s">
        <v>509</v>
      </c>
      <c r="B275">
        <v>1</v>
      </c>
      <c r="C275" s="2">
        <f>'vehicles specifications'!S142</f>
        <v>65.433826960328489</v>
      </c>
      <c r="D275">
        <v>1</v>
      </c>
      <c r="E275">
        <v>1</v>
      </c>
      <c r="F275">
        <f>1+'vehicles specifications'!AD142</f>
        <v>1</v>
      </c>
      <c r="G275">
        <f>1+'vehicles specifications'!AD142</f>
        <v>1</v>
      </c>
      <c r="J275">
        <v>1</v>
      </c>
      <c r="K275">
        <f>1/('fuels and tailpipe emissions'!$C$3*3.6)</f>
        <v>2.3474178403755867E-2</v>
      </c>
      <c r="L275">
        <f t="shared" si="12"/>
        <v>0.30555555555555558</v>
      </c>
      <c r="M275">
        <f>1/'vehicles specifications'!J142</f>
        <v>4.0000000000000003E-5</v>
      </c>
      <c r="N275">
        <v>1</v>
      </c>
      <c r="O275">
        <f>1</f>
        <v>1</v>
      </c>
      <c r="P275">
        <v>1</v>
      </c>
      <c r="Q275">
        <v>1</v>
      </c>
      <c r="R275">
        <f>-1-'vehicles specifications'!AD142</f>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c r="AS275">
        <v>1</v>
      </c>
      <c r="AT275">
        <v>1</v>
      </c>
      <c r="AU275">
        <v>1</v>
      </c>
      <c r="AV275">
        <v>1</v>
      </c>
      <c r="AW275">
        <v>1</v>
      </c>
      <c r="AX275">
        <v>1</v>
      </c>
      <c r="AY275">
        <v>1</v>
      </c>
      <c r="AZ275">
        <v>1</v>
      </c>
      <c r="BA275">
        <v>1</v>
      </c>
      <c r="BB275">
        <v>1</v>
      </c>
      <c r="BC275">
        <v>1</v>
      </c>
      <c r="BD275">
        <v>1</v>
      </c>
      <c r="BE275">
        <v>1</v>
      </c>
      <c r="BF275">
        <v>1</v>
      </c>
      <c r="BG275">
        <v>1</v>
      </c>
      <c r="BH275">
        <v>1</v>
      </c>
      <c r="BI275">
        <v>1</v>
      </c>
      <c r="BJ275">
        <v>-1</v>
      </c>
      <c r="BK275">
        <v>-1</v>
      </c>
      <c r="BL275">
        <v>-1</v>
      </c>
    </row>
    <row r="276" spans="1:64" x14ac:dyDescent="0.2">
      <c r="A276" t="s">
        <v>510</v>
      </c>
      <c r="B276">
        <v>1</v>
      </c>
      <c r="C276" s="2">
        <f>'vehicles specifications'!S143</f>
        <v>81</v>
      </c>
      <c r="D276">
        <v>1</v>
      </c>
      <c r="E276">
        <v>1</v>
      </c>
      <c r="F276">
        <f>1+'vehicles specifications'!AD143</f>
        <v>2</v>
      </c>
      <c r="G276">
        <f>1+'vehicles specifications'!AD143</f>
        <v>2</v>
      </c>
      <c r="J276">
        <v>1</v>
      </c>
      <c r="K276">
        <f>1/('fuels and tailpipe emissions'!$C$3*3.6)</f>
        <v>2.3474178403755867E-2</v>
      </c>
      <c r="L276">
        <f t="shared" si="12"/>
        <v>0.30555555555555558</v>
      </c>
      <c r="M276">
        <f>1/'vehicles specifications'!J143</f>
        <v>2.5974025974025975E-5</v>
      </c>
      <c r="N276">
        <v>1</v>
      </c>
      <c r="O276">
        <f>1</f>
        <v>1</v>
      </c>
      <c r="P276">
        <v>1</v>
      </c>
      <c r="Q276">
        <v>1</v>
      </c>
      <c r="R276">
        <f>-1-'vehicles specifications'!AD143</f>
        <v>-2</v>
      </c>
      <c r="S276">
        <v>1</v>
      </c>
      <c r="T276">
        <v>1</v>
      </c>
      <c r="U276">
        <v>1</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c r="BA276">
        <v>1</v>
      </c>
      <c r="BB276">
        <v>1</v>
      </c>
      <c r="BC276">
        <v>1</v>
      </c>
      <c r="BD276">
        <v>1</v>
      </c>
      <c r="BE276">
        <v>1</v>
      </c>
      <c r="BF276">
        <v>1</v>
      </c>
      <c r="BG276">
        <v>1</v>
      </c>
      <c r="BH276">
        <v>1</v>
      </c>
      <c r="BI276">
        <v>1</v>
      </c>
      <c r="BJ276">
        <v>-1</v>
      </c>
      <c r="BK276">
        <v>-1</v>
      </c>
      <c r="BL276">
        <v>-1</v>
      </c>
    </row>
    <row r="277" spans="1:64" x14ac:dyDescent="0.2">
      <c r="A277" t="s">
        <v>511</v>
      </c>
      <c r="B277">
        <v>1</v>
      </c>
      <c r="C277" s="2">
        <f>'vehicles specifications'!S144</f>
        <v>81</v>
      </c>
      <c r="D277">
        <v>1</v>
      </c>
      <c r="E277">
        <v>1</v>
      </c>
      <c r="F277">
        <f>1+'vehicles specifications'!AD144</f>
        <v>1.5</v>
      </c>
      <c r="G277">
        <f>1+'vehicles specifications'!AD144</f>
        <v>1.5</v>
      </c>
      <c r="J277">
        <v>1</v>
      </c>
      <c r="K277">
        <f>1/('fuels and tailpipe emissions'!$C$3*3.6)</f>
        <v>2.3474178403755867E-2</v>
      </c>
      <c r="L277">
        <f t="shared" si="12"/>
        <v>0.30555555555555558</v>
      </c>
      <c r="M277">
        <f>1/'vehicles specifications'!J144</f>
        <v>2.5974025974025975E-5</v>
      </c>
      <c r="N277">
        <v>1</v>
      </c>
      <c r="O277">
        <f>1</f>
        <v>1</v>
      </c>
      <c r="P277">
        <v>1</v>
      </c>
      <c r="Q277">
        <v>1</v>
      </c>
      <c r="R277">
        <f>-1-'vehicles specifications'!AD144</f>
        <v>-1.5</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c r="AS277">
        <v>1</v>
      </c>
      <c r="AT277">
        <v>1</v>
      </c>
      <c r="AU277">
        <v>1</v>
      </c>
      <c r="AV277">
        <v>1</v>
      </c>
      <c r="AW277">
        <v>1</v>
      </c>
      <c r="AX277">
        <v>1</v>
      </c>
      <c r="AY277">
        <v>1</v>
      </c>
      <c r="AZ277">
        <v>1</v>
      </c>
      <c r="BA277">
        <v>1</v>
      </c>
      <c r="BB277">
        <v>1</v>
      </c>
      <c r="BC277">
        <v>1</v>
      </c>
      <c r="BD277">
        <v>1</v>
      </c>
      <c r="BE277">
        <v>1</v>
      </c>
      <c r="BF277">
        <v>1</v>
      </c>
      <c r="BG277">
        <v>1</v>
      </c>
      <c r="BH277">
        <v>1</v>
      </c>
      <c r="BI277">
        <v>1</v>
      </c>
      <c r="BJ277">
        <v>-1</v>
      </c>
      <c r="BK277">
        <v>-1</v>
      </c>
      <c r="BL277">
        <v>-1</v>
      </c>
    </row>
    <row r="278" spans="1:64" x14ac:dyDescent="0.2">
      <c r="A278" t="s">
        <v>512</v>
      </c>
      <c r="B278">
        <v>1</v>
      </c>
      <c r="C278" s="2">
        <f>'vehicles specifications'!S145</f>
        <v>81</v>
      </c>
      <c r="D278">
        <v>1</v>
      </c>
      <c r="E278">
        <v>1</v>
      </c>
      <c r="F278">
        <f>1+'vehicles specifications'!AD145</f>
        <v>1.25</v>
      </c>
      <c r="G278">
        <f>1+'vehicles specifications'!AD145</f>
        <v>1.25</v>
      </c>
      <c r="J278">
        <v>1</v>
      </c>
      <c r="K278">
        <f>1/('fuels and tailpipe emissions'!$C$3*3.6)</f>
        <v>2.3474178403755867E-2</v>
      </c>
      <c r="L278">
        <f t="shared" si="12"/>
        <v>0.30555555555555558</v>
      </c>
      <c r="M278">
        <f>1/'vehicles specifications'!J145</f>
        <v>2.5974025974025975E-5</v>
      </c>
      <c r="N278">
        <v>1</v>
      </c>
      <c r="O278">
        <f>1</f>
        <v>1</v>
      </c>
      <c r="P278">
        <v>1</v>
      </c>
      <c r="Q278">
        <v>1</v>
      </c>
      <c r="R278">
        <f>-1-'vehicles specifications'!AD145</f>
        <v>-1.25</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row>
    <row r="279" spans="1:64" x14ac:dyDescent="0.2">
      <c r="A279" t="s">
        <v>513</v>
      </c>
      <c r="B279">
        <v>1</v>
      </c>
      <c r="C279" s="2">
        <f>'vehicles specifications'!S146</f>
        <v>81</v>
      </c>
      <c r="D279">
        <v>1</v>
      </c>
      <c r="E279">
        <v>1</v>
      </c>
      <c r="F279">
        <f>1+'vehicles specifications'!AD146</f>
        <v>1</v>
      </c>
      <c r="G279">
        <f>1+'vehicles specifications'!AD146</f>
        <v>1</v>
      </c>
      <c r="J279">
        <v>1</v>
      </c>
      <c r="K279">
        <f>1/('fuels and tailpipe emissions'!$C$3*3.6)</f>
        <v>2.3474178403755867E-2</v>
      </c>
      <c r="L279">
        <f t="shared" si="12"/>
        <v>0.30555555555555558</v>
      </c>
      <c r="M279">
        <f>1/'vehicles specifications'!J146</f>
        <v>2.5974025974025975E-5</v>
      </c>
      <c r="N279">
        <v>1</v>
      </c>
      <c r="O279">
        <f>1</f>
        <v>1</v>
      </c>
      <c r="P279">
        <v>1</v>
      </c>
      <c r="Q279">
        <v>1</v>
      </c>
      <c r="R279">
        <f>-1-'vehicles specifications'!AD146</f>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c r="AS279">
        <v>1</v>
      </c>
      <c r="AT279">
        <v>1</v>
      </c>
      <c r="AU279">
        <v>1</v>
      </c>
      <c r="AV279">
        <v>1</v>
      </c>
      <c r="AW279">
        <v>1</v>
      </c>
      <c r="AX279">
        <v>1</v>
      </c>
      <c r="AY279">
        <v>1</v>
      </c>
      <c r="AZ279">
        <v>1</v>
      </c>
      <c r="BA279">
        <v>1</v>
      </c>
      <c r="BB279">
        <v>1</v>
      </c>
      <c r="BC279">
        <v>1</v>
      </c>
      <c r="BD279">
        <v>1</v>
      </c>
      <c r="BE279">
        <v>1</v>
      </c>
      <c r="BF279">
        <v>1</v>
      </c>
      <c r="BG279">
        <v>1</v>
      </c>
      <c r="BH279">
        <v>1</v>
      </c>
      <c r="BI279">
        <v>1</v>
      </c>
      <c r="BJ279">
        <v>-1</v>
      </c>
      <c r="BK279">
        <v>-1</v>
      </c>
      <c r="BL279">
        <v>-1</v>
      </c>
    </row>
    <row r="280" spans="1:64" x14ac:dyDescent="0.2">
      <c r="A280" t="s">
        <v>514</v>
      </c>
      <c r="B280">
        <v>1</v>
      </c>
      <c r="C280" s="2">
        <f>'vehicles specifications'!S147</f>
        <v>111</v>
      </c>
      <c r="D280">
        <v>1</v>
      </c>
      <c r="E280">
        <v>1</v>
      </c>
      <c r="F280">
        <f>1+'vehicles specifications'!AD147</f>
        <v>2</v>
      </c>
      <c r="G280">
        <f>1+'vehicles specifications'!AD147</f>
        <v>2</v>
      </c>
      <c r="J280">
        <v>1</v>
      </c>
      <c r="K280">
        <f>1/('fuels and tailpipe emissions'!$C$3*3.6)</f>
        <v>2.3474178403755867E-2</v>
      </c>
      <c r="L280">
        <f t="shared" si="12"/>
        <v>0.30555555555555558</v>
      </c>
      <c r="M280">
        <f>1/'vehicles specifications'!J147</f>
        <v>2.4691358024691357E-5</v>
      </c>
      <c r="N280">
        <v>1</v>
      </c>
      <c r="O280">
        <f>1</f>
        <v>1</v>
      </c>
      <c r="P280">
        <v>1</v>
      </c>
      <c r="Q280">
        <v>1</v>
      </c>
      <c r="R280">
        <f>-1-'vehicles specifications'!AD147</f>
        <v>-2</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c r="AS280">
        <v>1</v>
      </c>
      <c r="AT280">
        <v>1</v>
      </c>
      <c r="AU280">
        <v>1</v>
      </c>
      <c r="AV280">
        <v>1</v>
      </c>
      <c r="AW280">
        <v>1</v>
      </c>
      <c r="AX280">
        <v>1</v>
      </c>
      <c r="AY280">
        <v>1</v>
      </c>
      <c r="AZ280">
        <v>1</v>
      </c>
      <c r="BA280">
        <v>1</v>
      </c>
      <c r="BB280">
        <v>1</v>
      </c>
      <c r="BC280">
        <v>1</v>
      </c>
      <c r="BD280">
        <v>1</v>
      </c>
      <c r="BE280">
        <v>1</v>
      </c>
      <c r="BF280">
        <v>1</v>
      </c>
      <c r="BG280">
        <v>1</v>
      </c>
      <c r="BH280">
        <v>1</v>
      </c>
      <c r="BI280">
        <v>1</v>
      </c>
      <c r="BJ280">
        <v>-1</v>
      </c>
      <c r="BK280">
        <v>-1</v>
      </c>
      <c r="BL280">
        <v>-1</v>
      </c>
    </row>
    <row r="281" spans="1:64" x14ac:dyDescent="0.2">
      <c r="A281" t="s">
        <v>515</v>
      </c>
      <c r="B281">
        <v>1</v>
      </c>
      <c r="C281" s="2">
        <f>'vehicles specifications'!S148</f>
        <v>111</v>
      </c>
      <c r="D281">
        <v>1</v>
      </c>
      <c r="E281">
        <v>1</v>
      </c>
      <c r="F281">
        <f>1+'vehicles specifications'!AD148</f>
        <v>1.5</v>
      </c>
      <c r="G281">
        <f>1+'vehicles specifications'!AD148</f>
        <v>1.5</v>
      </c>
      <c r="J281">
        <v>1</v>
      </c>
      <c r="K281">
        <f>1/('fuels and tailpipe emissions'!$C$3*3.6)</f>
        <v>2.3474178403755867E-2</v>
      </c>
      <c r="L281">
        <f t="shared" si="12"/>
        <v>0.30555555555555558</v>
      </c>
      <c r="M281">
        <f>1/'vehicles specifications'!J148</f>
        <v>2.4691358024691357E-5</v>
      </c>
      <c r="N281">
        <v>1</v>
      </c>
      <c r="O281">
        <f>1</f>
        <v>1</v>
      </c>
      <c r="P281">
        <v>1</v>
      </c>
      <c r="Q281">
        <v>1</v>
      </c>
      <c r="R281">
        <f>-1-'vehicles specifications'!AD148</f>
        <v>-1.5</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c r="AS281">
        <v>1</v>
      </c>
      <c r="AT281">
        <v>1</v>
      </c>
      <c r="AU281">
        <v>1</v>
      </c>
      <c r="AV281">
        <v>1</v>
      </c>
      <c r="AW281">
        <v>1</v>
      </c>
      <c r="AX281">
        <v>1</v>
      </c>
      <c r="AY281">
        <v>1</v>
      </c>
      <c r="AZ281">
        <v>1</v>
      </c>
      <c r="BA281">
        <v>1</v>
      </c>
      <c r="BB281">
        <v>1</v>
      </c>
      <c r="BC281">
        <v>1</v>
      </c>
      <c r="BD281">
        <v>1</v>
      </c>
      <c r="BE281">
        <v>1</v>
      </c>
      <c r="BF281">
        <v>1</v>
      </c>
      <c r="BG281">
        <v>1</v>
      </c>
      <c r="BH281">
        <v>1</v>
      </c>
      <c r="BI281">
        <v>1</v>
      </c>
      <c r="BJ281">
        <v>-1</v>
      </c>
      <c r="BK281">
        <v>-1</v>
      </c>
      <c r="BL281">
        <v>-1</v>
      </c>
    </row>
    <row r="282" spans="1:64" x14ac:dyDescent="0.2">
      <c r="A282" t="s">
        <v>516</v>
      </c>
      <c r="B282">
        <v>1</v>
      </c>
      <c r="C282" s="2">
        <f>'vehicles specifications'!S149</f>
        <v>111</v>
      </c>
      <c r="D282">
        <v>1</v>
      </c>
      <c r="E282">
        <v>1</v>
      </c>
      <c r="F282">
        <f>1+'vehicles specifications'!AD149</f>
        <v>1.25</v>
      </c>
      <c r="G282">
        <f>1+'vehicles specifications'!AD149</f>
        <v>1.25</v>
      </c>
      <c r="J282">
        <v>1</v>
      </c>
      <c r="K282">
        <f>1/('fuels and tailpipe emissions'!$C$3*3.6)</f>
        <v>2.3474178403755867E-2</v>
      </c>
      <c r="L282">
        <f t="shared" si="12"/>
        <v>0.30555555555555558</v>
      </c>
      <c r="M282">
        <f>1/'vehicles specifications'!J149</f>
        <v>2.4691358024691357E-5</v>
      </c>
      <c r="N282">
        <v>1</v>
      </c>
      <c r="O282">
        <f>1</f>
        <v>1</v>
      </c>
      <c r="P282">
        <v>1</v>
      </c>
      <c r="Q282">
        <v>1</v>
      </c>
      <c r="R282">
        <f>-1-'vehicles specifications'!AD149</f>
        <v>-1.25</v>
      </c>
      <c r="S282">
        <v>1</v>
      </c>
      <c r="T282">
        <v>1</v>
      </c>
      <c r="U282">
        <v>1</v>
      </c>
      <c r="V282">
        <v>1</v>
      </c>
      <c r="W282">
        <v>1</v>
      </c>
      <c r="X282">
        <v>1</v>
      </c>
      <c r="Y282">
        <v>1</v>
      </c>
      <c r="Z282">
        <v>1</v>
      </c>
      <c r="AA282">
        <v>1</v>
      </c>
      <c r="AB282">
        <v>1</v>
      </c>
      <c r="AC282">
        <v>1</v>
      </c>
      <c r="AD282">
        <v>1</v>
      </c>
      <c r="AE282">
        <v>1</v>
      </c>
      <c r="AF282">
        <v>1</v>
      </c>
      <c r="AG282">
        <v>1</v>
      </c>
      <c r="AH282">
        <v>1</v>
      </c>
      <c r="AI282">
        <v>1</v>
      </c>
      <c r="AJ282">
        <v>1</v>
      </c>
      <c r="AK282">
        <v>1</v>
      </c>
      <c r="AL282">
        <v>1</v>
      </c>
      <c r="AM282">
        <v>1</v>
      </c>
      <c r="AN282">
        <v>1</v>
      </c>
      <c r="AO282">
        <v>1</v>
      </c>
      <c r="AP282">
        <v>1</v>
      </c>
      <c r="AQ282">
        <v>1</v>
      </c>
      <c r="AR282">
        <v>1</v>
      </c>
      <c r="AS282">
        <v>1</v>
      </c>
      <c r="AT282">
        <v>1</v>
      </c>
      <c r="AU282">
        <v>1</v>
      </c>
      <c r="AV282">
        <v>1</v>
      </c>
      <c r="AW282">
        <v>1</v>
      </c>
      <c r="AX282">
        <v>1</v>
      </c>
      <c r="AY282">
        <v>1</v>
      </c>
      <c r="AZ282">
        <v>1</v>
      </c>
      <c r="BA282">
        <v>1</v>
      </c>
      <c r="BB282">
        <v>1</v>
      </c>
      <c r="BC282">
        <v>1</v>
      </c>
      <c r="BD282">
        <v>1</v>
      </c>
      <c r="BE282">
        <v>1</v>
      </c>
      <c r="BF282">
        <v>1</v>
      </c>
      <c r="BG282">
        <v>1</v>
      </c>
      <c r="BH282">
        <v>1</v>
      </c>
      <c r="BI282">
        <v>1</v>
      </c>
      <c r="BJ282">
        <v>-1</v>
      </c>
      <c r="BK282">
        <v>-1</v>
      </c>
      <c r="BL282">
        <v>-1</v>
      </c>
    </row>
    <row r="283" spans="1:64" x14ac:dyDescent="0.2">
      <c r="A283" t="s">
        <v>517</v>
      </c>
      <c r="B283">
        <v>1</v>
      </c>
      <c r="C283" s="2">
        <f>'vehicles specifications'!S150</f>
        <v>111</v>
      </c>
      <c r="D283">
        <v>1</v>
      </c>
      <c r="E283">
        <v>1</v>
      </c>
      <c r="F283">
        <f>1+'vehicles specifications'!AD150</f>
        <v>1</v>
      </c>
      <c r="G283">
        <f>1+'vehicles specifications'!AD150</f>
        <v>1</v>
      </c>
      <c r="J283">
        <v>1</v>
      </c>
      <c r="K283">
        <f>1/('fuels and tailpipe emissions'!$C$3*3.6)</f>
        <v>2.3474178403755867E-2</v>
      </c>
      <c r="L283">
        <f t="shared" si="12"/>
        <v>0.30555555555555558</v>
      </c>
      <c r="M283">
        <f>1/'vehicles specifications'!J150</f>
        <v>2.4691358024691357E-5</v>
      </c>
      <c r="N283">
        <v>1</v>
      </c>
      <c r="O283">
        <f>1</f>
        <v>1</v>
      </c>
      <c r="P283">
        <v>1</v>
      </c>
      <c r="Q283">
        <v>1</v>
      </c>
      <c r="R283">
        <f>-1-'vehicles specifications'!AD150</f>
        <v>-1</v>
      </c>
      <c r="S283">
        <v>1</v>
      </c>
      <c r="T283">
        <v>1</v>
      </c>
      <c r="U283">
        <v>1</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c r="BA283">
        <v>1</v>
      </c>
      <c r="BB283">
        <v>1</v>
      </c>
      <c r="BC283">
        <v>1</v>
      </c>
      <c r="BD283">
        <v>1</v>
      </c>
      <c r="BE283">
        <v>1</v>
      </c>
      <c r="BF283">
        <v>1</v>
      </c>
      <c r="BG283">
        <v>1</v>
      </c>
      <c r="BH283">
        <v>1</v>
      </c>
      <c r="BI283">
        <v>1</v>
      </c>
      <c r="BJ283">
        <v>-1</v>
      </c>
      <c r="BK283">
        <v>-1</v>
      </c>
      <c r="BL283">
        <v>-1</v>
      </c>
    </row>
    <row r="284" spans="1:64" x14ac:dyDescent="0.2">
      <c r="A284" t="s">
        <v>518</v>
      </c>
      <c r="B284">
        <v>1</v>
      </c>
      <c r="C284" s="2">
        <f>'vehicles specifications'!S151</f>
        <v>53</v>
      </c>
      <c r="D284">
        <v>1</v>
      </c>
      <c r="E284">
        <v>1</v>
      </c>
      <c r="F284">
        <f>1+'vehicles specifications'!AD151</f>
        <v>2</v>
      </c>
      <c r="G284">
        <f>1+'vehicles specifications'!AD151</f>
        <v>2</v>
      </c>
      <c r="J284">
        <v>1</v>
      </c>
      <c r="K284">
        <f>1/('fuels and tailpipe emissions'!$C$3*3.6)</f>
        <v>2.3474178403755867E-2</v>
      </c>
      <c r="L284">
        <f t="shared" si="12"/>
        <v>0.30555555555555558</v>
      </c>
      <c r="M284">
        <f>1/'vehicles specifications'!J151</f>
        <v>4.0000000000000003E-5</v>
      </c>
      <c r="N284">
        <v>1</v>
      </c>
      <c r="O284">
        <f>1</f>
        <v>1</v>
      </c>
      <c r="P284">
        <v>1</v>
      </c>
      <c r="Q284">
        <v>1</v>
      </c>
      <c r="R284">
        <f>-1-'vehicles specifications'!AD151</f>
        <v>-2</v>
      </c>
      <c r="S284">
        <v>1</v>
      </c>
      <c r="T284">
        <v>1</v>
      </c>
      <c r="U284">
        <v>1</v>
      </c>
      <c r="V284">
        <v>1</v>
      </c>
      <c r="W284">
        <v>1</v>
      </c>
      <c r="X284">
        <v>1</v>
      </c>
      <c r="Y284">
        <v>1</v>
      </c>
      <c r="Z284">
        <v>1</v>
      </c>
      <c r="AA284">
        <v>1</v>
      </c>
      <c r="AB284">
        <v>1</v>
      </c>
      <c r="AC284">
        <v>1</v>
      </c>
      <c r="AD284">
        <v>1</v>
      </c>
      <c r="AE284">
        <v>1</v>
      </c>
      <c r="AF284">
        <v>1</v>
      </c>
      <c r="AG284">
        <v>1</v>
      </c>
      <c r="AH284">
        <v>1</v>
      </c>
      <c r="AI284">
        <v>1</v>
      </c>
      <c r="AJ284">
        <v>1</v>
      </c>
      <c r="AK284">
        <v>1</v>
      </c>
      <c r="AL284">
        <v>1</v>
      </c>
      <c r="AM284">
        <v>1</v>
      </c>
      <c r="AN284">
        <v>1</v>
      </c>
      <c r="AO284">
        <v>1</v>
      </c>
      <c r="AP284">
        <v>1</v>
      </c>
      <c r="AQ284">
        <v>1</v>
      </c>
      <c r="AR284">
        <v>1</v>
      </c>
      <c r="AS284">
        <v>1</v>
      </c>
      <c r="AT284">
        <v>1</v>
      </c>
      <c r="AU284">
        <v>1</v>
      </c>
      <c r="AV284">
        <v>1</v>
      </c>
      <c r="AW284">
        <v>1</v>
      </c>
      <c r="AX284">
        <v>1</v>
      </c>
      <c r="AY284">
        <v>1</v>
      </c>
      <c r="AZ284">
        <v>1</v>
      </c>
      <c r="BA284">
        <v>1</v>
      </c>
      <c r="BB284">
        <v>1</v>
      </c>
      <c r="BC284">
        <v>1</v>
      </c>
      <c r="BD284">
        <v>1</v>
      </c>
      <c r="BE284">
        <v>1</v>
      </c>
      <c r="BF284">
        <v>1</v>
      </c>
      <c r="BG284">
        <v>1</v>
      </c>
      <c r="BH284">
        <v>1</v>
      </c>
      <c r="BI284">
        <v>1</v>
      </c>
      <c r="BJ284">
        <v>-1</v>
      </c>
      <c r="BK284">
        <v>-1</v>
      </c>
      <c r="BL284">
        <v>-1</v>
      </c>
    </row>
    <row r="285" spans="1:64" x14ac:dyDescent="0.2">
      <c r="A285" t="s">
        <v>547</v>
      </c>
      <c r="B285">
        <v>1</v>
      </c>
      <c r="C285" s="2">
        <f>'vehicles specifications'!S151</f>
        <v>53</v>
      </c>
      <c r="D285">
        <v>1</v>
      </c>
      <c r="E285">
        <v>1</v>
      </c>
      <c r="F285">
        <f>1+'vehicles specifications'!AD151</f>
        <v>2</v>
      </c>
      <c r="G285">
        <f>1+'vehicles specifications'!AD151</f>
        <v>2</v>
      </c>
      <c r="J285">
        <v>1</v>
      </c>
      <c r="K285">
        <f>1/('fuels and tailpipe emissions'!$C$3*3.6)</f>
        <v>2.3474178403755867E-2</v>
      </c>
      <c r="L285">
        <f t="shared" si="12"/>
        <v>0.30555555555555558</v>
      </c>
      <c r="M285">
        <f>1/'vehicles specifications'!J151</f>
        <v>4.0000000000000003E-5</v>
      </c>
      <c r="N285">
        <v>1</v>
      </c>
      <c r="O285">
        <f>1</f>
        <v>1</v>
      </c>
      <c r="P285">
        <v>1</v>
      </c>
      <c r="Q285">
        <v>1</v>
      </c>
      <c r="R285">
        <f>-1-'vehicles specifications'!AD151</f>
        <v>-2</v>
      </c>
      <c r="S285">
        <v>1</v>
      </c>
      <c r="T285">
        <v>1</v>
      </c>
      <c r="U285">
        <v>1</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1</v>
      </c>
      <c r="AP285">
        <v>1</v>
      </c>
      <c r="AQ285">
        <v>1</v>
      </c>
      <c r="AR285">
        <v>1</v>
      </c>
      <c r="AS285">
        <v>1</v>
      </c>
      <c r="AT285">
        <v>1</v>
      </c>
      <c r="AU285">
        <v>1</v>
      </c>
      <c r="AV285">
        <v>1</v>
      </c>
      <c r="AW285">
        <v>1</v>
      </c>
      <c r="AX285">
        <v>1</v>
      </c>
      <c r="AY285">
        <v>1</v>
      </c>
      <c r="AZ285">
        <v>1</v>
      </c>
      <c r="BA285">
        <v>1</v>
      </c>
      <c r="BB285">
        <v>1</v>
      </c>
      <c r="BC285">
        <v>1</v>
      </c>
      <c r="BD285">
        <v>1</v>
      </c>
      <c r="BE285">
        <v>1</v>
      </c>
      <c r="BF285">
        <v>1</v>
      </c>
      <c r="BG285">
        <v>1</v>
      </c>
      <c r="BH285">
        <v>1</v>
      </c>
      <c r="BI285">
        <v>1</v>
      </c>
      <c r="BJ285">
        <v>-1</v>
      </c>
      <c r="BK285">
        <v>-1</v>
      </c>
      <c r="BL285">
        <v>-1</v>
      </c>
    </row>
    <row r="286" spans="1:64" x14ac:dyDescent="0.2">
      <c r="A286" t="s">
        <v>519</v>
      </c>
      <c r="B286">
        <v>1</v>
      </c>
      <c r="C286" s="2">
        <f>'vehicles specifications'!S152</f>
        <v>53</v>
      </c>
      <c r="D286">
        <v>1</v>
      </c>
      <c r="E286">
        <v>1</v>
      </c>
      <c r="F286">
        <f>1+'vehicles specifications'!AD152</f>
        <v>1.5</v>
      </c>
      <c r="G286">
        <f>1+'vehicles specifications'!AD152</f>
        <v>1.5</v>
      </c>
      <c r="J286">
        <v>1</v>
      </c>
      <c r="K286">
        <f>1/('fuels and tailpipe emissions'!$C$3*3.6)</f>
        <v>2.3474178403755867E-2</v>
      </c>
      <c r="L286">
        <f t="shared" si="12"/>
        <v>0.30555555555555558</v>
      </c>
      <c r="M286">
        <f>1/'vehicles specifications'!J152</f>
        <v>4.0000000000000003E-5</v>
      </c>
      <c r="N286">
        <v>1</v>
      </c>
      <c r="O286">
        <f>1</f>
        <v>1</v>
      </c>
      <c r="P286">
        <v>1</v>
      </c>
      <c r="Q286">
        <v>1</v>
      </c>
      <c r="R286">
        <f>-1-'vehicles specifications'!AD152</f>
        <v>-1.5</v>
      </c>
      <c r="S286">
        <v>1</v>
      </c>
      <c r="T286">
        <v>1</v>
      </c>
      <c r="U286">
        <v>1</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c r="AS286">
        <v>1</v>
      </c>
      <c r="AT286">
        <v>1</v>
      </c>
      <c r="AU286">
        <v>1</v>
      </c>
      <c r="AV286">
        <v>1</v>
      </c>
      <c r="AW286">
        <v>1</v>
      </c>
      <c r="AX286">
        <v>1</v>
      </c>
      <c r="AY286">
        <v>1</v>
      </c>
      <c r="AZ286">
        <v>1</v>
      </c>
      <c r="BA286">
        <v>1</v>
      </c>
      <c r="BB286">
        <v>1</v>
      </c>
      <c r="BC286">
        <v>1</v>
      </c>
      <c r="BD286">
        <v>1</v>
      </c>
      <c r="BE286">
        <v>1</v>
      </c>
      <c r="BF286">
        <v>1</v>
      </c>
      <c r="BG286">
        <v>1</v>
      </c>
      <c r="BH286">
        <v>1</v>
      </c>
      <c r="BI286">
        <v>1</v>
      </c>
      <c r="BJ286">
        <v>-1</v>
      </c>
      <c r="BK286">
        <v>-1</v>
      </c>
      <c r="BL286">
        <v>-1</v>
      </c>
    </row>
    <row r="287" spans="1:64" x14ac:dyDescent="0.2">
      <c r="A287" t="s">
        <v>520</v>
      </c>
      <c r="B287">
        <v>1</v>
      </c>
      <c r="C287" s="2">
        <f>'vehicles specifications'!S153</f>
        <v>53</v>
      </c>
      <c r="D287">
        <v>1</v>
      </c>
      <c r="E287">
        <v>1</v>
      </c>
      <c r="F287">
        <f>1+'vehicles specifications'!AD153</f>
        <v>1.25</v>
      </c>
      <c r="G287">
        <f>1+'vehicles specifications'!AD153</f>
        <v>1.25</v>
      </c>
      <c r="J287">
        <v>1</v>
      </c>
      <c r="K287">
        <f>1/('fuels and tailpipe emissions'!$C$3*3.6)</f>
        <v>2.3474178403755867E-2</v>
      </c>
      <c r="L287">
        <f t="shared" si="12"/>
        <v>0.30555555555555558</v>
      </c>
      <c r="M287">
        <f>1/'vehicles specifications'!J153</f>
        <v>4.0000000000000003E-5</v>
      </c>
      <c r="N287">
        <v>1</v>
      </c>
      <c r="O287">
        <f>1</f>
        <v>1</v>
      </c>
      <c r="P287">
        <v>1</v>
      </c>
      <c r="Q287">
        <v>1</v>
      </c>
      <c r="R287">
        <f>-1-'vehicles specifications'!AD153</f>
        <v>-1.25</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c r="AS287">
        <v>1</v>
      </c>
      <c r="AT287">
        <v>1</v>
      </c>
      <c r="AU287">
        <v>1</v>
      </c>
      <c r="AV287">
        <v>1</v>
      </c>
      <c r="AW287">
        <v>1</v>
      </c>
      <c r="AX287">
        <v>1</v>
      </c>
      <c r="AY287">
        <v>1</v>
      </c>
      <c r="AZ287">
        <v>1</v>
      </c>
      <c r="BA287">
        <v>1</v>
      </c>
      <c r="BB287">
        <v>1</v>
      </c>
      <c r="BC287">
        <v>1</v>
      </c>
      <c r="BD287">
        <v>1</v>
      </c>
      <c r="BE287">
        <v>1</v>
      </c>
      <c r="BF287">
        <v>1</v>
      </c>
      <c r="BG287">
        <v>1</v>
      </c>
      <c r="BH287">
        <v>1</v>
      </c>
      <c r="BI287">
        <v>1</v>
      </c>
      <c r="BJ287">
        <v>-1</v>
      </c>
      <c r="BK287">
        <v>-1</v>
      </c>
      <c r="BL287">
        <v>-1</v>
      </c>
    </row>
    <row r="288" spans="1:64" x14ac:dyDescent="0.2">
      <c r="A288" t="s">
        <v>521</v>
      </c>
      <c r="B288">
        <v>1</v>
      </c>
      <c r="C288" s="2">
        <f>'vehicles specifications'!S154</f>
        <v>53</v>
      </c>
      <c r="D288">
        <v>1</v>
      </c>
      <c r="E288">
        <v>1</v>
      </c>
      <c r="F288">
        <f>1+'vehicles specifications'!AD154</f>
        <v>1</v>
      </c>
      <c r="G288">
        <f>1+'vehicles specifications'!AD154</f>
        <v>1</v>
      </c>
      <c r="J288">
        <v>1</v>
      </c>
      <c r="K288">
        <f>1/('fuels and tailpipe emissions'!$C$3*3.6)</f>
        <v>2.3474178403755867E-2</v>
      </c>
      <c r="L288">
        <f t="shared" si="12"/>
        <v>0.30555555555555558</v>
      </c>
      <c r="M288">
        <f>1/'vehicles specifications'!J154</f>
        <v>4.0000000000000003E-5</v>
      </c>
      <c r="N288">
        <v>1</v>
      </c>
      <c r="O288">
        <f>1</f>
        <v>1</v>
      </c>
      <c r="P288">
        <v>1</v>
      </c>
      <c r="Q288">
        <v>1</v>
      </c>
      <c r="R288">
        <f>-1-'vehicles specifications'!AD154</f>
        <v>-1</v>
      </c>
      <c r="S288">
        <v>1</v>
      </c>
      <c r="T288">
        <v>1</v>
      </c>
      <c r="U288">
        <v>1</v>
      </c>
      <c r="V288">
        <v>1</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1</v>
      </c>
      <c r="AP288">
        <v>1</v>
      </c>
      <c r="AQ288">
        <v>1</v>
      </c>
      <c r="AR288">
        <v>1</v>
      </c>
      <c r="AS288">
        <v>1</v>
      </c>
      <c r="AT288">
        <v>1</v>
      </c>
      <c r="AU288">
        <v>1</v>
      </c>
      <c r="AV288">
        <v>1</v>
      </c>
      <c r="AW288">
        <v>1</v>
      </c>
      <c r="AX288">
        <v>1</v>
      </c>
      <c r="AY288">
        <v>1</v>
      </c>
      <c r="AZ288">
        <v>1</v>
      </c>
      <c r="BA288">
        <v>1</v>
      </c>
      <c r="BB288">
        <v>1</v>
      </c>
      <c r="BC288">
        <v>1</v>
      </c>
      <c r="BD288">
        <v>1</v>
      </c>
      <c r="BE288">
        <v>1</v>
      </c>
      <c r="BF288">
        <v>1</v>
      </c>
      <c r="BG288">
        <v>1</v>
      </c>
      <c r="BH288">
        <v>1</v>
      </c>
      <c r="BI288">
        <v>1</v>
      </c>
      <c r="BJ288">
        <v>-1</v>
      </c>
      <c r="BK288">
        <v>-1</v>
      </c>
      <c r="BL288">
        <v>-1</v>
      </c>
    </row>
    <row r="289" spans="1:64" x14ac:dyDescent="0.2">
      <c r="A289" t="s">
        <v>522</v>
      </c>
      <c r="B289">
        <v>1</v>
      </c>
      <c r="C289" s="2">
        <f>'vehicles specifications'!S155</f>
        <v>65.433826960328489</v>
      </c>
      <c r="D289">
        <v>1</v>
      </c>
      <c r="E289">
        <v>1</v>
      </c>
      <c r="F289">
        <f>1+'vehicles specifications'!AD155</f>
        <v>2</v>
      </c>
      <c r="G289">
        <f>1+'vehicles specifications'!AD155</f>
        <v>2</v>
      </c>
      <c r="J289">
        <v>1</v>
      </c>
      <c r="K289">
        <f>1/('fuels and tailpipe emissions'!$C$3*3.6)</f>
        <v>2.3474178403755867E-2</v>
      </c>
      <c r="L289">
        <f t="shared" si="12"/>
        <v>0.30555555555555558</v>
      </c>
      <c r="M289">
        <f>1/'vehicles specifications'!J155</f>
        <v>4.0000000000000003E-5</v>
      </c>
      <c r="N289">
        <v>1</v>
      </c>
      <c r="O289">
        <f>1</f>
        <v>1</v>
      </c>
      <c r="P289">
        <v>1</v>
      </c>
      <c r="Q289">
        <v>1</v>
      </c>
      <c r="R289">
        <f>-1-'vehicles specifications'!AD155</f>
        <v>-2</v>
      </c>
      <c r="S289">
        <v>1</v>
      </c>
      <c r="T289">
        <v>1</v>
      </c>
      <c r="U289">
        <v>1</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c r="AS289">
        <v>1</v>
      </c>
      <c r="AT289">
        <v>1</v>
      </c>
      <c r="AU289">
        <v>1</v>
      </c>
      <c r="AV289">
        <v>1</v>
      </c>
      <c r="AW289">
        <v>1</v>
      </c>
      <c r="AX289">
        <v>1</v>
      </c>
      <c r="AY289">
        <v>1</v>
      </c>
      <c r="AZ289">
        <v>1</v>
      </c>
      <c r="BA289">
        <v>1</v>
      </c>
      <c r="BB289">
        <v>1</v>
      </c>
      <c r="BC289">
        <v>1</v>
      </c>
      <c r="BD289">
        <v>1</v>
      </c>
      <c r="BE289">
        <v>1</v>
      </c>
      <c r="BF289">
        <v>1</v>
      </c>
      <c r="BG289">
        <v>1</v>
      </c>
      <c r="BH289">
        <v>1</v>
      </c>
      <c r="BI289">
        <v>1</v>
      </c>
      <c r="BJ289">
        <v>-1</v>
      </c>
      <c r="BK289">
        <v>-1</v>
      </c>
      <c r="BL289">
        <v>-1</v>
      </c>
    </row>
    <row r="290" spans="1:64" x14ac:dyDescent="0.2">
      <c r="A290" t="s">
        <v>523</v>
      </c>
      <c r="B290">
        <v>1</v>
      </c>
      <c r="C290" s="2">
        <f>'vehicles specifications'!S156</f>
        <v>65.433826960328489</v>
      </c>
      <c r="D290">
        <v>1</v>
      </c>
      <c r="E290">
        <v>1</v>
      </c>
      <c r="F290">
        <f>1+'vehicles specifications'!AD156</f>
        <v>1.5</v>
      </c>
      <c r="G290">
        <f>1+'vehicles specifications'!AD156</f>
        <v>1.5</v>
      </c>
      <c r="J290">
        <v>1</v>
      </c>
      <c r="K290">
        <f>1/('fuels and tailpipe emissions'!$C$3*3.6)</f>
        <v>2.3474178403755867E-2</v>
      </c>
      <c r="L290">
        <f t="shared" si="12"/>
        <v>0.30555555555555558</v>
      </c>
      <c r="M290">
        <f>1/'vehicles specifications'!J156</f>
        <v>4.0000000000000003E-5</v>
      </c>
      <c r="N290">
        <v>1</v>
      </c>
      <c r="O290">
        <f>1</f>
        <v>1</v>
      </c>
      <c r="P290">
        <v>1</v>
      </c>
      <c r="Q290">
        <v>1</v>
      </c>
      <c r="R290">
        <f>-1-'vehicles specifications'!AD156</f>
        <v>-1.5</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c r="AS290">
        <v>1</v>
      </c>
      <c r="AT290">
        <v>1</v>
      </c>
      <c r="AU290">
        <v>1</v>
      </c>
      <c r="AV290">
        <v>1</v>
      </c>
      <c r="AW290">
        <v>1</v>
      </c>
      <c r="AX290">
        <v>1</v>
      </c>
      <c r="AY290">
        <v>1</v>
      </c>
      <c r="AZ290">
        <v>1</v>
      </c>
      <c r="BA290">
        <v>1</v>
      </c>
      <c r="BB290">
        <v>1</v>
      </c>
      <c r="BC290">
        <v>1</v>
      </c>
      <c r="BD290">
        <v>1</v>
      </c>
      <c r="BE290">
        <v>1</v>
      </c>
      <c r="BF290">
        <v>1</v>
      </c>
      <c r="BG290">
        <v>1</v>
      </c>
      <c r="BH290">
        <v>1</v>
      </c>
      <c r="BI290">
        <v>1</v>
      </c>
      <c r="BJ290">
        <v>-1</v>
      </c>
      <c r="BK290">
        <v>-1</v>
      </c>
      <c r="BL290">
        <v>-1</v>
      </c>
    </row>
    <row r="291" spans="1:64" x14ac:dyDescent="0.2">
      <c r="A291" t="s">
        <v>524</v>
      </c>
      <c r="B291">
        <v>1</v>
      </c>
      <c r="C291" s="2">
        <f>'vehicles specifications'!S157</f>
        <v>65.433826960328489</v>
      </c>
      <c r="D291">
        <v>1</v>
      </c>
      <c r="E291">
        <v>1</v>
      </c>
      <c r="F291">
        <f>1+'vehicles specifications'!AD157</f>
        <v>1.25</v>
      </c>
      <c r="G291">
        <f>1+'vehicles specifications'!AD157</f>
        <v>1.25</v>
      </c>
      <c r="J291">
        <v>1</v>
      </c>
      <c r="K291">
        <f>1/('fuels and tailpipe emissions'!$C$3*3.6)</f>
        <v>2.3474178403755867E-2</v>
      </c>
      <c r="L291">
        <f t="shared" si="12"/>
        <v>0.30555555555555558</v>
      </c>
      <c r="M291">
        <f>1/'vehicles specifications'!J157</f>
        <v>4.0000000000000003E-5</v>
      </c>
      <c r="N291">
        <v>1</v>
      </c>
      <c r="O291">
        <f>1</f>
        <v>1</v>
      </c>
      <c r="P291">
        <v>1</v>
      </c>
      <c r="Q291">
        <v>1</v>
      </c>
      <c r="R291">
        <f>-1-'vehicles specifications'!AD157</f>
        <v>-1.25</v>
      </c>
      <c r="S291">
        <v>1</v>
      </c>
      <c r="T291">
        <v>1</v>
      </c>
      <c r="U291">
        <v>1</v>
      </c>
      <c r="V291">
        <v>1</v>
      </c>
      <c r="W291">
        <v>1</v>
      </c>
      <c r="X291">
        <v>1</v>
      </c>
      <c r="Y291">
        <v>1</v>
      </c>
      <c r="Z291">
        <v>1</v>
      </c>
      <c r="AA291">
        <v>1</v>
      </c>
      <c r="AB291">
        <v>1</v>
      </c>
      <c r="AC291">
        <v>1</v>
      </c>
      <c r="AD291">
        <v>1</v>
      </c>
      <c r="AE291">
        <v>1</v>
      </c>
      <c r="AF291">
        <v>1</v>
      </c>
      <c r="AG291">
        <v>1</v>
      </c>
      <c r="AH291">
        <v>1</v>
      </c>
      <c r="AI291">
        <v>1</v>
      </c>
      <c r="AJ291">
        <v>1</v>
      </c>
      <c r="AK291">
        <v>1</v>
      </c>
      <c r="AL291">
        <v>1</v>
      </c>
      <c r="AM291">
        <v>1</v>
      </c>
      <c r="AN291">
        <v>1</v>
      </c>
      <c r="AO291">
        <v>1</v>
      </c>
      <c r="AP291">
        <v>1</v>
      </c>
      <c r="AQ291">
        <v>1</v>
      </c>
      <c r="AR291">
        <v>1</v>
      </c>
      <c r="AS291">
        <v>1</v>
      </c>
      <c r="AT291">
        <v>1</v>
      </c>
      <c r="AU291">
        <v>1</v>
      </c>
      <c r="AV291">
        <v>1</v>
      </c>
      <c r="AW291">
        <v>1</v>
      </c>
      <c r="AX291">
        <v>1</v>
      </c>
      <c r="AY291">
        <v>1</v>
      </c>
      <c r="AZ291">
        <v>1</v>
      </c>
      <c r="BA291">
        <v>1</v>
      </c>
      <c r="BB291">
        <v>1</v>
      </c>
      <c r="BC291">
        <v>1</v>
      </c>
      <c r="BD291">
        <v>1</v>
      </c>
      <c r="BE291">
        <v>1</v>
      </c>
      <c r="BF291">
        <v>1</v>
      </c>
      <c r="BG291">
        <v>1</v>
      </c>
      <c r="BH291">
        <v>1</v>
      </c>
      <c r="BI291">
        <v>1</v>
      </c>
      <c r="BJ291">
        <v>-1</v>
      </c>
      <c r="BK291">
        <v>-1</v>
      </c>
      <c r="BL291">
        <v>-1</v>
      </c>
    </row>
    <row r="292" spans="1:64" x14ac:dyDescent="0.2">
      <c r="A292" t="s">
        <v>525</v>
      </c>
      <c r="B292">
        <v>1</v>
      </c>
      <c r="C292" s="2">
        <f>'vehicles specifications'!S158</f>
        <v>65.433826960328489</v>
      </c>
      <c r="D292">
        <v>1</v>
      </c>
      <c r="E292">
        <v>1</v>
      </c>
      <c r="F292">
        <f>1+'vehicles specifications'!AD158</f>
        <v>1</v>
      </c>
      <c r="G292">
        <f>1+'vehicles specifications'!AD158</f>
        <v>1</v>
      </c>
      <c r="J292">
        <v>1</v>
      </c>
      <c r="K292">
        <f>1/('fuels and tailpipe emissions'!$C$3*3.6)</f>
        <v>2.3474178403755867E-2</v>
      </c>
      <c r="L292">
        <f t="shared" si="12"/>
        <v>0.30555555555555558</v>
      </c>
      <c r="M292">
        <f>1/'vehicles specifications'!J158</f>
        <v>4.0000000000000003E-5</v>
      </c>
      <c r="N292">
        <v>1</v>
      </c>
      <c r="O292">
        <f>1</f>
        <v>1</v>
      </c>
      <c r="P292">
        <v>1</v>
      </c>
      <c r="Q292">
        <v>1</v>
      </c>
      <c r="R292">
        <f>-1-'vehicles specifications'!AD158</f>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c r="AS292">
        <v>1</v>
      </c>
      <c r="AT292">
        <v>1</v>
      </c>
      <c r="AU292">
        <v>1</v>
      </c>
      <c r="AV292">
        <v>1</v>
      </c>
      <c r="AW292">
        <v>1</v>
      </c>
      <c r="AX292">
        <v>1</v>
      </c>
      <c r="AY292">
        <v>1</v>
      </c>
      <c r="AZ292">
        <v>1</v>
      </c>
      <c r="BA292">
        <v>1</v>
      </c>
      <c r="BB292">
        <v>1</v>
      </c>
      <c r="BC292">
        <v>1</v>
      </c>
      <c r="BD292">
        <v>1</v>
      </c>
      <c r="BE292">
        <v>1</v>
      </c>
      <c r="BF292">
        <v>1</v>
      </c>
      <c r="BG292">
        <v>1</v>
      </c>
      <c r="BH292">
        <v>1</v>
      </c>
      <c r="BI292">
        <v>1</v>
      </c>
      <c r="BJ292">
        <v>-1</v>
      </c>
      <c r="BK292">
        <v>-1</v>
      </c>
      <c r="BL292">
        <v>-1</v>
      </c>
    </row>
    <row r="293" spans="1:64" x14ac:dyDescent="0.2">
      <c r="A293" t="s">
        <v>526</v>
      </c>
      <c r="B293">
        <v>1</v>
      </c>
      <c r="C293" s="2">
        <f>'vehicles specifications'!S159</f>
        <v>81</v>
      </c>
      <c r="D293">
        <v>1</v>
      </c>
      <c r="E293">
        <v>1</v>
      </c>
      <c r="F293">
        <f>1+'vehicles specifications'!AD159</f>
        <v>2</v>
      </c>
      <c r="G293">
        <f>1+'vehicles specifications'!AD159</f>
        <v>2</v>
      </c>
      <c r="J293">
        <v>1</v>
      </c>
      <c r="K293">
        <f>1/('fuels and tailpipe emissions'!$C$3*3.6)</f>
        <v>2.3474178403755867E-2</v>
      </c>
      <c r="L293">
        <f t="shared" si="12"/>
        <v>0.30555555555555558</v>
      </c>
      <c r="M293">
        <f>1/'vehicles specifications'!J159</f>
        <v>2.5974025974025975E-5</v>
      </c>
      <c r="N293">
        <v>1</v>
      </c>
      <c r="O293">
        <f>1</f>
        <v>1</v>
      </c>
      <c r="P293">
        <v>1</v>
      </c>
      <c r="Q293">
        <v>1</v>
      </c>
      <c r="R293">
        <f>-1-'vehicles specifications'!AD159</f>
        <v>-2</v>
      </c>
      <c r="S293">
        <v>1</v>
      </c>
      <c r="T293">
        <v>1</v>
      </c>
      <c r="U293">
        <v>1</v>
      </c>
      <c r="V293">
        <v>1</v>
      </c>
      <c r="W293">
        <v>1</v>
      </c>
      <c r="X293">
        <v>1</v>
      </c>
      <c r="Y293">
        <v>1</v>
      </c>
      <c r="Z293">
        <v>1</v>
      </c>
      <c r="AA293">
        <v>1</v>
      </c>
      <c r="AB293">
        <v>1</v>
      </c>
      <c r="AC293">
        <v>1</v>
      </c>
      <c r="AD293">
        <v>1</v>
      </c>
      <c r="AE293">
        <v>1</v>
      </c>
      <c r="AF293">
        <v>1</v>
      </c>
      <c r="AG293">
        <v>1</v>
      </c>
      <c r="AH293">
        <v>1</v>
      </c>
      <c r="AI293">
        <v>1</v>
      </c>
      <c r="AJ293">
        <v>1</v>
      </c>
      <c r="AK293">
        <v>1</v>
      </c>
      <c r="AL293">
        <v>1</v>
      </c>
      <c r="AM293">
        <v>1</v>
      </c>
      <c r="AN293">
        <v>1</v>
      </c>
      <c r="AO293">
        <v>1</v>
      </c>
      <c r="AP293">
        <v>1</v>
      </c>
      <c r="AQ293">
        <v>1</v>
      </c>
      <c r="AR293">
        <v>1</v>
      </c>
      <c r="AS293">
        <v>1</v>
      </c>
      <c r="AT293">
        <v>1</v>
      </c>
      <c r="AU293">
        <v>1</v>
      </c>
      <c r="AV293">
        <v>1</v>
      </c>
      <c r="AW293">
        <v>1</v>
      </c>
      <c r="AX293">
        <v>1</v>
      </c>
      <c r="AY293">
        <v>1</v>
      </c>
      <c r="AZ293">
        <v>1</v>
      </c>
      <c r="BA293">
        <v>1</v>
      </c>
      <c r="BB293">
        <v>1</v>
      </c>
      <c r="BC293">
        <v>1</v>
      </c>
      <c r="BD293">
        <v>1</v>
      </c>
      <c r="BE293">
        <v>1</v>
      </c>
      <c r="BF293">
        <v>1</v>
      </c>
      <c r="BG293">
        <v>1</v>
      </c>
      <c r="BH293">
        <v>1</v>
      </c>
      <c r="BI293">
        <v>1</v>
      </c>
      <c r="BJ293">
        <v>-1</v>
      </c>
      <c r="BK293">
        <v>-1</v>
      </c>
      <c r="BL293">
        <v>-1</v>
      </c>
    </row>
    <row r="294" spans="1:64" x14ac:dyDescent="0.2">
      <c r="A294" t="s">
        <v>527</v>
      </c>
      <c r="B294">
        <v>1</v>
      </c>
      <c r="C294" s="2">
        <f>'vehicles specifications'!S160</f>
        <v>81</v>
      </c>
      <c r="D294">
        <v>1</v>
      </c>
      <c r="E294">
        <v>1</v>
      </c>
      <c r="F294">
        <f>1+'vehicles specifications'!AD160</f>
        <v>1.5</v>
      </c>
      <c r="G294">
        <f>1+'vehicles specifications'!AD160</f>
        <v>1.5</v>
      </c>
      <c r="J294">
        <v>1</v>
      </c>
      <c r="K294">
        <f>1/('fuels and tailpipe emissions'!$C$3*3.6)</f>
        <v>2.3474178403755867E-2</v>
      </c>
      <c r="L294">
        <f t="shared" ref="L294:L300" si="14">1/3.6*1.1</f>
        <v>0.30555555555555558</v>
      </c>
      <c r="M294">
        <f>1/'vehicles specifications'!J160</f>
        <v>2.5974025974025975E-5</v>
      </c>
      <c r="N294">
        <v>1</v>
      </c>
      <c r="O294">
        <f>1</f>
        <v>1</v>
      </c>
      <c r="P294">
        <v>1</v>
      </c>
      <c r="Q294">
        <v>1</v>
      </c>
      <c r="R294">
        <f>-1-'vehicles specifications'!AD160</f>
        <v>-1.5</v>
      </c>
      <c r="S294">
        <v>1</v>
      </c>
      <c r="T294">
        <v>1</v>
      </c>
      <c r="U294">
        <v>1</v>
      </c>
      <c r="V294">
        <v>1</v>
      </c>
      <c r="W294">
        <v>1</v>
      </c>
      <c r="X294">
        <v>1</v>
      </c>
      <c r="Y294">
        <v>1</v>
      </c>
      <c r="Z294">
        <v>1</v>
      </c>
      <c r="AA294">
        <v>1</v>
      </c>
      <c r="AB294">
        <v>1</v>
      </c>
      <c r="AC294">
        <v>1</v>
      </c>
      <c r="AD294">
        <v>1</v>
      </c>
      <c r="AE294">
        <v>1</v>
      </c>
      <c r="AF294">
        <v>1</v>
      </c>
      <c r="AG294">
        <v>1</v>
      </c>
      <c r="AH294">
        <v>1</v>
      </c>
      <c r="AI294">
        <v>1</v>
      </c>
      <c r="AJ294">
        <v>1</v>
      </c>
      <c r="AK294">
        <v>1</v>
      </c>
      <c r="AL294">
        <v>1</v>
      </c>
      <c r="AM294">
        <v>1</v>
      </c>
      <c r="AN294">
        <v>1</v>
      </c>
      <c r="AO294">
        <v>1</v>
      </c>
      <c r="AP294">
        <v>1</v>
      </c>
      <c r="AQ294">
        <v>1</v>
      </c>
      <c r="AR294">
        <v>1</v>
      </c>
      <c r="AS294">
        <v>1</v>
      </c>
      <c r="AT294">
        <v>1</v>
      </c>
      <c r="AU294">
        <v>1</v>
      </c>
      <c r="AV294">
        <v>1</v>
      </c>
      <c r="AW294">
        <v>1</v>
      </c>
      <c r="AX294">
        <v>1</v>
      </c>
      <c r="AY294">
        <v>1</v>
      </c>
      <c r="AZ294">
        <v>1</v>
      </c>
      <c r="BA294">
        <v>1</v>
      </c>
      <c r="BB294">
        <v>1</v>
      </c>
      <c r="BC294">
        <v>1</v>
      </c>
      <c r="BD294">
        <v>1</v>
      </c>
      <c r="BE294">
        <v>1</v>
      </c>
      <c r="BF294">
        <v>1</v>
      </c>
      <c r="BG294">
        <v>1</v>
      </c>
      <c r="BH294">
        <v>1</v>
      </c>
      <c r="BI294">
        <v>1</v>
      </c>
      <c r="BJ294">
        <v>-1</v>
      </c>
      <c r="BK294">
        <v>-1</v>
      </c>
      <c r="BL294">
        <v>-1</v>
      </c>
    </row>
    <row r="295" spans="1:64" x14ac:dyDescent="0.2">
      <c r="A295" t="s">
        <v>528</v>
      </c>
      <c r="B295">
        <v>1</v>
      </c>
      <c r="C295" s="2">
        <f>'vehicles specifications'!S161</f>
        <v>81</v>
      </c>
      <c r="D295">
        <v>1</v>
      </c>
      <c r="E295">
        <v>1</v>
      </c>
      <c r="F295">
        <f>1+'vehicles specifications'!AD161</f>
        <v>1.25</v>
      </c>
      <c r="G295">
        <f>1+'vehicles specifications'!AD161</f>
        <v>1.25</v>
      </c>
      <c r="J295">
        <v>1</v>
      </c>
      <c r="K295">
        <f>1/('fuels and tailpipe emissions'!$C$3*3.6)</f>
        <v>2.3474178403755867E-2</v>
      </c>
      <c r="L295">
        <f t="shared" si="14"/>
        <v>0.30555555555555558</v>
      </c>
      <c r="M295">
        <f>1/'vehicles specifications'!J161</f>
        <v>2.5974025974025975E-5</v>
      </c>
      <c r="N295">
        <v>1</v>
      </c>
      <c r="O295">
        <f>1</f>
        <v>1</v>
      </c>
      <c r="P295">
        <v>1</v>
      </c>
      <c r="Q295">
        <v>1</v>
      </c>
      <c r="R295">
        <f>-1-'vehicles specifications'!AD161</f>
        <v>-1.25</v>
      </c>
      <c r="S295">
        <v>1</v>
      </c>
      <c r="T295">
        <v>1</v>
      </c>
      <c r="U295">
        <v>1</v>
      </c>
      <c r="V295">
        <v>1</v>
      </c>
      <c r="W295">
        <v>1</v>
      </c>
      <c r="X295">
        <v>1</v>
      </c>
      <c r="Y295">
        <v>1</v>
      </c>
      <c r="Z295">
        <v>1</v>
      </c>
      <c r="AA295">
        <v>1</v>
      </c>
      <c r="AB295">
        <v>1</v>
      </c>
      <c r="AC295">
        <v>1</v>
      </c>
      <c r="AD295">
        <v>1</v>
      </c>
      <c r="AE295">
        <v>1</v>
      </c>
      <c r="AF295">
        <v>1</v>
      </c>
      <c r="AG295">
        <v>1</v>
      </c>
      <c r="AH295">
        <v>1</v>
      </c>
      <c r="AI295">
        <v>1</v>
      </c>
      <c r="AJ295">
        <v>1</v>
      </c>
      <c r="AK295">
        <v>1</v>
      </c>
      <c r="AL295">
        <v>1</v>
      </c>
      <c r="AM295">
        <v>1</v>
      </c>
      <c r="AN295">
        <v>1</v>
      </c>
      <c r="AO295">
        <v>1</v>
      </c>
      <c r="AP295">
        <v>1</v>
      </c>
      <c r="AQ295">
        <v>1</v>
      </c>
      <c r="AR295">
        <v>1</v>
      </c>
      <c r="AS295">
        <v>1</v>
      </c>
      <c r="AT295">
        <v>1</v>
      </c>
      <c r="AU295">
        <v>1</v>
      </c>
      <c r="AV295">
        <v>1</v>
      </c>
      <c r="AW295">
        <v>1</v>
      </c>
      <c r="AX295">
        <v>1</v>
      </c>
      <c r="AY295">
        <v>1</v>
      </c>
      <c r="AZ295">
        <v>1</v>
      </c>
      <c r="BA295">
        <v>1</v>
      </c>
      <c r="BB295">
        <v>1</v>
      </c>
      <c r="BC295">
        <v>1</v>
      </c>
      <c r="BD295">
        <v>1</v>
      </c>
      <c r="BE295">
        <v>1</v>
      </c>
      <c r="BF295">
        <v>1</v>
      </c>
      <c r="BG295">
        <v>1</v>
      </c>
      <c r="BH295">
        <v>1</v>
      </c>
      <c r="BI295">
        <v>1</v>
      </c>
      <c r="BJ295">
        <v>-1</v>
      </c>
      <c r="BK295">
        <v>-1</v>
      </c>
      <c r="BL295">
        <v>-1</v>
      </c>
    </row>
    <row r="296" spans="1:64" x14ac:dyDescent="0.2">
      <c r="A296" t="s">
        <v>529</v>
      </c>
      <c r="B296">
        <v>1</v>
      </c>
      <c r="C296" s="2">
        <f>'vehicles specifications'!S162</f>
        <v>81</v>
      </c>
      <c r="D296">
        <v>1</v>
      </c>
      <c r="E296">
        <v>1</v>
      </c>
      <c r="F296">
        <f>1+'vehicles specifications'!AD162</f>
        <v>1</v>
      </c>
      <c r="G296">
        <f>1+'vehicles specifications'!AD162</f>
        <v>1</v>
      </c>
      <c r="J296">
        <v>1</v>
      </c>
      <c r="K296">
        <f>1/('fuels and tailpipe emissions'!$C$3*3.6)</f>
        <v>2.3474178403755867E-2</v>
      </c>
      <c r="L296">
        <f t="shared" si="14"/>
        <v>0.30555555555555558</v>
      </c>
      <c r="M296">
        <f>1/'vehicles specifications'!J162</f>
        <v>2.5974025974025975E-5</v>
      </c>
      <c r="N296">
        <v>1</v>
      </c>
      <c r="O296">
        <f>1</f>
        <v>1</v>
      </c>
      <c r="P296">
        <v>1</v>
      </c>
      <c r="Q296">
        <v>1</v>
      </c>
      <c r="R296">
        <f>-1-'vehicles specifications'!AD162</f>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c r="BA296">
        <v>1</v>
      </c>
      <c r="BB296">
        <v>1</v>
      </c>
      <c r="BC296">
        <v>1</v>
      </c>
      <c r="BD296">
        <v>1</v>
      </c>
      <c r="BE296">
        <v>1</v>
      </c>
      <c r="BF296">
        <v>1</v>
      </c>
      <c r="BG296">
        <v>1</v>
      </c>
      <c r="BH296">
        <v>1</v>
      </c>
      <c r="BI296">
        <v>1</v>
      </c>
      <c r="BJ296">
        <v>-1</v>
      </c>
      <c r="BK296">
        <v>-1</v>
      </c>
      <c r="BL296">
        <v>-1</v>
      </c>
    </row>
    <row r="297" spans="1:64" x14ac:dyDescent="0.2">
      <c r="A297" t="s">
        <v>530</v>
      </c>
      <c r="B297">
        <v>1</v>
      </c>
      <c r="C297" s="2">
        <f>'vehicles specifications'!S163</f>
        <v>111</v>
      </c>
      <c r="D297">
        <v>1</v>
      </c>
      <c r="E297">
        <v>1</v>
      </c>
      <c r="F297">
        <f>1+'vehicles specifications'!AD163</f>
        <v>2</v>
      </c>
      <c r="G297">
        <f>1+'vehicles specifications'!AD163</f>
        <v>2</v>
      </c>
      <c r="J297">
        <v>1</v>
      </c>
      <c r="K297">
        <f>1/('fuels and tailpipe emissions'!$C$3*3.6)</f>
        <v>2.3474178403755867E-2</v>
      </c>
      <c r="L297">
        <f t="shared" si="14"/>
        <v>0.30555555555555558</v>
      </c>
      <c r="M297">
        <f>1/'vehicles specifications'!J163</f>
        <v>2.4691358024691357E-5</v>
      </c>
      <c r="N297">
        <v>1</v>
      </c>
      <c r="O297">
        <f>1</f>
        <v>1</v>
      </c>
      <c r="P297">
        <v>1</v>
      </c>
      <c r="Q297">
        <v>1</v>
      </c>
      <c r="R297">
        <f>-1-'vehicles specifications'!AD163</f>
        <v>-2</v>
      </c>
      <c r="S297">
        <v>1</v>
      </c>
      <c r="T297">
        <v>1</v>
      </c>
      <c r="U297">
        <v>1</v>
      </c>
      <c r="V297">
        <v>1</v>
      </c>
      <c r="W297">
        <v>1</v>
      </c>
      <c r="X297">
        <v>1</v>
      </c>
      <c r="Y297">
        <v>1</v>
      </c>
      <c r="Z297">
        <v>1</v>
      </c>
      <c r="AA297">
        <v>1</v>
      </c>
      <c r="AB297">
        <v>1</v>
      </c>
      <c r="AC297">
        <v>1</v>
      </c>
      <c r="AD297">
        <v>1</v>
      </c>
      <c r="AE297">
        <v>1</v>
      </c>
      <c r="AF297">
        <v>1</v>
      </c>
      <c r="AG297">
        <v>1</v>
      </c>
      <c r="AH297">
        <v>1</v>
      </c>
      <c r="AI297">
        <v>1</v>
      </c>
      <c r="AJ297">
        <v>1</v>
      </c>
      <c r="AK297">
        <v>1</v>
      </c>
      <c r="AL297">
        <v>1</v>
      </c>
      <c r="AM297">
        <v>1</v>
      </c>
      <c r="AN297">
        <v>1</v>
      </c>
      <c r="AO297">
        <v>1</v>
      </c>
      <c r="AP297">
        <v>1</v>
      </c>
      <c r="AQ297">
        <v>1</v>
      </c>
      <c r="AR297">
        <v>1</v>
      </c>
      <c r="AS297">
        <v>1</v>
      </c>
      <c r="AT297">
        <v>1</v>
      </c>
      <c r="AU297">
        <v>1</v>
      </c>
      <c r="AV297">
        <v>1</v>
      </c>
      <c r="AW297">
        <v>1</v>
      </c>
      <c r="AX297">
        <v>1</v>
      </c>
      <c r="AY297">
        <v>1</v>
      </c>
      <c r="AZ297">
        <v>1</v>
      </c>
      <c r="BA297">
        <v>1</v>
      </c>
      <c r="BB297">
        <v>1</v>
      </c>
      <c r="BC297">
        <v>1</v>
      </c>
      <c r="BD297">
        <v>1</v>
      </c>
      <c r="BE297">
        <v>1</v>
      </c>
      <c r="BF297">
        <v>1</v>
      </c>
      <c r="BG297">
        <v>1</v>
      </c>
      <c r="BH297">
        <v>1</v>
      </c>
      <c r="BI297">
        <v>1</v>
      </c>
      <c r="BJ297">
        <v>-1</v>
      </c>
      <c r="BK297">
        <v>-1</v>
      </c>
      <c r="BL297">
        <v>-1</v>
      </c>
    </row>
    <row r="298" spans="1:64" x14ac:dyDescent="0.2">
      <c r="A298" t="s">
        <v>531</v>
      </c>
      <c r="B298">
        <v>1</v>
      </c>
      <c r="C298" s="2">
        <f>'vehicles specifications'!S164</f>
        <v>111</v>
      </c>
      <c r="D298">
        <v>1</v>
      </c>
      <c r="E298">
        <v>1</v>
      </c>
      <c r="F298">
        <f>1+'vehicles specifications'!AD164</f>
        <v>1.5</v>
      </c>
      <c r="G298">
        <f>1+'vehicles specifications'!AD164</f>
        <v>1.5</v>
      </c>
      <c r="J298">
        <v>1</v>
      </c>
      <c r="K298">
        <f>1/('fuels and tailpipe emissions'!$C$3*3.6)</f>
        <v>2.3474178403755867E-2</v>
      </c>
      <c r="L298">
        <f t="shared" si="14"/>
        <v>0.30555555555555558</v>
      </c>
      <c r="M298">
        <f>1/'vehicles specifications'!J164</f>
        <v>2.4691358024691357E-5</v>
      </c>
      <c r="N298">
        <v>1</v>
      </c>
      <c r="O298">
        <f>1</f>
        <v>1</v>
      </c>
      <c r="P298">
        <v>1</v>
      </c>
      <c r="Q298">
        <v>1</v>
      </c>
      <c r="R298">
        <f>-1-'vehicles specifications'!AD164</f>
        <v>-1.5</v>
      </c>
      <c r="S298">
        <v>1</v>
      </c>
      <c r="T298">
        <v>1</v>
      </c>
      <c r="U298">
        <v>1</v>
      </c>
      <c r="V298">
        <v>1</v>
      </c>
      <c r="W298">
        <v>1</v>
      </c>
      <c r="X298">
        <v>1</v>
      </c>
      <c r="Y298">
        <v>1</v>
      </c>
      <c r="Z298">
        <v>1</v>
      </c>
      <c r="AA298">
        <v>1</v>
      </c>
      <c r="AB298">
        <v>1</v>
      </c>
      <c r="AC298">
        <v>1</v>
      </c>
      <c r="AD298">
        <v>1</v>
      </c>
      <c r="AE298">
        <v>1</v>
      </c>
      <c r="AF298">
        <v>1</v>
      </c>
      <c r="AG298">
        <v>1</v>
      </c>
      <c r="AH298">
        <v>1</v>
      </c>
      <c r="AI298">
        <v>1</v>
      </c>
      <c r="AJ298">
        <v>1</v>
      </c>
      <c r="AK298">
        <v>1</v>
      </c>
      <c r="AL298">
        <v>1</v>
      </c>
      <c r="AM298">
        <v>1</v>
      </c>
      <c r="AN298">
        <v>1</v>
      </c>
      <c r="AO298">
        <v>1</v>
      </c>
      <c r="AP298">
        <v>1</v>
      </c>
      <c r="AQ298">
        <v>1</v>
      </c>
      <c r="AR298">
        <v>1</v>
      </c>
      <c r="AS298">
        <v>1</v>
      </c>
      <c r="AT298">
        <v>1</v>
      </c>
      <c r="AU298">
        <v>1</v>
      </c>
      <c r="AV298">
        <v>1</v>
      </c>
      <c r="AW298">
        <v>1</v>
      </c>
      <c r="AX298">
        <v>1</v>
      </c>
      <c r="AY298">
        <v>1</v>
      </c>
      <c r="AZ298">
        <v>1</v>
      </c>
      <c r="BA298">
        <v>1</v>
      </c>
      <c r="BB298">
        <v>1</v>
      </c>
      <c r="BC298">
        <v>1</v>
      </c>
      <c r="BD298">
        <v>1</v>
      </c>
      <c r="BE298">
        <v>1</v>
      </c>
      <c r="BF298">
        <v>1</v>
      </c>
      <c r="BG298">
        <v>1</v>
      </c>
      <c r="BH298">
        <v>1</v>
      </c>
      <c r="BI298">
        <v>1</v>
      </c>
      <c r="BJ298">
        <v>-1</v>
      </c>
      <c r="BK298">
        <v>-1</v>
      </c>
      <c r="BL298">
        <v>-1</v>
      </c>
    </row>
    <row r="299" spans="1:64" x14ac:dyDescent="0.2">
      <c r="A299" t="s">
        <v>532</v>
      </c>
      <c r="B299">
        <v>1</v>
      </c>
      <c r="C299" s="2">
        <f>'vehicles specifications'!S165</f>
        <v>111</v>
      </c>
      <c r="D299">
        <v>1</v>
      </c>
      <c r="E299">
        <v>1</v>
      </c>
      <c r="F299">
        <f>1+'vehicles specifications'!AD165</f>
        <v>1.25</v>
      </c>
      <c r="G299">
        <f>1+'vehicles specifications'!AD165</f>
        <v>1.25</v>
      </c>
      <c r="J299">
        <v>1</v>
      </c>
      <c r="K299">
        <f>1/('fuels and tailpipe emissions'!$C$3*3.6)</f>
        <v>2.3474178403755867E-2</v>
      </c>
      <c r="L299">
        <f t="shared" si="14"/>
        <v>0.30555555555555558</v>
      </c>
      <c r="M299">
        <f>1/'vehicles specifications'!J165</f>
        <v>2.4691358024691357E-5</v>
      </c>
      <c r="N299">
        <v>1</v>
      </c>
      <c r="O299">
        <f>1</f>
        <v>1</v>
      </c>
      <c r="P299">
        <v>1</v>
      </c>
      <c r="Q299">
        <v>1</v>
      </c>
      <c r="R299">
        <f>-1-'vehicles specifications'!AD165</f>
        <v>-1.25</v>
      </c>
      <c r="S299">
        <v>1</v>
      </c>
      <c r="T299">
        <v>1</v>
      </c>
      <c r="U299">
        <v>1</v>
      </c>
      <c r="V299">
        <v>1</v>
      </c>
      <c r="W299">
        <v>1</v>
      </c>
      <c r="X299">
        <v>1</v>
      </c>
      <c r="Y299">
        <v>1</v>
      </c>
      <c r="Z299">
        <v>1</v>
      </c>
      <c r="AA299">
        <v>1</v>
      </c>
      <c r="AB299">
        <v>1</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c r="BA299">
        <v>1</v>
      </c>
      <c r="BB299">
        <v>1</v>
      </c>
      <c r="BC299">
        <v>1</v>
      </c>
      <c r="BD299">
        <v>1</v>
      </c>
      <c r="BE299">
        <v>1</v>
      </c>
      <c r="BF299">
        <v>1</v>
      </c>
      <c r="BG299">
        <v>1</v>
      </c>
      <c r="BH299">
        <v>1</v>
      </c>
      <c r="BI299">
        <v>1</v>
      </c>
      <c r="BJ299">
        <v>-1</v>
      </c>
      <c r="BK299">
        <v>-1</v>
      </c>
      <c r="BL299">
        <v>-1</v>
      </c>
    </row>
    <row r="300" spans="1:64" x14ac:dyDescent="0.2">
      <c r="A300" t="s">
        <v>533</v>
      </c>
      <c r="B300">
        <v>1</v>
      </c>
      <c r="C300" s="2">
        <f>'vehicles specifications'!S166</f>
        <v>111</v>
      </c>
      <c r="D300">
        <v>1</v>
      </c>
      <c r="E300">
        <v>1</v>
      </c>
      <c r="F300">
        <f>1+'vehicles specifications'!AD166</f>
        <v>1</v>
      </c>
      <c r="G300">
        <f>1+'vehicles specifications'!AD166</f>
        <v>1</v>
      </c>
      <c r="J300">
        <v>1</v>
      </c>
      <c r="K300">
        <f>1/('fuels and tailpipe emissions'!$C$3*3.6)</f>
        <v>2.3474178403755867E-2</v>
      </c>
      <c r="L300">
        <f t="shared" si="14"/>
        <v>0.30555555555555558</v>
      </c>
      <c r="M300">
        <f>1/'vehicles specifications'!J166</f>
        <v>2.4691358024691357E-5</v>
      </c>
      <c r="N300">
        <v>1</v>
      </c>
      <c r="O300">
        <f>1</f>
        <v>1</v>
      </c>
      <c r="P300">
        <v>1</v>
      </c>
      <c r="Q300">
        <v>1</v>
      </c>
      <c r="R300">
        <f>-1-'vehicles specifications'!AD166</f>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c r="BA300">
        <v>1</v>
      </c>
      <c r="BB300">
        <v>1</v>
      </c>
      <c r="BC300">
        <v>1</v>
      </c>
      <c r="BD300">
        <v>1</v>
      </c>
      <c r="BE300">
        <v>1</v>
      </c>
      <c r="BF300">
        <v>1</v>
      </c>
      <c r="BG300">
        <v>1</v>
      </c>
      <c r="BH300">
        <v>1</v>
      </c>
      <c r="BI300">
        <v>1</v>
      </c>
      <c r="BJ300">
        <v>-1</v>
      </c>
      <c r="BK300">
        <v>-1</v>
      </c>
      <c r="BL300">
        <v>-1</v>
      </c>
    </row>
    <row r="302" spans="1:64" x14ac:dyDescent="0.2">
      <c r="A302" t="s">
        <v>162</v>
      </c>
    </row>
    <row r="304" spans="1:64" x14ac:dyDescent="0.2">
      <c r="B304" t="s">
        <v>15</v>
      </c>
      <c r="D304" t="s">
        <v>16</v>
      </c>
      <c r="E304" t="s">
        <v>276</v>
      </c>
      <c r="F304" t="s">
        <v>19</v>
      </c>
      <c r="G304" t="s">
        <v>20</v>
      </c>
      <c r="H304" t="s">
        <v>22</v>
      </c>
      <c r="I304" t="s">
        <v>24</v>
      </c>
      <c r="J304" t="s">
        <v>52</v>
      </c>
      <c r="K304" t="s">
        <v>27</v>
      </c>
      <c r="L304" t="s">
        <v>28</v>
      </c>
      <c r="M304" t="s">
        <v>116</v>
      </c>
      <c r="N304" t="s">
        <v>103</v>
      </c>
      <c r="O304" t="s">
        <v>110</v>
      </c>
      <c r="P304" t="s">
        <v>142</v>
      </c>
      <c r="Q304" t="s">
        <v>143</v>
      </c>
      <c r="R304" t="s">
        <v>144</v>
      </c>
      <c r="S304" t="s">
        <v>66</v>
      </c>
      <c r="T304" t="s">
        <v>552</v>
      </c>
      <c r="U304" t="s">
        <v>67</v>
      </c>
      <c r="V304" t="s">
        <v>55</v>
      </c>
      <c r="W304" t="s">
        <v>56</v>
      </c>
      <c r="X304" t="s">
        <v>57</v>
      </c>
      <c r="Y304" t="s">
        <v>58</v>
      </c>
      <c r="Z304" t="s">
        <v>59</v>
      </c>
      <c r="AA304" t="s">
        <v>61</v>
      </c>
      <c r="AB304" t="s">
        <v>60</v>
      </c>
      <c r="AC304" t="s">
        <v>62</v>
      </c>
      <c r="AD304" t="s">
        <v>368</v>
      </c>
      <c r="AE304" t="s">
        <v>316</v>
      </c>
      <c r="AF304" t="s">
        <v>317</v>
      </c>
      <c r="AG304" t="s">
        <v>318</v>
      </c>
      <c r="AH304" t="s">
        <v>319</v>
      </c>
      <c r="AI304" t="s">
        <v>320</v>
      </c>
      <c r="AJ304" t="s">
        <v>321</v>
      </c>
      <c r="AK304" t="s">
        <v>322</v>
      </c>
      <c r="AL304" t="s">
        <v>323</v>
      </c>
      <c r="AM304" t="s">
        <v>324</v>
      </c>
      <c r="AN304" t="s">
        <v>325</v>
      </c>
      <c r="AO304" t="s">
        <v>55</v>
      </c>
      <c r="AP304" t="s">
        <v>326</v>
      </c>
      <c r="AQ304" t="s">
        <v>327</v>
      </c>
      <c r="AR304" t="s">
        <v>328</v>
      </c>
      <c r="AS304" t="s">
        <v>329</v>
      </c>
      <c r="AT304" t="s">
        <v>330</v>
      </c>
      <c r="AU304" t="s">
        <v>331</v>
      </c>
      <c r="AV304" t="s">
        <v>332</v>
      </c>
      <c r="AW304" t="s">
        <v>335</v>
      </c>
      <c r="AX304" t="s">
        <v>333</v>
      </c>
      <c r="AY304" t="s">
        <v>334</v>
      </c>
      <c r="AZ304" t="s">
        <v>336</v>
      </c>
      <c r="BA304" t="s">
        <v>337</v>
      </c>
      <c r="BB304" t="s">
        <v>338</v>
      </c>
      <c r="BC304" t="s">
        <v>339</v>
      </c>
      <c r="BD304" t="s">
        <v>297</v>
      </c>
      <c r="BE304" t="s">
        <v>299</v>
      </c>
      <c r="BF304" t="s">
        <v>298</v>
      </c>
      <c r="BG304" t="s">
        <v>342</v>
      </c>
      <c r="BH304" t="s">
        <v>340</v>
      </c>
      <c r="BI304" t="s">
        <v>341</v>
      </c>
      <c r="BJ304" t="s">
        <v>29</v>
      </c>
      <c r="BK304" t="s">
        <v>30</v>
      </c>
      <c r="BL304" t="s">
        <v>31</v>
      </c>
    </row>
    <row r="305" spans="1:61" x14ac:dyDescent="0.2">
      <c r="A305" t="s">
        <v>393</v>
      </c>
      <c r="S305" t="s">
        <v>548</v>
      </c>
      <c r="T305" t="s">
        <v>548</v>
      </c>
      <c r="U305" t="s">
        <v>548</v>
      </c>
      <c r="V305" t="s">
        <v>548</v>
      </c>
      <c r="W305" t="s">
        <v>548</v>
      </c>
      <c r="X305" t="s">
        <v>548</v>
      </c>
      <c r="Y305" t="s">
        <v>548</v>
      </c>
      <c r="Z305" t="s">
        <v>548</v>
      </c>
      <c r="AA305" t="s">
        <v>548</v>
      </c>
      <c r="AB305" t="s">
        <v>548</v>
      </c>
      <c r="AC305" t="s">
        <v>548</v>
      </c>
      <c r="AD305" t="s">
        <v>548</v>
      </c>
      <c r="AE305" t="s">
        <v>548</v>
      </c>
      <c r="AF305" t="s">
        <v>548</v>
      </c>
      <c r="AG305" t="s">
        <v>548</v>
      </c>
      <c r="AH305" t="s">
        <v>548</v>
      </c>
      <c r="AI305" t="s">
        <v>548</v>
      </c>
      <c r="AJ305" t="s">
        <v>548</v>
      </c>
      <c r="AK305" t="s">
        <v>548</v>
      </c>
      <c r="AL305" t="s">
        <v>548</v>
      </c>
      <c r="AM305" t="s">
        <v>548</v>
      </c>
      <c r="AN305" t="s">
        <v>548</v>
      </c>
      <c r="AO305" t="s">
        <v>548</v>
      </c>
      <c r="AP305" t="s">
        <v>548</v>
      </c>
      <c r="AQ305" t="s">
        <v>548</v>
      </c>
      <c r="AR305" t="s">
        <v>548</v>
      </c>
      <c r="AS305" t="s">
        <v>548</v>
      </c>
      <c r="AT305" t="s">
        <v>548</v>
      </c>
      <c r="AU305" t="s">
        <v>548</v>
      </c>
      <c r="AV305" t="s">
        <v>548</v>
      </c>
      <c r="AW305" t="s">
        <v>548</v>
      </c>
      <c r="AX305" t="s">
        <v>548</v>
      </c>
      <c r="AY305" t="s">
        <v>548</v>
      </c>
      <c r="AZ305" t="s">
        <v>548</v>
      </c>
      <c r="BA305" t="s">
        <v>548</v>
      </c>
      <c r="BB305" t="s">
        <v>548</v>
      </c>
      <c r="BC305" t="s">
        <v>548</v>
      </c>
      <c r="BD305" t="s">
        <v>548</v>
      </c>
      <c r="BE305" t="s">
        <v>548</v>
      </c>
      <c r="BF305" t="s">
        <v>548</v>
      </c>
      <c r="BG305" t="s">
        <v>548</v>
      </c>
      <c r="BH305" t="s">
        <v>548</v>
      </c>
      <c r="BI305" t="s">
        <v>548</v>
      </c>
    </row>
    <row r="306" spans="1:61" x14ac:dyDescent="0.2">
      <c r="A306" t="s">
        <v>33</v>
      </c>
      <c r="S306" t="s">
        <v>548</v>
      </c>
      <c r="T306" t="s">
        <v>548</v>
      </c>
      <c r="U306" t="s">
        <v>548</v>
      </c>
      <c r="V306" t="s">
        <v>548</v>
      </c>
      <c r="W306" t="s">
        <v>548</v>
      </c>
      <c r="X306" t="s">
        <v>548</v>
      </c>
      <c r="Y306" t="s">
        <v>548</v>
      </c>
      <c r="Z306" t="s">
        <v>548</v>
      </c>
      <c r="AA306" t="s">
        <v>548</v>
      </c>
      <c r="AB306" t="s">
        <v>548</v>
      </c>
      <c r="AC306" t="s">
        <v>548</v>
      </c>
      <c r="AD306" t="s">
        <v>548</v>
      </c>
      <c r="AE306" t="s">
        <v>548</v>
      </c>
      <c r="AF306" t="s">
        <v>548</v>
      </c>
      <c r="AG306" t="s">
        <v>548</v>
      </c>
      <c r="AH306" t="s">
        <v>548</v>
      </c>
      <c r="AI306" t="s">
        <v>548</v>
      </c>
      <c r="AJ306" t="s">
        <v>548</v>
      </c>
      <c r="AK306" t="s">
        <v>548</v>
      </c>
      <c r="AL306" t="s">
        <v>548</v>
      </c>
      <c r="AM306" t="s">
        <v>548</v>
      </c>
      <c r="AN306" t="s">
        <v>548</v>
      </c>
      <c r="AO306" t="s">
        <v>548</v>
      </c>
      <c r="AP306" t="s">
        <v>548</v>
      </c>
      <c r="AQ306" t="s">
        <v>548</v>
      </c>
      <c r="AR306" t="s">
        <v>548</v>
      </c>
      <c r="AS306" t="s">
        <v>548</v>
      </c>
      <c r="AT306" t="s">
        <v>548</v>
      </c>
      <c r="AU306" t="s">
        <v>548</v>
      </c>
      <c r="AV306" t="s">
        <v>548</v>
      </c>
      <c r="AW306" t="s">
        <v>548</v>
      </c>
      <c r="AX306" t="s">
        <v>548</v>
      </c>
      <c r="AY306" t="s">
        <v>548</v>
      </c>
      <c r="AZ306" t="s">
        <v>548</v>
      </c>
      <c r="BA306" t="s">
        <v>548</v>
      </c>
      <c r="BB306" t="s">
        <v>548</v>
      </c>
      <c r="BC306" t="s">
        <v>548</v>
      </c>
      <c r="BD306" t="s">
        <v>548</v>
      </c>
      <c r="BE306" t="s">
        <v>548</v>
      </c>
      <c r="BF306" t="s">
        <v>548</v>
      </c>
      <c r="BG306" t="s">
        <v>548</v>
      </c>
      <c r="BH306" t="s">
        <v>548</v>
      </c>
      <c r="BI306" t="s">
        <v>548</v>
      </c>
    </row>
    <row r="307" spans="1:61" x14ac:dyDescent="0.2">
      <c r="A307" t="s">
        <v>264</v>
      </c>
      <c r="S307" t="s">
        <v>548</v>
      </c>
      <c r="T307" t="s">
        <v>548</v>
      </c>
      <c r="U307" t="s">
        <v>548</v>
      </c>
      <c r="V307" t="s">
        <v>548</v>
      </c>
      <c r="W307" t="s">
        <v>548</v>
      </c>
      <c r="X307" t="s">
        <v>548</v>
      </c>
      <c r="Y307" t="s">
        <v>548</v>
      </c>
      <c r="Z307" t="s">
        <v>548</v>
      </c>
      <c r="AA307" t="s">
        <v>548</v>
      </c>
      <c r="AB307" t="s">
        <v>548</v>
      </c>
      <c r="AC307" t="s">
        <v>548</v>
      </c>
      <c r="AD307" t="s">
        <v>548</v>
      </c>
      <c r="AE307" t="s">
        <v>548</v>
      </c>
      <c r="AF307" t="s">
        <v>548</v>
      </c>
      <c r="AG307" t="s">
        <v>548</v>
      </c>
      <c r="AH307" t="s">
        <v>548</v>
      </c>
      <c r="AI307" t="s">
        <v>548</v>
      </c>
      <c r="AJ307" t="s">
        <v>548</v>
      </c>
      <c r="AK307" t="s">
        <v>548</v>
      </c>
      <c r="AL307" t="s">
        <v>548</v>
      </c>
      <c r="AM307" t="s">
        <v>548</v>
      </c>
      <c r="AN307" t="s">
        <v>548</v>
      </c>
      <c r="AO307" t="s">
        <v>548</v>
      </c>
      <c r="AP307" t="s">
        <v>548</v>
      </c>
      <c r="AQ307" t="s">
        <v>548</v>
      </c>
      <c r="AR307" t="s">
        <v>548</v>
      </c>
      <c r="AS307" t="s">
        <v>548</v>
      </c>
      <c r="AT307" t="s">
        <v>548</v>
      </c>
      <c r="AU307" t="s">
        <v>548</v>
      </c>
      <c r="AV307" t="s">
        <v>548</v>
      </c>
      <c r="AW307" t="s">
        <v>548</v>
      </c>
      <c r="AX307" t="s">
        <v>548</v>
      </c>
      <c r="AY307" t="s">
        <v>548</v>
      </c>
      <c r="AZ307" t="s">
        <v>548</v>
      </c>
      <c r="BA307" t="s">
        <v>548</v>
      </c>
      <c r="BB307" t="s">
        <v>548</v>
      </c>
      <c r="BC307" t="s">
        <v>548</v>
      </c>
      <c r="BD307" t="s">
        <v>548</v>
      </c>
      <c r="BE307" t="s">
        <v>548</v>
      </c>
      <c r="BF307" t="s">
        <v>548</v>
      </c>
      <c r="BG307" t="s">
        <v>548</v>
      </c>
      <c r="BH307" t="s">
        <v>548</v>
      </c>
      <c r="BI307" t="s">
        <v>548</v>
      </c>
    </row>
    <row r="308" spans="1:61" x14ac:dyDescent="0.2">
      <c r="A308" t="s">
        <v>265</v>
      </c>
      <c r="S308" t="s">
        <v>548</v>
      </c>
      <c r="T308" t="s">
        <v>548</v>
      </c>
      <c r="U308" t="s">
        <v>548</v>
      </c>
      <c r="V308" t="s">
        <v>548</v>
      </c>
      <c r="W308" t="s">
        <v>548</v>
      </c>
      <c r="X308" t="s">
        <v>548</v>
      </c>
      <c r="Y308" t="s">
        <v>548</v>
      </c>
      <c r="Z308" t="s">
        <v>548</v>
      </c>
      <c r="AA308" t="s">
        <v>548</v>
      </c>
      <c r="AB308" t="s">
        <v>548</v>
      </c>
      <c r="AC308" t="s">
        <v>548</v>
      </c>
      <c r="AD308" t="s">
        <v>548</v>
      </c>
      <c r="AE308" t="s">
        <v>548</v>
      </c>
      <c r="AF308" t="s">
        <v>548</v>
      </c>
      <c r="AG308" t="s">
        <v>548</v>
      </c>
      <c r="AH308" t="s">
        <v>548</v>
      </c>
      <c r="AI308" t="s">
        <v>548</v>
      </c>
      <c r="AJ308" t="s">
        <v>548</v>
      </c>
      <c r="AK308" t="s">
        <v>548</v>
      </c>
      <c r="AL308" t="s">
        <v>548</v>
      </c>
      <c r="AM308" t="s">
        <v>548</v>
      </c>
      <c r="AN308" t="s">
        <v>548</v>
      </c>
      <c r="AO308" t="s">
        <v>548</v>
      </c>
      <c r="AP308" t="s">
        <v>548</v>
      </c>
      <c r="AQ308" t="s">
        <v>548</v>
      </c>
      <c r="AR308" t="s">
        <v>548</v>
      </c>
      <c r="AS308" t="s">
        <v>548</v>
      </c>
      <c r="AT308" t="s">
        <v>548</v>
      </c>
      <c r="AU308" t="s">
        <v>548</v>
      </c>
      <c r="AV308" t="s">
        <v>548</v>
      </c>
      <c r="AW308" t="s">
        <v>548</v>
      </c>
      <c r="AX308" t="s">
        <v>548</v>
      </c>
      <c r="AY308" t="s">
        <v>548</v>
      </c>
      <c r="AZ308" t="s">
        <v>548</v>
      </c>
      <c r="BA308" t="s">
        <v>548</v>
      </c>
      <c r="BB308" t="s">
        <v>548</v>
      </c>
      <c r="BC308" t="s">
        <v>548</v>
      </c>
      <c r="BD308" t="s">
        <v>548</v>
      </c>
      <c r="BE308" t="s">
        <v>548</v>
      </c>
      <c r="BF308" t="s">
        <v>548</v>
      </c>
      <c r="BG308" t="s">
        <v>548</v>
      </c>
      <c r="BH308" t="s">
        <v>548</v>
      </c>
      <c r="BI308" t="s">
        <v>548</v>
      </c>
    </row>
    <row r="309" spans="1:61" x14ac:dyDescent="0.2">
      <c r="A309" t="s">
        <v>271</v>
      </c>
      <c r="S309" t="s">
        <v>548</v>
      </c>
      <c r="T309" t="s">
        <v>548</v>
      </c>
      <c r="U309" t="s">
        <v>548</v>
      </c>
      <c r="V309" t="s">
        <v>548</v>
      </c>
      <c r="W309" t="s">
        <v>548</v>
      </c>
      <c r="X309" t="s">
        <v>548</v>
      </c>
      <c r="Y309" t="s">
        <v>548</v>
      </c>
      <c r="Z309" t="s">
        <v>548</v>
      </c>
      <c r="AA309" t="s">
        <v>548</v>
      </c>
      <c r="AB309" t="s">
        <v>548</v>
      </c>
      <c r="AC309" t="s">
        <v>548</v>
      </c>
      <c r="AD309" t="s">
        <v>548</v>
      </c>
      <c r="AE309" t="s">
        <v>548</v>
      </c>
      <c r="AF309" t="s">
        <v>548</v>
      </c>
      <c r="AG309" t="s">
        <v>548</v>
      </c>
      <c r="AH309" t="s">
        <v>548</v>
      </c>
      <c r="AI309" t="s">
        <v>548</v>
      </c>
      <c r="AJ309" t="s">
        <v>548</v>
      </c>
      <c r="AK309" t="s">
        <v>548</v>
      </c>
      <c r="AL309" t="s">
        <v>548</v>
      </c>
      <c r="AM309" t="s">
        <v>548</v>
      </c>
      <c r="AN309" t="s">
        <v>548</v>
      </c>
      <c r="AO309" t="s">
        <v>548</v>
      </c>
      <c r="AP309" t="s">
        <v>548</v>
      </c>
      <c r="AQ309" t="s">
        <v>548</v>
      </c>
      <c r="AR309" t="s">
        <v>548</v>
      </c>
      <c r="AS309" t="s">
        <v>548</v>
      </c>
      <c r="AT309" t="s">
        <v>548</v>
      </c>
      <c r="AU309" t="s">
        <v>548</v>
      </c>
      <c r="AV309" t="s">
        <v>548</v>
      </c>
      <c r="AW309" t="s">
        <v>548</v>
      </c>
      <c r="AX309" t="s">
        <v>548</v>
      </c>
      <c r="AY309" t="s">
        <v>548</v>
      </c>
      <c r="AZ309" t="s">
        <v>548</v>
      </c>
      <c r="BA309" t="s">
        <v>548</v>
      </c>
      <c r="BB309" t="s">
        <v>548</v>
      </c>
      <c r="BC309" t="s">
        <v>548</v>
      </c>
      <c r="BD309" t="s">
        <v>548</v>
      </c>
      <c r="BE309" t="s">
        <v>548</v>
      </c>
      <c r="BF309" t="s">
        <v>548</v>
      </c>
      <c r="BG309" t="s">
        <v>548</v>
      </c>
      <c r="BH309" t="s">
        <v>548</v>
      </c>
      <c r="BI309" t="s">
        <v>548</v>
      </c>
    </row>
    <row r="310" spans="1:61" x14ac:dyDescent="0.2">
      <c r="A310" t="s">
        <v>41</v>
      </c>
      <c r="S310" t="s">
        <v>548</v>
      </c>
      <c r="T310" t="s">
        <v>548</v>
      </c>
      <c r="U310" t="s">
        <v>548</v>
      </c>
      <c r="V310" t="s">
        <v>548</v>
      </c>
      <c r="W310" t="s">
        <v>548</v>
      </c>
      <c r="X310" t="s">
        <v>548</v>
      </c>
      <c r="Y310" t="s">
        <v>548</v>
      </c>
      <c r="Z310" t="s">
        <v>548</v>
      </c>
      <c r="AA310" t="s">
        <v>548</v>
      </c>
      <c r="AB310" t="s">
        <v>548</v>
      </c>
      <c r="AC310" t="s">
        <v>548</v>
      </c>
      <c r="AD310" t="s">
        <v>548</v>
      </c>
      <c r="AE310" t="s">
        <v>548</v>
      </c>
      <c r="AF310" t="s">
        <v>548</v>
      </c>
      <c r="AG310" t="s">
        <v>548</v>
      </c>
      <c r="AH310" t="s">
        <v>548</v>
      </c>
      <c r="AI310" t="s">
        <v>548</v>
      </c>
      <c r="AJ310" t="s">
        <v>548</v>
      </c>
      <c r="AK310" t="s">
        <v>548</v>
      </c>
      <c r="AL310" t="s">
        <v>548</v>
      </c>
      <c r="AM310" t="s">
        <v>548</v>
      </c>
      <c r="AN310" t="s">
        <v>548</v>
      </c>
      <c r="AO310" t="s">
        <v>548</v>
      </c>
      <c r="AP310" t="s">
        <v>548</v>
      </c>
      <c r="AQ310" t="s">
        <v>548</v>
      </c>
      <c r="AR310" t="s">
        <v>548</v>
      </c>
      <c r="AS310" t="s">
        <v>548</v>
      </c>
      <c r="AT310" t="s">
        <v>548</v>
      </c>
      <c r="AU310" t="s">
        <v>548</v>
      </c>
      <c r="AV310" t="s">
        <v>548</v>
      </c>
      <c r="AW310" t="s">
        <v>548</v>
      </c>
      <c r="AX310" t="s">
        <v>548</v>
      </c>
      <c r="AY310" t="s">
        <v>548</v>
      </c>
      <c r="AZ310" t="s">
        <v>548</v>
      </c>
      <c r="BA310" t="s">
        <v>548</v>
      </c>
      <c r="BB310" t="s">
        <v>548</v>
      </c>
      <c r="BC310" t="s">
        <v>548</v>
      </c>
      <c r="BD310" t="s">
        <v>548</v>
      </c>
      <c r="BE310" t="s">
        <v>548</v>
      </c>
      <c r="BF310" t="s">
        <v>548</v>
      </c>
      <c r="BG310" t="s">
        <v>548</v>
      </c>
      <c r="BH310" t="s">
        <v>548</v>
      </c>
      <c r="BI310" t="s">
        <v>548</v>
      </c>
    </row>
    <row r="311" spans="1:61" x14ac:dyDescent="0.2">
      <c r="A311" t="s">
        <v>266</v>
      </c>
      <c r="S311" t="s">
        <v>548</v>
      </c>
      <c r="T311" t="s">
        <v>548</v>
      </c>
      <c r="U311" t="s">
        <v>548</v>
      </c>
      <c r="V311" t="s">
        <v>548</v>
      </c>
      <c r="W311" t="s">
        <v>548</v>
      </c>
      <c r="X311" t="s">
        <v>548</v>
      </c>
      <c r="Y311" t="s">
        <v>548</v>
      </c>
      <c r="Z311" t="s">
        <v>548</v>
      </c>
      <c r="AA311" t="s">
        <v>548</v>
      </c>
      <c r="AB311" t="s">
        <v>548</v>
      </c>
      <c r="AC311" t="s">
        <v>548</v>
      </c>
      <c r="AD311" t="s">
        <v>548</v>
      </c>
      <c r="AE311" t="s">
        <v>548</v>
      </c>
      <c r="AF311" t="s">
        <v>548</v>
      </c>
      <c r="AG311" t="s">
        <v>548</v>
      </c>
      <c r="AH311" t="s">
        <v>548</v>
      </c>
      <c r="AI311" t="s">
        <v>548</v>
      </c>
      <c r="AJ311" t="s">
        <v>548</v>
      </c>
      <c r="AK311" t="s">
        <v>548</v>
      </c>
      <c r="AL311" t="s">
        <v>548</v>
      </c>
      <c r="AM311" t="s">
        <v>548</v>
      </c>
      <c r="AN311" t="s">
        <v>548</v>
      </c>
      <c r="AO311" t="s">
        <v>548</v>
      </c>
      <c r="AP311" t="s">
        <v>548</v>
      </c>
      <c r="AQ311" t="s">
        <v>548</v>
      </c>
      <c r="AR311" t="s">
        <v>548</v>
      </c>
      <c r="AS311" t="s">
        <v>548</v>
      </c>
      <c r="AT311" t="s">
        <v>548</v>
      </c>
      <c r="AU311" t="s">
        <v>548</v>
      </c>
      <c r="AV311" t="s">
        <v>548</v>
      </c>
      <c r="AW311" t="s">
        <v>548</v>
      </c>
      <c r="AX311" t="s">
        <v>548</v>
      </c>
      <c r="AY311" t="s">
        <v>548</v>
      </c>
      <c r="AZ311" t="s">
        <v>548</v>
      </c>
      <c r="BA311" t="s">
        <v>548</v>
      </c>
      <c r="BB311" t="s">
        <v>548</v>
      </c>
      <c r="BC311" t="s">
        <v>548</v>
      </c>
      <c r="BD311" t="s">
        <v>548</v>
      </c>
      <c r="BE311" t="s">
        <v>548</v>
      </c>
      <c r="BF311" t="s">
        <v>548</v>
      </c>
      <c r="BG311" t="s">
        <v>548</v>
      </c>
      <c r="BH311" t="s">
        <v>548</v>
      </c>
      <c r="BI311" t="s">
        <v>548</v>
      </c>
    </row>
    <row r="312" spans="1:61" x14ac:dyDescent="0.2">
      <c r="A312" t="s">
        <v>354</v>
      </c>
      <c r="S312" t="s">
        <v>548</v>
      </c>
      <c r="T312" t="s">
        <v>548</v>
      </c>
      <c r="U312" t="s">
        <v>548</v>
      </c>
      <c r="V312" t="s">
        <v>548</v>
      </c>
      <c r="W312" t="s">
        <v>548</v>
      </c>
      <c r="X312" t="s">
        <v>548</v>
      </c>
      <c r="Y312" t="s">
        <v>548</v>
      </c>
      <c r="Z312" t="s">
        <v>548</v>
      </c>
      <c r="AA312" t="s">
        <v>548</v>
      </c>
      <c r="AB312" t="s">
        <v>548</v>
      </c>
      <c r="AC312" t="s">
        <v>548</v>
      </c>
      <c r="AD312" t="s">
        <v>548</v>
      </c>
      <c r="AE312" t="s">
        <v>548</v>
      </c>
      <c r="AF312" t="s">
        <v>548</v>
      </c>
      <c r="AG312" t="s">
        <v>548</v>
      </c>
      <c r="AH312" t="s">
        <v>548</v>
      </c>
      <c r="AI312" t="s">
        <v>548</v>
      </c>
      <c r="AJ312" t="s">
        <v>548</v>
      </c>
      <c r="AK312" t="s">
        <v>548</v>
      </c>
      <c r="AL312" t="s">
        <v>548</v>
      </c>
      <c r="AM312" t="s">
        <v>548</v>
      </c>
      <c r="AN312" t="s">
        <v>548</v>
      </c>
      <c r="AO312" t="s">
        <v>548</v>
      </c>
      <c r="AP312" t="s">
        <v>548</v>
      </c>
      <c r="AQ312" t="s">
        <v>548</v>
      </c>
      <c r="AR312" t="s">
        <v>548</v>
      </c>
      <c r="AS312" t="s">
        <v>548</v>
      </c>
      <c r="AT312" t="s">
        <v>548</v>
      </c>
      <c r="AU312" t="s">
        <v>548</v>
      </c>
      <c r="AV312" t="s">
        <v>548</v>
      </c>
      <c r="AW312" t="s">
        <v>548</v>
      </c>
      <c r="AX312" t="s">
        <v>548</v>
      </c>
      <c r="AY312" t="s">
        <v>548</v>
      </c>
      <c r="AZ312" t="s">
        <v>548</v>
      </c>
      <c r="BA312" t="s">
        <v>548</v>
      </c>
      <c r="BB312" t="s">
        <v>548</v>
      </c>
      <c r="BC312" t="s">
        <v>548</v>
      </c>
      <c r="BD312" t="s">
        <v>548</v>
      </c>
      <c r="BE312" t="s">
        <v>548</v>
      </c>
      <c r="BF312" t="s">
        <v>548</v>
      </c>
      <c r="BG312" t="s">
        <v>548</v>
      </c>
      <c r="BH312" t="s">
        <v>548</v>
      </c>
      <c r="BI312" t="s">
        <v>548</v>
      </c>
    </row>
    <row r="313" spans="1:61" x14ac:dyDescent="0.2">
      <c r="A313" t="s">
        <v>355</v>
      </c>
      <c r="S313" t="s">
        <v>548</v>
      </c>
      <c r="T313" t="s">
        <v>548</v>
      </c>
      <c r="U313" t="s">
        <v>548</v>
      </c>
      <c r="V313" t="s">
        <v>548</v>
      </c>
      <c r="W313" t="s">
        <v>548</v>
      </c>
      <c r="X313" t="s">
        <v>548</v>
      </c>
      <c r="Y313" t="s">
        <v>548</v>
      </c>
      <c r="Z313" t="s">
        <v>548</v>
      </c>
      <c r="AA313" t="s">
        <v>548</v>
      </c>
      <c r="AB313" t="s">
        <v>548</v>
      </c>
      <c r="AC313" t="s">
        <v>548</v>
      </c>
      <c r="AD313" t="s">
        <v>548</v>
      </c>
      <c r="AE313" t="s">
        <v>548</v>
      </c>
      <c r="AF313" t="s">
        <v>548</v>
      </c>
      <c r="AG313" t="s">
        <v>548</v>
      </c>
      <c r="AH313" t="s">
        <v>548</v>
      </c>
      <c r="AI313" t="s">
        <v>548</v>
      </c>
      <c r="AJ313" t="s">
        <v>548</v>
      </c>
      <c r="AK313" t="s">
        <v>548</v>
      </c>
      <c r="AL313" t="s">
        <v>548</v>
      </c>
      <c r="AM313" t="s">
        <v>548</v>
      </c>
      <c r="AN313" t="s">
        <v>548</v>
      </c>
      <c r="AO313" t="s">
        <v>548</v>
      </c>
      <c r="AP313" t="s">
        <v>548</v>
      </c>
      <c r="AQ313" t="s">
        <v>548</v>
      </c>
      <c r="AR313" t="s">
        <v>548</v>
      </c>
      <c r="AS313" t="s">
        <v>548</v>
      </c>
      <c r="AT313" t="s">
        <v>548</v>
      </c>
      <c r="AU313" t="s">
        <v>548</v>
      </c>
      <c r="AV313" t="s">
        <v>548</v>
      </c>
      <c r="AW313" t="s">
        <v>548</v>
      </c>
      <c r="AX313" t="s">
        <v>548</v>
      </c>
      <c r="AY313" t="s">
        <v>548</v>
      </c>
      <c r="AZ313" t="s">
        <v>548</v>
      </c>
      <c r="BA313" t="s">
        <v>548</v>
      </c>
      <c r="BB313" t="s">
        <v>548</v>
      </c>
      <c r="BC313" t="s">
        <v>548</v>
      </c>
      <c r="BD313" t="s">
        <v>548</v>
      </c>
      <c r="BE313" t="s">
        <v>548</v>
      </c>
      <c r="BF313" t="s">
        <v>548</v>
      </c>
      <c r="BG313" t="s">
        <v>548</v>
      </c>
      <c r="BH313" t="s">
        <v>548</v>
      </c>
      <c r="BI313" t="s">
        <v>548</v>
      </c>
    </row>
    <row r="314" spans="1:61" x14ac:dyDescent="0.2">
      <c r="A314" t="s">
        <v>356</v>
      </c>
      <c r="S314" t="s">
        <v>548</v>
      </c>
      <c r="T314" t="s">
        <v>548</v>
      </c>
      <c r="U314" t="s">
        <v>548</v>
      </c>
      <c r="V314" t="s">
        <v>548</v>
      </c>
      <c r="W314" t="s">
        <v>548</v>
      </c>
      <c r="X314" t="s">
        <v>548</v>
      </c>
      <c r="Y314" t="s">
        <v>548</v>
      </c>
      <c r="Z314" t="s">
        <v>548</v>
      </c>
      <c r="AA314" t="s">
        <v>548</v>
      </c>
      <c r="AB314" t="s">
        <v>548</v>
      </c>
      <c r="AC314" t="s">
        <v>548</v>
      </c>
      <c r="AD314" t="s">
        <v>548</v>
      </c>
      <c r="AE314" t="s">
        <v>548</v>
      </c>
      <c r="AF314" t="s">
        <v>548</v>
      </c>
      <c r="AG314" t="s">
        <v>548</v>
      </c>
      <c r="AH314" t="s">
        <v>548</v>
      </c>
      <c r="AI314" t="s">
        <v>548</v>
      </c>
      <c r="AJ314" t="s">
        <v>548</v>
      </c>
      <c r="AK314" t="s">
        <v>548</v>
      </c>
      <c r="AL314" t="s">
        <v>548</v>
      </c>
      <c r="AM314" t="s">
        <v>548</v>
      </c>
      <c r="AN314" t="s">
        <v>548</v>
      </c>
      <c r="AO314" t="s">
        <v>548</v>
      </c>
      <c r="AP314" t="s">
        <v>548</v>
      </c>
      <c r="AQ314" t="s">
        <v>548</v>
      </c>
      <c r="AR314" t="s">
        <v>548</v>
      </c>
      <c r="AS314" t="s">
        <v>548</v>
      </c>
      <c r="AT314" t="s">
        <v>548</v>
      </c>
      <c r="AU314" t="s">
        <v>548</v>
      </c>
      <c r="AV314" t="s">
        <v>548</v>
      </c>
      <c r="AW314" t="s">
        <v>548</v>
      </c>
      <c r="AX314" t="s">
        <v>548</v>
      </c>
      <c r="AY314" t="s">
        <v>548</v>
      </c>
      <c r="AZ314" t="s">
        <v>548</v>
      </c>
      <c r="BA314" t="s">
        <v>548</v>
      </c>
      <c r="BB314" t="s">
        <v>548</v>
      </c>
      <c r="BC314" t="s">
        <v>548</v>
      </c>
      <c r="BD314" t="s">
        <v>548</v>
      </c>
      <c r="BE314" t="s">
        <v>548</v>
      </c>
      <c r="BF314" t="s">
        <v>548</v>
      </c>
      <c r="BG314" t="s">
        <v>548</v>
      </c>
      <c r="BH314" t="s">
        <v>548</v>
      </c>
      <c r="BI314" t="s">
        <v>548</v>
      </c>
    </row>
    <row r="315" spans="1:61" x14ac:dyDescent="0.2">
      <c r="A315" t="s">
        <v>384</v>
      </c>
      <c r="S315" t="s">
        <v>548</v>
      </c>
      <c r="T315" t="s">
        <v>548</v>
      </c>
      <c r="U315" t="s">
        <v>548</v>
      </c>
      <c r="V315" t="s">
        <v>548</v>
      </c>
      <c r="W315" t="s">
        <v>548</v>
      </c>
      <c r="X315" t="s">
        <v>548</v>
      </c>
      <c r="Y315" t="s">
        <v>548</v>
      </c>
      <c r="Z315" t="s">
        <v>548</v>
      </c>
      <c r="AA315" t="s">
        <v>548</v>
      </c>
      <c r="AB315" t="s">
        <v>548</v>
      </c>
      <c r="AC315" t="s">
        <v>548</v>
      </c>
      <c r="AD315" t="s">
        <v>548</v>
      </c>
      <c r="AE315" t="s">
        <v>548</v>
      </c>
      <c r="AF315" t="s">
        <v>548</v>
      </c>
      <c r="AG315" t="s">
        <v>548</v>
      </c>
      <c r="AH315" t="s">
        <v>548</v>
      </c>
      <c r="AI315" t="s">
        <v>548</v>
      </c>
      <c r="AJ315" t="s">
        <v>548</v>
      </c>
      <c r="AK315" t="s">
        <v>548</v>
      </c>
      <c r="AL315" t="s">
        <v>548</v>
      </c>
      <c r="AM315" t="s">
        <v>548</v>
      </c>
      <c r="AN315" t="s">
        <v>548</v>
      </c>
      <c r="AO315" t="s">
        <v>548</v>
      </c>
      <c r="AP315" t="s">
        <v>548</v>
      </c>
      <c r="AQ315" t="s">
        <v>548</v>
      </c>
      <c r="AR315" t="s">
        <v>548</v>
      </c>
      <c r="AS315" t="s">
        <v>548</v>
      </c>
      <c r="AT315" t="s">
        <v>548</v>
      </c>
      <c r="AU315" t="s">
        <v>548</v>
      </c>
      <c r="AV315" t="s">
        <v>548</v>
      </c>
      <c r="AW315" t="s">
        <v>548</v>
      </c>
      <c r="AX315" t="s">
        <v>548</v>
      </c>
      <c r="AY315" t="s">
        <v>548</v>
      </c>
      <c r="AZ315" t="s">
        <v>548</v>
      </c>
      <c r="BA315" t="s">
        <v>548</v>
      </c>
      <c r="BB315" t="s">
        <v>548</v>
      </c>
      <c r="BC315" t="s">
        <v>548</v>
      </c>
      <c r="BD315" t="s">
        <v>548</v>
      </c>
      <c r="BE315" t="s">
        <v>548</v>
      </c>
      <c r="BF315" t="s">
        <v>548</v>
      </c>
      <c r="BG315" t="s">
        <v>548</v>
      </c>
      <c r="BH315" t="s">
        <v>548</v>
      </c>
      <c r="BI315" t="s">
        <v>548</v>
      </c>
    </row>
    <row r="316" spans="1:61" x14ac:dyDescent="0.2">
      <c r="A316" t="s">
        <v>385</v>
      </c>
      <c r="S316" t="s">
        <v>548</v>
      </c>
      <c r="T316" t="s">
        <v>548</v>
      </c>
      <c r="U316" t="s">
        <v>548</v>
      </c>
      <c r="V316" t="s">
        <v>548</v>
      </c>
      <c r="W316" t="s">
        <v>548</v>
      </c>
      <c r="X316" t="s">
        <v>548</v>
      </c>
      <c r="Y316" t="s">
        <v>548</v>
      </c>
      <c r="Z316" t="s">
        <v>548</v>
      </c>
      <c r="AA316" t="s">
        <v>548</v>
      </c>
      <c r="AB316" t="s">
        <v>548</v>
      </c>
      <c r="AC316" t="s">
        <v>548</v>
      </c>
      <c r="AD316" t="s">
        <v>548</v>
      </c>
      <c r="AE316" t="s">
        <v>548</v>
      </c>
      <c r="AF316" t="s">
        <v>548</v>
      </c>
      <c r="AG316" t="s">
        <v>548</v>
      </c>
      <c r="AH316" t="s">
        <v>548</v>
      </c>
      <c r="AI316" t="s">
        <v>548</v>
      </c>
      <c r="AJ316" t="s">
        <v>548</v>
      </c>
      <c r="AK316" t="s">
        <v>548</v>
      </c>
      <c r="AL316" t="s">
        <v>548</v>
      </c>
      <c r="AM316" t="s">
        <v>548</v>
      </c>
      <c r="AN316" t="s">
        <v>548</v>
      </c>
      <c r="AO316" t="s">
        <v>548</v>
      </c>
      <c r="AP316" t="s">
        <v>548</v>
      </c>
      <c r="AQ316" t="s">
        <v>548</v>
      </c>
      <c r="AR316" t="s">
        <v>548</v>
      </c>
      <c r="AS316" t="s">
        <v>548</v>
      </c>
      <c r="AT316" t="s">
        <v>548</v>
      </c>
      <c r="AU316" t="s">
        <v>548</v>
      </c>
      <c r="AV316" t="s">
        <v>548</v>
      </c>
      <c r="AW316" t="s">
        <v>548</v>
      </c>
      <c r="AX316" t="s">
        <v>548</v>
      </c>
      <c r="AY316" t="s">
        <v>548</v>
      </c>
      <c r="AZ316" t="s">
        <v>548</v>
      </c>
      <c r="BA316" t="s">
        <v>548</v>
      </c>
      <c r="BB316" t="s">
        <v>548</v>
      </c>
      <c r="BC316" t="s">
        <v>548</v>
      </c>
      <c r="BD316" t="s">
        <v>548</v>
      </c>
      <c r="BE316" t="s">
        <v>548</v>
      </c>
      <c r="BF316" t="s">
        <v>548</v>
      </c>
      <c r="BG316" t="s">
        <v>548</v>
      </c>
      <c r="BH316" t="s">
        <v>548</v>
      </c>
      <c r="BI316" t="s">
        <v>548</v>
      </c>
    </row>
    <row r="317" spans="1:61" x14ac:dyDescent="0.2">
      <c r="A317" t="s">
        <v>386</v>
      </c>
      <c r="S317" t="s">
        <v>548</v>
      </c>
      <c r="T317" t="s">
        <v>548</v>
      </c>
      <c r="U317" t="s">
        <v>548</v>
      </c>
      <c r="V317" t="s">
        <v>548</v>
      </c>
      <c r="W317" t="s">
        <v>548</v>
      </c>
      <c r="X317" t="s">
        <v>548</v>
      </c>
      <c r="Y317" t="s">
        <v>548</v>
      </c>
      <c r="Z317" t="s">
        <v>548</v>
      </c>
      <c r="AA317" t="s">
        <v>548</v>
      </c>
      <c r="AB317" t="s">
        <v>548</v>
      </c>
      <c r="AC317" t="s">
        <v>548</v>
      </c>
      <c r="AD317" t="s">
        <v>548</v>
      </c>
      <c r="AE317" t="s">
        <v>548</v>
      </c>
      <c r="AF317" t="s">
        <v>548</v>
      </c>
      <c r="AG317" t="s">
        <v>548</v>
      </c>
      <c r="AH317" t="s">
        <v>548</v>
      </c>
      <c r="AI317" t="s">
        <v>548</v>
      </c>
      <c r="AJ317" t="s">
        <v>548</v>
      </c>
      <c r="AK317" t="s">
        <v>548</v>
      </c>
      <c r="AL317" t="s">
        <v>548</v>
      </c>
      <c r="AM317" t="s">
        <v>548</v>
      </c>
      <c r="AN317" t="s">
        <v>548</v>
      </c>
      <c r="AO317" t="s">
        <v>548</v>
      </c>
      <c r="AP317" t="s">
        <v>548</v>
      </c>
      <c r="AQ317" t="s">
        <v>548</v>
      </c>
      <c r="AR317" t="s">
        <v>548</v>
      </c>
      <c r="AS317" t="s">
        <v>548</v>
      </c>
      <c r="AT317" t="s">
        <v>548</v>
      </c>
      <c r="AU317" t="s">
        <v>548</v>
      </c>
      <c r="AV317" t="s">
        <v>548</v>
      </c>
      <c r="AW317" t="s">
        <v>548</v>
      </c>
      <c r="AX317" t="s">
        <v>548</v>
      </c>
      <c r="AY317" t="s">
        <v>548</v>
      </c>
      <c r="AZ317" t="s">
        <v>548</v>
      </c>
      <c r="BA317" t="s">
        <v>548</v>
      </c>
      <c r="BB317" t="s">
        <v>548</v>
      </c>
      <c r="BC317" t="s">
        <v>548</v>
      </c>
      <c r="BD317" t="s">
        <v>548</v>
      </c>
      <c r="BE317" t="s">
        <v>548</v>
      </c>
      <c r="BF317" t="s">
        <v>548</v>
      </c>
      <c r="BG317" t="s">
        <v>548</v>
      </c>
      <c r="BH317" t="s">
        <v>548</v>
      </c>
      <c r="BI317" t="s">
        <v>548</v>
      </c>
    </row>
    <row r="318" spans="1:61" x14ac:dyDescent="0.2">
      <c r="A318" t="s">
        <v>345</v>
      </c>
      <c r="S318" t="s">
        <v>548</v>
      </c>
      <c r="T318" t="s">
        <v>548</v>
      </c>
      <c r="U318" t="s">
        <v>548</v>
      </c>
      <c r="V318" t="s">
        <v>548</v>
      </c>
      <c r="W318" t="s">
        <v>548</v>
      </c>
      <c r="X318" t="s">
        <v>548</v>
      </c>
      <c r="Y318" t="s">
        <v>548</v>
      </c>
      <c r="Z318" t="s">
        <v>548</v>
      </c>
      <c r="AA318" t="s">
        <v>548</v>
      </c>
      <c r="AB318" t="s">
        <v>548</v>
      </c>
      <c r="AC318" t="s">
        <v>548</v>
      </c>
      <c r="AD318" t="s">
        <v>548</v>
      </c>
      <c r="AE318" t="s">
        <v>548</v>
      </c>
      <c r="AF318" t="s">
        <v>548</v>
      </c>
      <c r="AG318" t="s">
        <v>548</v>
      </c>
      <c r="AH318" t="s">
        <v>548</v>
      </c>
      <c r="AI318" t="s">
        <v>548</v>
      </c>
      <c r="AJ318" t="s">
        <v>548</v>
      </c>
      <c r="AK318" t="s">
        <v>548</v>
      </c>
      <c r="AL318" t="s">
        <v>548</v>
      </c>
      <c r="AM318" t="s">
        <v>548</v>
      </c>
      <c r="AN318" t="s">
        <v>548</v>
      </c>
      <c r="AO318" t="s">
        <v>548</v>
      </c>
      <c r="AP318" t="s">
        <v>548</v>
      </c>
      <c r="AQ318" t="s">
        <v>548</v>
      </c>
      <c r="AR318" t="s">
        <v>548</v>
      </c>
      <c r="AS318" t="s">
        <v>548</v>
      </c>
      <c r="AT318" t="s">
        <v>548</v>
      </c>
      <c r="AU318" t="s">
        <v>548</v>
      </c>
      <c r="AV318" t="s">
        <v>548</v>
      </c>
      <c r="AW318" t="s">
        <v>548</v>
      </c>
      <c r="AX318" t="s">
        <v>548</v>
      </c>
      <c r="AY318" t="s">
        <v>548</v>
      </c>
      <c r="AZ318" t="s">
        <v>548</v>
      </c>
      <c r="BA318" t="s">
        <v>548</v>
      </c>
      <c r="BB318" t="s">
        <v>548</v>
      </c>
      <c r="BC318" t="s">
        <v>548</v>
      </c>
      <c r="BD318" t="s">
        <v>548</v>
      </c>
      <c r="BE318" t="s">
        <v>548</v>
      </c>
      <c r="BF318" t="s">
        <v>548</v>
      </c>
      <c r="BG318" t="s">
        <v>548</v>
      </c>
      <c r="BH318" t="s">
        <v>548</v>
      </c>
      <c r="BI318" t="s">
        <v>548</v>
      </c>
    </row>
    <row r="319" spans="1:61" x14ac:dyDescent="0.2">
      <c r="A319" t="s">
        <v>346</v>
      </c>
      <c r="S319" t="s">
        <v>548</v>
      </c>
      <c r="T319" t="s">
        <v>548</v>
      </c>
      <c r="U319" t="s">
        <v>548</v>
      </c>
      <c r="V319" t="s">
        <v>548</v>
      </c>
      <c r="W319" t="s">
        <v>548</v>
      </c>
      <c r="X319" t="s">
        <v>548</v>
      </c>
      <c r="Y319" t="s">
        <v>548</v>
      </c>
      <c r="Z319" t="s">
        <v>548</v>
      </c>
      <c r="AA319" t="s">
        <v>548</v>
      </c>
      <c r="AB319" t="s">
        <v>548</v>
      </c>
      <c r="AC319" t="s">
        <v>548</v>
      </c>
      <c r="AD319" t="s">
        <v>548</v>
      </c>
      <c r="AE319" t="s">
        <v>548</v>
      </c>
      <c r="AF319" t="s">
        <v>548</v>
      </c>
      <c r="AG319" t="s">
        <v>548</v>
      </c>
      <c r="AH319" t="s">
        <v>548</v>
      </c>
      <c r="AI319" t="s">
        <v>548</v>
      </c>
      <c r="AJ319" t="s">
        <v>548</v>
      </c>
      <c r="AK319" t="s">
        <v>548</v>
      </c>
      <c r="AL319" t="s">
        <v>548</v>
      </c>
      <c r="AM319" t="s">
        <v>548</v>
      </c>
      <c r="AN319" t="s">
        <v>548</v>
      </c>
      <c r="AO319" t="s">
        <v>548</v>
      </c>
      <c r="AP319" t="s">
        <v>548</v>
      </c>
      <c r="AQ319" t="s">
        <v>548</v>
      </c>
      <c r="AR319" t="s">
        <v>548</v>
      </c>
      <c r="AS319" t="s">
        <v>548</v>
      </c>
      <c r="AT319" t="s">
        <v>548</v>
      </c>
      <c r="AU319" t="s">
        <v>548</v>
      </c>
      <c r="AV319" t="s">
        <v>548</v>
      </c>
      <c r="AW319" t="s">
        <v>548</v>
      </c>
      <c r="AX319" t="s">
        <v>548</v>
      </c>
      <c r="AY319" t="s">
        <v>548</v>
      </c>
      <c r="AZ319" t="s">
        <v>548</v>
      </c>
      <c r="BA319" t="s">
        <v>548</v>
      </c>
      <c r="BB319" t="s">
        <v>548</v>
      </c>
      <c r="BC319" t="s">
        <v>548</v>
      </c>
      <c r="BD319" t="s">
        <v>548</v>
      </c>
      <c r="BE319" t="s">
        <v>548</v>
      </c>
      <c r="BF319" t="s">
        <v>548</v>
      </c>
      <c r="BG319" t="s">
        <v>548</v>
      </c>
      <c r="BH319" t="s">
        <v>548</v>
      </c>
      <c r="BI319" t="s">
        <v>548</v>
      </c>
    </row>
    <row r="320" spans="1:61" x14ac:dyDescent="0.2">
      <c r="A320" t="s">
        <v>347</v>
      </c>
      <c r="S320" t="s">
        <v>548</v>
      </c>
      <c r="T320" t="s">
        <v>548</v>
      </c>
      <c r="U320" t="s">
        <v>548</v>
      </c>
      <c r="V320" t="s">
        <v>548</v>
      </c>
      <c r="W320" t="s">
        <v>548</v>
      </c>
      <c r="X320" t="s">
        <v>548</v>
      </c>
      <c r="Y320" t="s">
        <v>548</v>
      </c>
      <c r="Z320" t="s">
        <v>548</v>
      </c>
      <c r="AA320" t="s">
        <v>548</v>
      </c>
      <c r="AB320" t="s">
        <v>548</v>
      </c>
      <c r="AC320" t="s">
        <v>548</v>
      </c>
      <c r="AD320" t="s">
        <v>548</v>
      </c>
      <c r="AE320" t="s">
        <v>548</v>
      </c>
      <c r="AF320" t="s">
        <v>548</v>
      </c>
      <c r="AG320" t="s">
        <v>548</v>
      </c>
      <c r="AH320" t="s">
        <v>548</v>
      </c>
      <c r="AI320" t="s">
        <v>548</v>
      </c>
      <c r="AJ320" t="s">
        <v>548</v>
      </c>
      <c r="AK320" t="s">
        <v>548</v>
      </c>
      <c r="AL320" t="s">
        <v>548</v>
      </c>
      <c r="AM320" t="s">
        <v>548</v>
      </c>
      <c r="AN320" t="s">
        <v>548</v>
      </c>
      <c r="AO320" t="s">
        <v>548</v>
      </c>
      <c r="AP320" t="s">
        <v>548</v>
      </c>
      <c r="AQ320" t="s">
        <v>548</v>
      </c>
      <c r="AR320" t="s">
        <v>548</v>
      </c>
      <c r="AS320" t="s">
        <v>548</v>
      </c>
      <c r="AT320" t="s">
        <v>548</v>
      </c>
      <c r="AU320" t="s">
        <v>548</v>
      </c>
      <c r="AV320" t="s">
        <v>548</v>
      </c>
      <c r="AW320" t="s">
        <v>548</v>
      </c>
      <c r="AX320" t="s">
        <v>548</v>
      </c>
      <c r="AY320" t="s">
        <v>548</v>
      </c>
      <c r="AZ320" t="s">
        <v>548</v>
      </c>
      <c r="BA320" t="s">
        <v>548</v>
      </c>
      <c r="BB320" t="s">
        <v>548</v>
      </c>
      <c r="BC320" t="s">
        <v>548</v>
      </c>
      <c r="BD320" t="s">
        <v>548</v>
      </c>
      <c r="BE320" t="s">
        <v>548</v>
      </c>
      <c r="BF320" t="s">
        <v>548</v>
      </c>
      <c r="BG320" t="s">
        <v>548</v>
      </c>
      <c r="BH320" t="s">
        <v>548</v>
      </c>
      <c r="BI320" t="s">
        <v>548</v>
      </c>
    </row>
    <row r="321" spans="1:61" x14ac:dyDescent="0.2">
      <c r="A321" t="s">
        <v>383</v>
      </c>
      <c r="S321" t="s">
        <v>548</v>
      </c>
      <c r="T321" t="s">
        <v>548</v>
      </c>
      <c r="U321" t="s">
        <v>548</v>
      </c>
      <c r="V321" t="s">
        <v>548</v>
      </c>
      <c r="W321" t="s">
        <v>548</v>
      </c>
      <c r="X321" t="s">
        <v>548</v>
      </c>
      <c r="Y321" t="s">
        <v>548</v>
      </c>
      <c r="Z321" t="s">
        <v>548</v>
      </c>
      <c r="AA321" t="s">
        <v>548</v>
      </c>
      <c r="AB321" t="s">
        <v>548</v>
      </c>
      <c r="AC321" t="s">
        <v>548</v>
      </c>
      <c r="AD321" t="s">
        <v>548</v>
      </c>
      <c r="AE321" t="s">
        <v>548</v>
      </c>
      <c r="AF321" t="s">
        <v>548</v>
      </c>
      <c r="AG321" t="s">
        <v>548</v>
      </c>
      <c r="AH321" t="s">
        <v>548</v>
      </c>
      <c r="AI321" t="s">
        <v>548</v>
      </c>
      <c r="AJ321" t="s">
        <v>548</v>
      </c>
      <c r="AK321" t="s">
        <v>548</v>
      </c>
      <c r="AL321" t="s">
        <v>548</v>
      </c>
      <c r="AM321" t="s">
        <v>548</v>
      </c>
      <c r="AN321" t="s">
        <v>548</v>
      </c>
      <c r="AO321" t="s">
        <v>548</v>
      </c>
      <c r="AP321" t="s">
        <v>548</v>
      </c>
      <c r="AQ321" t="s">
        <v>548</v>
      </c>
      <c r="AR321" t="s">
        <v>548</v>
      </c>
      <c r="AS321" t="s">
        <v>548</v>
      </c>
      <c r="AT321" t="s">
        <v>548</v>
      </c>
      <c r="AU321" t="s">
        <v>548</v>
      </c>
      <c r="AV321" t="s">
        <v>548</v>
      </c>
      <c r="AW321" t="s">
        <v>548</v>
      </c>
      <c r="AX321" t="s">
        <v>548</v>
      </c>
      <c r="AY321" t="s">
        <v>548</v>
      </c>
      <c r="AZ321" t="s">
        <v>548</v>
      </c>
      <c r="BA321" t="s">
        <v>548</v>
      </c>
      <c r="BB321" t="s">
        <v>548</v>
      </c>
      <c r="BC321" t="s">
        <v>548</v>
      </c>
      <c r="BD321" t="s">
        <v>548</v>
      </c>
      <c r="BE321" t="s">
        <v>548</v>
      </c>
      <c r="BF321" t="s">
        <v>548</v>
      </c>
      <c r="BG321" t="s">
        <v>548</v>
      </c>
      <c r="BH321" t="s">
        <v>548</v>
      </c>
      <c r="BI321" t="s">
        <v>548</v>
      </c>
    </row>
    <row r="322" spans="1:61" x14ac:dyDescent="0.2">
      <c r="A322" t="s">
        <v>344</v>
      </c>
      <c r="S322" t="s">
        <v>548</v>
      </c>
      <c r="T322" t="s">
        <v>548</v>
      </c>
      <c r="U322" t="s">
        <v>548</v>
      </c>
      <c r="V322" t="s">
        <v>548</v>
      </c>
      <c r="W322" t="s">
        <v>548</v>
      </c>
      <c r="X322" t="s">
        <v>548</v>
      </c>
      <c r="Y322" t="s">
        <v>548</v>
      </c>
      <c r="Z322" t="s">
        <v>548</v>
      </c>
      <c r="AA322" t="s">
        <v>548</v>
      </c>
      <c r="AB322" t="s">
        <v>548</v>
      </c>
      <c r="AC322" t="s">
        <v>548</v>
      </c>
      <c r="AD322" t="s">
        <v>548</v>
      </c>
      <c r="AE322" t="s">
        <v>548</v>
      </c>
      <c r="AF322" t="s">
        <v>548</v>
      </c>
      <c r="AG322" t="s">
        <v>548</v>
      </c>
      <c r="AH322" t="s">
        <v>548</v>
      </c>
      <c r="AI322" t="s">
        <v>548</v>
      </c>
      <c r="AJ322" t="s">
        <v>548</v>
      </c>
      <c r="AK322" t="s">
        <v>548</v>
      </c>
      <c r="AL322" t="s">
        <v>548</v>
      </c>
      <c r="AM322" t="s">
        <v>548</v>
      </c>
      <c r="AN322" t="s">
        <v>548</v>
      </c>
      <c r="AO322" t="s">
        <v>548</v>
      </c>
      <c r="AP322" t="s">
        <v>548</v>
      </c>
      <c r="AQ322" t="s">
        <v>548</v>
      </c>
      <c r="AR322" t="s">
        <v>548</v>
      </c>
      <c r="AS322" t="s">
        <v>548</v>
      </c>
      <c r="AT322" t="s">
        <v>548</v>
      </c>
      <c r="AU322" t="s">
        <v>548</v>
      </c>
      <c r="AV322" t="s">
        <v>548</v>
      </c>
      <c r="AW322" t="s">
        <v>548</v>
      </c>
      <c r="AX322" t="s">
        <v>548</v>
      </c>
      <c r="AY322" t="s">
        <v>548</v>
      </c>
      <c r="AZ322" t="s">
        <v>548</v>
      </c>
      <c r="BA322" t="s">
        <v>548</v>
      </c>
      <c r="BB322" t="s">
        <v>548</v>
      </c>
      <c r="BC322" t="s">
        <v>548</v>
      </c>
      <c r="BD322" t="s">
        <v>548</v>
      </c>
      <c r="BE322" t="s">
        <v>548</v>
      </c>
      <c r="BF322" t="s">
        <v>548</v>
      </c>
      <c r="BG322" t="s">
        <v>548</v>
      </c>
      <c r="BH322" t="s">
        <v>548</v>
      </c>
      <c r="BI322" t="s">
        <v>548</v>
      </c>
    </row>
    <row r="323" spans="1:61" x14ac:dyDescent="0.2">
      <c r="A323" t="s">
        <v>413</v>
      </c>
      <c r="S323" t="s">
        <v>548</v>
      </c>
      <c r="T323" t="s">
        <v>548</v>
      </c>
      <c r="U323" t="s">
        <v>548</v>
      </c>
      <c r="V323" t="s">
        <v>548</v>
      </c>
      <c r="W323" t="s">
        <v>548</v>
      </c>
      <c r="X323" t="s">
        <v>548</v>
      </c>
      <c r="Y323" t="s">
        <v>548</v>
      </c>
      <c r="Z323" t="s">
        <v>548</v>
      </c>
      <c r="AA323" t="s">
        <v>548</v>
      </c>
      <c r="AB323" t="s">
        <v>548</v>
      </c>
      <c r="AC323" t="s">
        <v>548</v>
      </c>
      <c r="AD323" t="s">
        <v>548</v>
      </c>
      <c r="AE323" t="s">
        <v>548</v>
      </c>
      <c r="AF323" t="s">
        <v>548</v>
      </c>
      <c r="AG323" t="s">
        <v>548</v>
      </c>
      <c r="AH323" t="s">
        <v>548</v>
      </c>
      <c r="AI323" t="s">
        <v>548</v>
      </c>
      <c r="AJ323" t="s">
        <v>548</v>
      </c>
      <c r="AK323" t="s">
        <v>548</v>
      </c>
      <c r="AL323" t="s">
        <v>548</v>
      </c>
      <c r="AM323" t="s">
        <v>548</v>
      </c>
      <c r="AN323" t="s">
        <v>548</v>
      </c>
      <c r="AO323" t="s">
        <v>548</v>
      </c>
      <c r="AP323" t="s">
        <v>548</v>
      </c>
      <c r="AQ323" t="s">
        <v>548</v>
      </c>
      <c r="AR323" t="s">
        <v>548</v>
      </c>
      <c r="AS323" t="s">
        <v>548</v>
      </c>
      <c r="AT323" t="s">
        <v>548</v>
      </c>
      <c r="AU323" t="s">
        <v>548</v>
      </c>
      <c r="AV323" t="s">
        <v>548</v>
      </c>
      <c r="AW323" t="s">
        <v>548</v>
      </c>
      <c r="AX323" t="s">
        <v>548</v>
      </c>
      <c r="AY323" t="s">
        <v>548</v>
      </c>
      <c r="AZ323" t="s">
        <v>548</v>
      </c>
      <c r="BA323" t="s">
        <v>548</v>
      </c>
      <c r="BB323" t="s">
        <v>548</v>
      </c>
      <c r="BC323" t="s">
        <v>548</v>
      </c>
      <c r="BD323" t="s">
        <v>548</v>
      </c>
      <c r="BE323" t="s">
        <v>548</v>
      </c>
      <c r="BF323" t="s">
        <v>548</v>
      </c>
      <c r="BG323" t="s">
        <v>548</v>
      </c>
      <c r="BH323" t="s">
        <v>548</v>
      </c>
      <c r="BI323" t="s">
        <v>548</v>
      </c>
    </row>
    <row r="324" spans="1:61" x14ac:dyDescent="0.2">
      <c r="A324" t="s">
        <v>414</v>
      </c>
      <c r="S324" t="s">
        <v>548</v>
      </c>
      <c r="T324" t="s">
        <v>548</v>
      </c>
      <c r="U324" t="s">
        <v>548</v>
      </c>
      <c r="V324" t="s">
        <v>548</v>
      </c>
      <c r="W324" t="s">
        <v>548</v>
      </c>
      <c r="X324" t="s">
        <v>548</v>
      </c>
      <c r="Y324" t="s">
        <v>548</v>
      </c>
      <c r="Z324" t="s">
        <v>548</v>
      </c>
      <c r="AA324" t="s">
        <v>548</v>
      </c>
      <c r="AB324" t="s">
        <v>548</v>
      </c>
      <c r="AC324" t="s">
        <v>548</v>
      </c>
      <c r="AD324" t="s">
        <v>548</v>
      </c>
      <c r="AE324" t="s">
        <v>548</v>
      </c>
      <c r="AF324" t="s">
        <v>548</v>
      </c>
      <c r="AG324" t="s">
        <v>548</v>
      </c>
      <c r="AH324" t="s">
        <v>548</v>
      </c>
      <c r="AI324" t="s">
        <v>548</v>
      </c>
      <c r="AJ324" t="s">
        <v>548</v>
      </c>
      <c r="AK324" t="s">
        <v>548</v>
      </c>
      <c r="AL324" t="s">
        <v>548</v>
      </c>
      <c r="AM324" t="s">
        <v>548</v>
      </c>
      <c r="AN324" t="s">
        <v>548</v>
      </c>
      <c r="AO324" t="s">
        <v>548</v>
      </c>
      <c r="AP324" t="s">
        <v>548</v>
      </c>
      <c r="AQ324" t="s">
        <v>548</v>
      </c>
      <c r="AR324" t="s">
        <v>548</v>
      </c>
      <c r="AS324" t="s">
        <v>548</v>
      </c>
      <c r="AT324" t="s">
        <v>548</v>
      </c>
      <c r="AU324" t="s">
        <v>548</v>
      </c>
      <c r="AV324" t="s">
        <v>548</v>
      </c>
      <c r="AW324" t="s">
        <v>548</v>
      </c>
      <c r="AX324" t="s">
        <v>548</v>
      </c>
      <c r="AY324" t="s">
        <v>548</v>
      </c>
      <c r="AZ324" t="s">
        <v>548</v>
      </c>
      <c r="BA324" t="s">
        <v>548</v>
      </c>
      <c r="BB324" t="s">
        <v>548</v>
      </c>
      <c r="BC324" t="s">
        <v>548</v>
      </c>
      <c r="BD324" t="s">
        <v>548</v>
      </c>
      <c r="BE324" t="s">
        <v>548</v>
      </c>
      <c r="BF324" t="s">
        <v>548</v>
      </c>
      <c r="BG324" t="s">
        <v>548</v>
      </c>
      <c r="BH324" t="s">
        <v>548</v>
      </c>
      <c r="BI324" t="s">
        <v>548</v>
      </c>
    </row>
    <row r="325" spans="1:61" x14ac:dyDescent="0.2">
      <c r="A325" t="s">
        <v>415</v>
      </c>
      <c r="S325" t="s">
        <v>548</v>
      </c>
      <c r="T325" t="s">
        <v>548</v>
      </c>
      <c r="U325" t="s">
        <v>548</v>
      </c>
      <c r="V325" t="s">
        <v>548</v>
      </c>
      <c r="W325" t="s">
        <v>548</v>
      </c>
      <c r="X325" t="s">
        <v>548</v>
      </c>
      <c r="Y325" t="s">
        <v>548</v>
      </c>
      <c r="Z325" t="s">
        <v>548</v>
      </c>
      <c r="AA325" t="s">
        <v>548</v>
      </c>
      <c r="AB325" t="s">
        <v>548</v>
      </c>
      <c r="AC325" t="s">
        <v>548</v>
      </c>
      <c r="AD325" t="s">
        <v>548</v>
      </c>
      <c r="AE325" t="s">
        <v>548</v>
      </c>
      <c r="AF325" t="s">
        <v>548</v>
      </c>
      <c r="AG325" t="s">
        <v>548</v>
      </c>
      <c r="AH325" t="s">
        <v>548</v>
      </c>
      <c r="AI325" t="s">
        <v>548</v>
      </c>
      <c r="AJ325" t="s">
        <v>548</v>
      </c>
      <c r="AK325" t="s">
        <v>548</v>
      </c>
      <c r="AL325" t="s">
        <v>548</v>
      </c>
      <c r="AM325" t="s">
        <v>548</v>
      </c>
      <c r="AN325" t="s">
        <v>548</v>
      </c>
      <c r="AO325" t="s">
        <v>548</v>
      </c>
      <c r="AP325" t="s">
        <v>548</v>
      </c>
      <c r="AQ325" t="s">
        <v>548</v>
      </c>
      <c r="AR325" t="s">
        <v>548</v>
      </c>
      <c r="AS325" t="s">
        <v>548</v>
      </c>
      <c r="AT325" t="s">
        <v>548</v>
      </c>
      <c r="AU325" t="s">
        <v>548</v>
      </c>
      <c r="AV325" t="s">
        <v>548</v>
      </c>
      <c r="AW325" t="s">
        <v>548</v>
      </c>
      <c r="AX325" t="s">
        <v>548</v>
      </c>
      <c r="AY325" t="s">
        <v>548</v>
      </c>
      <c r="AZ325" t="s">
        <v>548</v>
      </c>
      <c r="BA325" t="s">
        <v>548</v>
      </c>
      <c r="BB325" t="s">
        <v>548</v>
      </c>
      <c r="BC325" t="s">
        <v>548</v>
      </c>
      <c r="BD325" t="s">
        <v>548</v>
      </c>
      <c r="BE325" t="s">
        <v>548</v>
      </c>
      <c r="BF325" t="s">
        <v>548</v>
      </c>
      <c r="BG325" t="s">
        <v>548</v>
      </c>
      <c r="BH325" t="s">
        <v>548</v>
      </c>
      <c r="BI325" t="s">
        <v>548</v>
      </c>
    </row>
    <row r="326" spans="1:61" x14ac:dyDescent="0.2">
      <c r="A326" t="s">
        <v>395</v>
      </c>
      <c r="S326" t="s">
        <v>548</v>
      </c>
      <c r="T326" t="s">
        <v>548</v>
      </c>
      <c r="U326" t="s">
        <v>548</v>
      </c>
      <c r="V326" t="s">
        <v>548</v>
      </c>
      <c r="W326" t="s">
        <v>548</v>
      </c>
      <c r="X326" t="s">
        <v>548</v>
      </c>
      <c r="Y326" t="s">
        <v>548</v>
      </c>
      <c r="Z326" t="s">
        <v>548</v>
      </c>
      <c r="AA326" t="s">
        <v>548</v>
      </c>
      <c r="AB326" t="s">
        <v>548</v>
      </c>
      <c r="AC326" t="s">
        <v>548</v>
      </c>
      <c r="AD326" t="s">
        <v>548</v>
      </c>
      <c r="AE326" t="s">
        <v>548</v>
      </c>
      <c r="AF326" t="s">
        <v>548</v>
      </c>
      <c r="AG326" t="s">
        <v>548</v>
      </c>
      <c r="AH326" t="s">
        <v>548</v>
      </c>
      <c r="AI326" t="s">
        <v>548</v>
      </c>
      <c r="AJ326" t="s">
        <v>548</v>
      </c>
      <c r="AK326" t="s">
        <v>548</v>
      </c>
      <c r="AL326" t="s">
        <v>548</v>
      </c>
      <c r="AM326" t="s">
        <v>548</v>
      </c>
      <c r="AN326" t="s">
        <v>548</v>
      </c>
      <c r="AO326" t="s">
        <v>548</v>
      </c>
      <c r="AP326" t="s">
        <v>548</v>
      </c>
      <c r="AQ326" t="s">
        <v>548</v>
      </c>
      <c r="AR326" t="s">
        <v>548</v>
      </c>
      <c r="AS326" t="s">
        <v>548</v>
      </c>
      <c r="AT326" t="s">
        <v>548</v>
      </c>
      <c r="AU326" t="s">
        <v>548</v>
      </c>
      <c r="AV326" t="s">
        <v>548</v>
      </c>
      <c r="AW326" t="s">
        <v>548</v>
      </c>
      <c r="AX326" t="s">
        <v>548</v>
      </c>
      <c r="AY326" t="s">
        <v>548</v>
      </c>
      <c r="AZ326" t="s">
        <v>548</v>
      </c>
      <c r="BA326" t="s">
        <v>548</v>
      </c>
      <c r="BB326" t="s">
        <v>548</v>
      </c>
      <c r="BC326" t="s">
        <v>548</v>
      </c>
      <c r="BD326" t="s">
        <v>548</v>
      </c>
      <c r="BE326" t="s">
        <v>548</v>
      </c>
      <c r="BF326" t="s">
        <v>548</v>
      </c>
      <c r="BG326" t="s">
        <v>548</v>
      </c>
      <c r="BH326" t="s">
        <v>548</v>
      </c>
      <c r="BI326" t="s">
        <v>548</v>
      </c>
    </row>
    <row r="327" spans="1:61" x14ac:dyDescent="0.2">
      <c r="A327" t="s">
        <v>396</v>
      </c>
      <c r="S327" t="s">
        <v>548</v>
      </c>
      <c r="T327" t="s">
        <v>548</v>
      </c>
      <c r="U327" t="s">
        <v>548</v>
      </c>
      <c r="V327" t="s">
        <v>548</v>
      </c>
      <c r="W327" t="s">
        <v>548</v>
      </c>
      <c r="X327" t="s">
        <v>548</v>
      </c>
      <c r="Y327" t="s">
        <v>548</v>
      </c>
      <c r="Z327" t="s">
        <v>548</v>
      </c>
      <c r="AA327" t="s">
        <v>548</v>
      </c>
      <c r="AB327" t="s">
        <v>548</v>
      </c>
      <c r="AC327" t="s">
        <v>548</v>
      </c>
      <c r="AD327" t="s">
        <v>548</v>
      </c>
      <c r="AE327" t="s">
        <v>548</v>
      </c>
      <c r="AF327" t="s">
        <v>548</v>
      </c>
      <c r="AG327" t="s">
        <v>548</v>
      </c>
      <c r="AH327" t="s">
        <v>548</v>
      </c>
      <c r="AI327" t="s">
        <v>548</v>
      </c>
      <c r="AJ327" t="s">
        <v>548</v>
      </c>
      <c r="AK327" t="s">
        <v>548</v>
      </c>
      <c r="AL327" t="s">
        <v>548</v>
      </c>
      <c r="AM327" t="s">
        <v>548</v>
      </c>
      <c r="AN327" t="s">
        <v>548</v>
      </c>
      <c r="AO327" t="s">
        <v>548</v>
      </c>
      <c r="AP327" t="s">
        <v>548</v>
      </c>
      <c r="AQ327" t="s">
        <v>548</v>
      </c>
      <c r="AR327" t="s">
        <v>548</v>
      </c>
      <c r="AS327" t="s">
        <v>548</v>
      </c>
      <c r="AT327" t="s">
        <v>548</v>
      </c>
      <c r="AU327" t="s">
        <v>548</v>
      </c>
      <c r="AV327" t="s">
        <v>548</v>
      </c>
      <c r="AW327" t="s">
        <v>548</v>
      </c>
      <c r="AX327" t="s">
        <v>548</v>
      </c>
      <c r="AY327" t="s">
        <v>548</v>
      </c>
      <c r="AZ327" t="s">
        <v>548</v>
      </c>
      <c r="BA327" t="s">
        <v>548</v>
      </c>
      <c r="BB327" t="s">
        <v>548</v>
      </c>
      <c r="BC327" t="s">
        <v>548</v>
      </c>
      <c r="BD327" t="s">
        <v>548</v>
      </c>
      <c r="BE327" t="s">
        <v>548</v>
      </c>
      <c r="BF327" t="s">
        <v>548</v>
      </c>
      <c r="BG327" t="s">
        <v>548</v>
      </c>
      <c r="BH327" t="s">
        <v>548</v>
      </c>
      <c r="BI327" t="s">
        <v>548</v>
      </c>
    </row>
    <row r="328" spans="1:61" x14ac:dyDescent="0.2">
      <c r="A328" t="s">
        <v>397</v>
      </c>
      <c r="S328" t="s">
        <v>548</v>
      </c>
      <c r="T328" t="s">
        <v>548</v>
      </c>
      <c r="U328" t="s">
        <v>548</v>
      </c>
      <c r="V328" t="s">
        <v>548</v>
      </c>
      <c r="W328" t="s">
        <v>548</v>
      </c>
      <c r="X328" t="s">
        <v>548</v>
      </c>
      <c r="Y328" t="s">
        <v>548</v>
      </c>
      <c r="Z328" t="s">
        <v>548</v>
      </c>
      <c r="AA328" t="s">
        <v>548</v>
      </c>
      <c r="AB328" t="s">
        <v>548</v>
      </c>
      <c r="AC328" t="s">
        <v>548</v>
      </c>
      <c r="AD328" t="s">
        <v>548</v>
      </c>
      <c r="AE328" t="s">
        <v>548</v>
      </c>
      <c r="AF328" t="s">
        <v>548</v>
      </c>
      <c r="AG328" t="s">
        <v>548</v>
      </c>
      <c r="AH328" t="s">
        <v>548</v>
      </c>
      <c r="AI328" t="s">
        <v>548</v>
      </c>
      <c r="AJ328" t="s">
        <v>548</v>
      </c>
      <c r="AK328" t="s">
        <v>548</v>
      </c>
      <c r="AL328" t="s">
        <v>548</v>
      </c>
      <c r="AM328" t="s">
        <v>548</v>
      </c>
      <c r="AN328" t="s">
        <v>548</v>
      </c>
      <c r="AO328" t="s">
        <v>548</v>
      </c>
      <c r="AP328" t="s">
        <v>548</v>
      </c>
      <c r="AQ328" t="s">
        <v>548</v>
      </c>
      <c r="AR328" t="s">
        <v>548</v>
      </c>
      <c r="AS328" t="s">
        <v>548</v>
      </c>
      <c r="AT328" t="s">
        <v>548</v>
      </c>
      <c r="AU328" t="s">
        <v>548</v>
      </c>
      <c r="AV328" t="s">
        <v>548</v>
      </c>
      <c r="AW328" t="s">
        <v>548</v>
      </c>
      <c r="AX328" t="s">
        <v>548</v>
      </c>
      <c r="AY328" t="s">
        <v>548</v>
      </c>
      <c r="AZ328" t="s">
        <v>548</v>
      </c>
      <c r="BA328" t="s">
        <v>548</v>
      </c>
      <c r="BB328" t="s">
        <v>548</v>
      </c>
      <c r="BC328" t="s">
        <v>548</v>
      </c>
      <c r="BD328" t="s">
        <v>548</v>
      </c>
      <c r="BE328" t="s">
        <v>548</v>
      </c>
      <c r="BF328" t="s">
        <v>548</v>
      </c>
      <c r="BG328" t="s">
        <v>548</v>
      </c>
      <c r="BH328" t="s">
        <v>548</v>
      </c>
      <c r="BI328" t="s">
        <v>548</v>
      </c>
    </row>
    <row r="329" spans="1:61" x14ac:dyDescent="0.2">
      <c r="A329" t="s">
        <v>404</v>
      </c>
      <c r="S329" t="s">
        <v>548</v>
      </c>
      <c r="T329" t="s">
        <v>548</v>
      </c>
      <c r="U329" t="s">
        <v>548</v>
      </c>
      <c r="V329" t="s">
        <v>548</v>
      </c>
      <c r="W329" t="s">
        <v>548</v>
      </c>
      <c r="X329" t="s">
        <v>548</v>
      </c>
      <c r="Y329" t="s">
        <v>548</v>
      </c>
      <c r="Z329" t="s">
        <v>548</v>
      </c>
      <c r="AA329" t="s">
        <v>548</v>
      </c>
      <c r="AB329" t="s">
        <v>548</v>
      </c>
      <c r="AC329" t="s">
        <v>548</v>
      </c>
      <c r="AD329" t="s">
        <v>548</v>
      </c>
      <c r="AE329" t="s">
        <v>548</v>
      </c>
      <c r="AF329" t="s">
        <v>548</v>
      </c>
      <c r="AG329" t="s">
        <v>548</v>
      </c>
      <c r="AH329" t="s">
        <v>548</v>
      </c>
      <c r="AI329" t="s">
        <v>548</v>
      </c>
      <c r="AJ329" t="s">
        <v>548</v>
      </c>
      <c r="AK329" t="s">
        <v>548</v>
      </c>
      <c r="AL329" t="s">
        <v>548</v>
      </c>
      <c r="AM329" t="s">
        <v>548</v>
      </c>
      <c r="AN329" t="s">
        <v>548</v>
      </c>
      <c r="AO329" t="s">
        <v>548</v>
      </c>
      <c r="AP329" t="s">
        <v>548</v>
      </c>
      <c r="AQ329" t="s">
        <v>548</v>
      </c>
      <c r="AR329" t="s">
        <v>548</v>
      </c>
      <c r="AS329" t="s">
        <v>548</v>
      </c>
      <c r="AT329" t="s">
        <v>548</v>
      </c>
      <c r="AU329" t="s">
        <v>548</v>
      </c>
      <c r="AV329" t="s">
        <v>548</v>
      </c>
      <c r="AW329" t="s">
        <v>548</v>
      </c>
      <c r="AX329" t="s">
        <v>548</v>
      </c>
      <c r="AY329" t="s">
        <v>548</v>
      </c>
      <c r="AZ329" t="s">
        <v>548</v>
      </c>
      <c r="BA329" t="s">
        <v>548</v>
      </c>
      <c r="BB329" t="s">
        <v>548</v>
      </c>
      <c r="BC329" t="s">
        <v>548</v>
      </c>
      <c r="BD329" t="s">
        <v>548</v>
      </c>
      <c r="BE329" t="s">
        <v>548</v>
      </c>
      <c r="BF329" t="s">
        <v>548</v>
      </c>
      <c r="BG329" t="s">
        <v>548</v>
      </c>
      <c r="BH329" t="s">
        <v>548</v>
      </c>
      <c r="BI329" t="s">
        <v>548</v>
      </c>
    </row>
    <row r="330" spans="1:61" x14ac:dyDescent="0.2">
      <c r="A330" t="s">
        <v>405</v>
      </c>
      <c r="S330" t="s">
        <v>548</v>
      </c>
      <c r="T330" t="s">
        <v>548</v>
      </c>
      <c r="U330" t="s">
        <v>548</v>
      </c>
      <c r="V330" t="s">
        <v>548</v>
      </c>
      <c r="W330" t="s">
        <v>548</v>
      </c>
      <c r="X330" t="s">
        <v>548</v>
      </c>
      <c r="Y330" t="s">
        <v>548</v>
      </c>
      <c r="Z330" t="s">
        <v>548</v>
      </c>
      <c r="AA330" t="s">
        <v>548</v>
      </c>
      <c r="AB330" t="s">
        <v>548</v>
      </c>
      <c r="AC330" t="s">
        <v>548</v>
      </c>
      <c r="AD330" t="s">
        <v>548</v>
      </c>
      <c r="AE330" t="s">
        <v>548</v>
      </c>
      <c r="AF330" t="s">
        <v>548</v>
      </c>
      <c r="AG330" t="s">
        <v>548</v>
      </c>
      <c r="AH330" t="s">
        <v>548</v>
      </c>
      <c r="AI330" t="s">
        <v>548</v>
      </c>
      <c r="AJ330" t="s">
        <v>548</v>
      </c>
      <c r="AK330" t="s">
        <v>548</v>
      </c>
      <c r="AL330" t="s">
        <v>548</v>
      </c>
      <c r="AM330" t="s">
        <v>548</v>
      </c>
      <c r="AN330" t="s">
        <v>548</v>
      </c>
      <c r="AO330" t="s">
        <v>548</v>
      </c>
      <c r="AP330" t="s">
        <v>548</v>
      </c>
      <c r="AQ330" t="s">
        <v>548</v>
      </c>
      <c r="AR330" t="s">
        <v>548</v>
      </c>
      <c r="AS330" t="s">
        <v>548</v>
      </c>
      <c r="AT330" t="s">
        <v>548</v>
      </c>
      <c r="AU330" t="s">
        <v>548</v>
      </c>
      <c r="AV330" t="s">
        <v>548</v>
      </c>
      <c r="AW330" t="s">
        <v>548</v>
      </c>
      <c r="AX330" t="s">
        <v>548</v>
      </c>
      <c r="AY330" t="s">
        <v>548</v>
      </c>
      <c r="AZ330" t="s">
        <v>548</v>
      </c>
      <c r="BA330" t="s">
        <v>548</v>
      </c>
      <c r="BB330" t="s">
        <v>548</v>
      </c>
      <c r="BC330" t="s">
        <v>548</v>
      </c>
      <c r="BD330" t="s">
        <v>548</v>
      </c>
      <c r="BE330" t="s">
        <v>548</v>
      </c>
      <c r="BF330" t="s">
        <v>548</v>
      </c>
      <c r="BG330" t="s">
        <v>548</v>
      </c>
      <c r="BH330" t="s">
        <v>548</v>
      </c>
      <c r="BI330" t="s">
        <v>548</v>
      </c>
    </row>
    <row r="331" spans="1:61" x14ac:dyDescent="0.2">
      <c r="A331" t="s">
        <v>406</v>
      </c>
      <c r="S331" t="s">
        <v>548</v>
      </c>
      <c r="T331" t="s">
        <v>548</v>
      </c>
      <c r="U331" t="s">
        <v>548</v>
      </c>
      <c r="V331" t="s">
        <v>548</v>
      </c>
      <c r="W331" t="s">
        <v>548</v>
      </c>
      <c r="X331" t="s">
        <v>548</v>
      </c>
      <c r="Y331" t="s">
        <v>548</v>
      </c>
      <c r="Z331" t="s">
        <v>548</v>
      </c>
      <c r="AA331" t="s">
        <v>548</v>
      </c>
      <c r="AB331" t="s">
        <v>548</v>
      </c>
      <c r="AC331" t="s">
        <v>548</v>
      </c>
      <c r="AD331" t="s">
        <v>548</v>
      </c>
      <c r="AE331" t="s">
        <v>548</v>
      </c>
      <c r="AF331" t="s">
        <v>548</v>
      </c>
      <c r="AG331" t="s">
        <v>548</v>
      </c>
      <c r="AH331" t="s">
        <v>548</v>
      </c>
      <c r="AI331" t="s">
        <v>548</v>
      </c>
      <c r="AJ331" t="s">
        <v>548</v>
      </c>
      <c r="AK331" t="s">
        <v>548</v>
      </c>
      <c r="AL331" t="s">
        <v>548</v>
      </c>
      <c r="AM331" t="s">
        <v>548</v>
      </c>
      <c r="AN331" t="s">
        <v>548</v>
      </c>
      <c r="AO331" t="s">
        <v>548</v>
      </c>
      <c r="AP331" t="s">
        <v>548</v>
      </c>
      <c r="AQ331" t="s">
        <v>548</v>
      </c>
      <c r="AR331" t="s">
        <v>548</v>
      </c>
      <c r="AS331" t="s">
        <v>548</v>
      </c>
      <c r="AT331" t="s">
        <v>548</v>
      </c>
      <c r="AU331" t="s">
        <v>548</v>
      </c>
      <c r="AV331" t="s">
        <v>548</v>
      </c>
      <c r="AW331" t="s">
        <v>548</v>
      </c>
      <c r="AX331" t="s">
        <v>548</v>
      </c>
      <c r="AY331" t="s">
        <v>548</v>
      </c>
      <c r="AZ331" t="s">
        <v>548</v>
      </c>
      <c r="BA331" t="s">
        <v>548</v>
      </c>
      <c r="BB331" t="s">
        <v>548</v>
      </c>
      <c r="BC331" t="s">
        <v>548</v>
      </c>
      <c r="BD331" t="s">
        <v>548</v>
      </c>
      <c r="BE331" t="s">
        <v>548</v>
      </c>
      <c r="BF331" t="s">
        <v>548</v>
      </c>
      <c r="BG331" t="s">
        <v>548</v>
      </c>
      <c r="BH331" t="s">
        <v>548</v>
      </c>
      <c r="BI331" t="s">
        <v>548</v>
      </c>
    </row>
    <row r="332" spans="1:61" x14ac:dyDescent="0.2">
      <c r="A332" t="s">
        <v>267</v>
      </c>
      <c r="S332" t="s">
        <v>548</v>
      </c>
      <c r="T332" t="s">
        <v>548</v>
      </c>
      <c r="U332" t="s">
        <v>548</v>
      </c>
      <c r="V332" t="s">
        <v>548</v>
      </c>
      <c r="W332" t="s">
        <v>548</v>
      </c>
      <c r="X332" t="s">
        <v>548</v>
      </c>
      <c r="Y332" t="s">
        <v>548</v>
      </c>
      <c r="Z332" t="s">
        <v>548</v>
      </c>
      <c r="AA332" t="s">
        <v>548</v>
      </c>
      <c r="AB332" t="s">
        <v>548</v>
      </c>
      <c r="AC332" t="s">
        <v>548</v>
      </c>
      <c r="AD332" t="s">
        <v>548</v>
      </c>
      <c r="AE332" t="s">
        <v>548</v>
      </c>
      <c r="AF332" t="s">
        <v>548</v>
      </c>
      <c r="AG332" t="s">
        <v>548</v>
      </c>
      <c r="AH332" t="s">
        <v>548</v>
      </c>
      <c r="AI332" t="s">
        <v>548</v>
      </c>
      <c r="AJ332" t="s">
        <v>548</v>
      </c>
      <c r="AK332" t="s">
        <v>548</v>
      </c>
      <c r="AL332" t="s">
        <v>548</v>
      </c>
      <c r="AM332" t="s">
        <v>548</v>
      </c>
      <c r="AN332" t="s">
        <v>548</v>
      </c>
      <c r="AO332" t="s">
        <v>548</v>
      </c>
      <c r="AP332" t="s">
        <v>548</v>
      </c>
      <c r="AQ332" t="s">
        <v>548</v>
      </c>
      <c r="AR332" t="s">
        <v>548</v>
      </c>
      <c r="AS332" t="s">
        <v>548</v>
      </c>
      <c r="AT332" t="s">
        <v>548</v>
      </c>
      <c r="AU332" t="s">
        <v>548</v>
      </c>
      <c r="AV332" t="s">
        <v>548</v>
      </c>
      <c r="AW332" t="s">
        <v>548</v>
      </c>
      <c r="AX332" t="s">
        <v>548</v>
      </c>
      <c r="AY332" t="s">
        <v>548</v>
      </c>
      <c r="AZ332" t="s">
        <v>548</v>
      </c>
      <c r="BA332" t="s">
        <v>548</v>
      </c>
      <c r="BB332" t="s">
        <v>548</v>
      </c>
      <c r="BC332" t="s">
        <v>548</v>
      </c>
      <c r="BD332" t="s">
        <v>548</v>
      </c>
      <c r="BE332" t="s">
        <v>548</v>
      </c>
      <c r="BF332" t="s">
        <v>548</v>
      </c>
      <c r="BG332" t="s">
        <v>548</v>
      </c>
      <c r="BH332" t="s">
        <v>548</v>
      </c>
      <c r="BI332" t="s">
        <v>548</v>
      </c>
    </row>
    <row r="333" spans="1:61" x14ac:dyDescent="0.2">
      <c r="A333" t="s">
        <v>268</v>
      </c>
      <c r="S333" t="s">
        <v>548</v>
      </c>
      <c r="T333" t="s">
        <v>548</v>
      </c>
      <c r="U333" t="s">
        <v>548</v>
      </c>
      <c r="V333" t="s">
        <v>548</v>
      </c>
      <c r="W333" t="s">
        <v>548</v>
      </c>
      <c r="X333" t="s">
        <v>548</v>
      </c>
      <c r="Y333" t="s">
        <v>548</v>
      </c>
      <c r="Z333" t="s">
        <v>548</v>
      </c>
      <c r="AA333" t="s">
        <v>548</v>
      </c>
      <c r="AB333" t="s">
        <v>548</v>
      </c>
      <c r="AC333" t="s">
        <v>548</v>
      </c>
      <c r="AD333" t="s">
        <v>548</v>
      </c>
      <c r="AE333" t="s">
        <v>548</v>
      </c>
      <c r="AF333" t="s">
        <v>548</v>
      </c>
      <c r="AG333" t="s">
        <v>548</v>
      </c>
      <c r="AH333" t="s">
        <v>548</v>
      </c>
      <c r="AI333" t="s">
        <v>548</v>
      </c>
      <c r="AJ333" t="s">
        <v>548</v>
      </c>
      <c r="AK333" t="s">
        <v>548</v>
      </c>
      <c r="AL333" t="s">
        <v>548</v>
      </c>
      <c r="AM333" t="s">
        <v>548</v>
      </c>
      <c r="AN333" t="s">
        <v>548</v>
      </c>
      <c r="AO333" t="s">
        <v>548</v>
      </c>
      <c r="AP333" t="s">
        <v>548</v>
      </c>
      <c r="AQ333" t="s">
        <v>548</v>
      </c>
      <c r="AR333" t="s">
        <v>548</v>
      </c>
      <c r="AS333" t="s">
        <v>548</v>
      </c>
      <c r="AT333" t="s">
        <v>548</v>
      </c>
      <c r="AU333" t="s">
        <v>548</v>
      </c>
      <c r="AV333" t="s">
        <v>548</v>
      </c>
      <c r="AW333" t="s">
        <v>548</v>
      </c>
      <c r="AX333" t="s">
        <v>548</v>
      </c>
      <c r="AY333" t="s">
        <v>548</v>
      </c>
      <c r="AZ333" t="s">
        <v>548</v>
      </c>
      <c r="BA333" t="s">
        <v>548</v>
      </c>
      <c r="BB333" t="s">
        <v>548</v>
      </c>
      <c r="BC333" t="s">
        <v>548</v>
      </c>
      <c r="BD333" t="s">
        <v>548</v>
      </c>
      <c r="BE333" t="s">
        <v>548</v>
      </c>
      <c r="BF333" t="s">
        <v>548</v>
      </c>
      <c r="BG333" t="s">
        <v>548</v>
      </c>
      <c r="BH333" t="s">
        <v>548</v>
      </c>
      <c r="BI333" t="s">
        <v>548</v>
      </c>
    </row>
    <row r="334" spans="1:61" x14ac:dyDescent="0.2">
      <c r="A334" t="s">
        <v>269</v>
      </c>
      <c r="S334" t="s">
        <v>548</v>
      </c>
      <c r="T334" t="s">
        <v>548</v>
      </c>
      <c r="U334" t="s">
        <v>548</v>
      </c>
      <c r="V334" t="s">
        <v>548</v>
      </c>
      <c r="W334" t="s">
        <v>548</v>
      </c>
      <c r="X334" t="s">
        <v>548</v>
      </c>
      <c r="Y334" t="s">
        <v>548</v>
      </c>
      <c r="Z334" t="s">
        <v>548</v>
      </c>
      <c r="AA334" t="s">
        <v>548</v>
      </c>
      <c r="AB334" t="s">
        <v>548</v>
      </c>
      <c r="AC334" t="s">
        <v>548</v>
      </c>
      <c r="AD334" t="s">
        <v>548</v>
      </c>
      <c r="AE334" t="s">
        <v>548</v>
      </c>
      <c r="AF334" t="s">
        <v>548</v>
      </c>
      <c r="AG334" t="s">
        <v>548</v>
      </c>
      <c r="AH334" t="s">
        <v>548</v>
      </c>
      <c r="AI334" t="s">
        <v>548</v>
      </c>
      <c r="AJ334" t="s">
        <v>548</v>
      </c>
      <c r="AK334" t="s">
        <v>548</v>
      </c>
      <c r="AL334" t="s">
        <v>548</v>
      </c>
      <c r="AM334" t="s">
        <v>548</v>
      </c>
      <c r="AN334" t="s">
        <v>548</v>
      </c>
      <c r="AO334" t="s">
        <v>548</v>
      </c>
      <c r="AP334" t="s">
        <v>548</v>
      </c>
      <c r="AQ334" t="s">
        <v>548</v>
      </c>
      <c r="AR334" t="s">
        <v>548</v>
      </c>
      <c r="AS334" t="s">
        <v>548</v>
      </c>
      <c r="AT334" t="s">
        <v>548</v>
      </c>
      <c r="AU334" t="s">
        <v>548</v>
      </c>
      <c r="AV334" t="s">
        <v>548</v>
      </c>
      <c r="AW334" t="s">
        <v>548</v>
      </c>
      <c r="AX334" t="s">
        <v>548</v>
      </c>
      <c r="AY334" t="s">
        <v>548</v>
      </c>
      <c r="AZ334" t="s">
        <v>548</v>
      </c>
      <c r="BA334" t="s">
        <v>548</v>
      </c>
      <c r="BB334" t="s">
        <v>548</v>
      </c>
      <c r="BC334" t="s">
        <v>548</v>
      </c>
      <c r="BD334" t="s">
        <v>548</v>
      </c>
      <c r="BE334" t="s">
        <v>548</v>
      </c>
      <c r="BF334" t="s">
        <v>548</v>
      </c>
      <c r="BG334" t="s">
        <v>548</v>
      </c>
      <c r="BH334" t="s">
        <v>548</v>
      </c>
      <c r="BI334" t="s">
        <v>548</v>
      </c>
    </row>
    <row r="335" spans="1:61" x14ac:dyDescent="0.2">
      <c r="A335" t="s">
        <v>270</v>
      </c>
      <c r="S335" t="s">
        <v>548</v>
      </c>
      <c r="T335" t="s">
        <v>548</v>
      </c>
      <c r="U335" t="s">
        <v>548</v>
      </c>
      <c r="V335" t="s">
        <v>548</v>
      </c>
      <c r="W335" t="s">
        <v>548</v>
      </c>
      <c r="X335" t="s">
        <v>548</v>
      </c>
      <c r="Y335" t="s">
        <v>548</v>
      </c>
      <c r="Z335" t="s">
        <v>548</v>
      </c>
      <c r="AA335" t="s">
        <v>548</v>
      </c>
      <c r="AB335" t="s">
        <v>548</v>
      </c>
      <c r="AC335" t="s">
        <v>548</v>
      </c>
      <c r="AD335" t="s">
        <v>548</v>
      </c>
      <c r="AE335" t="s">
        <v>548</v>
      </c>
      <c r="AF335" t="s">
        <v>548</v>
      </c>
      <c r="AG335" t="s">
        <v>548</v>
      </c>
      <c r="AH335" t="s">
        <v>548</v>
      </c>
      <c r="AI335" t="s">
        <v>548</v>
      </c>
      <c r="AJ335" t="s">
        <v>548</v>
      </c>
      <c r="AK335" t="s">
        <v>548</v>
      </c>
      <c r="AL335" t="s">
        <v>548</v>
      </c>
      <c r="AM335" t="s">
        <v>548</v>
      </c>
      <c r="AN335" t="s">
        <v>548</v>
      </c>
      <c r="AO335" t="s">
        <v>548</v>
      </c>
      <c r="AP335" t="s">
        <v>548</v>
      </c>
      <c r="AQ335" t="s">
        <v>548</v>
      </c>
      <c r="AR335" t="s">
        <v>548</v>
      </c>
      <c r="AS335" t="s">
        <v>548</v>
      </c>
      <c r="AT335" t="s">
        <v>548</v>
      </c>
      <c r="AU335" t="s">
        <v>548</v>
      </c>
      <c r="AV335" t="s">
        <v>548</v>
      </c>
      <c r="AW335" t="s">
        <v>548</v>
      </c>
      <c r="AX335" t="s">
        <v>548</v>
      </c>
      <c r="AY335" t="s">
        <v>548</v>
      </c>
      <c r="AZ335" t="s">
        <v>548</v>
      </c>
      <c r="BA335" t="s">
        <v>548</v>
      </c>
      <c r="BB335" t="s">
        <v>548</v>
      </c>
      <c r="BC335" t="s">
        <v>548</v>
      </c>
      <c r="BD335" t="s">
        <v>548</v>
      </c>
      <c r="BE335" t="s">
        <v>548</v>
      </c>
      <c r="BF335" t="s">
        <v>548</v>
      </c>
      <c r="BG335" t="s">
        <v>548</v>
      </c>
      <c r="BH335" t="s">
        <v>548</v>
      </c>
      <c r="BI335" t="s">
        <v>548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workbookViewId="0">
      <selection activeCell="E10" sqref="E10"/>
    </sheetView>
  </sheetViews>
  <sheetFormatPr baseColWidth="10" defaultColWidth="8.83203125" defaultRowHeight="15" x14ac:dyDescent="0.2"/>
  <cols>
    <col min="2" max="2" width="23.33203125" bestFit="1" customWidth="1"/>
    <col min="3" max="3" width="24.5" bestFit="1" customWidth="1"/>
    <col min="4" max="4" width="27.33203125" bestFit="1" customWidth="1"/>
    <col min="5" max="5" width="24.5" bestFit="1" customWidth="1"/>
    <col min="6" max="6" width="27.33203125" bestFit="1" customWidth="1"/>
  </cols>
  <sheetData>
    <row r="1" spans="1:6" x14ac:dyDescent="0.2">
      <c r="A1" t="s">
        <v>68</v>
      </c>
    </row>
    <row r="2" spans="1:6" x14ac:dyDescent="0.2">
      <c r="C2" s="45" t="s">
        <v>303</v>
      </c>
      <c r="D2" s="45"/>
      <c r="E2" s="45" t="s">
        <v>308</v>
      </c>
      <c r="F2" s="45"/>
    </row>
    <row r="3" spans="1:6" x14ac:dyDescent="0.2">
      <c r="C3" t="s">
        <v>304</v>
      </c>
      <c r="D3" t="s">
        <v>305</v>
      </c>
      <c r="E3" t="s">
        <v>304</v>
      </c>
      <c r="F3" t="s">
        <v>305</v>
      </c>
    </row>
    <row r="4" spans="1:6" x14ac:dyDescent="0.2">
      <c r="B4" t="s">
        <v>91</v>
      </c>
      <c r="C4" t="b">
        <v>0</v>
      </c>
      <c r="D4" t="b">
        <v>1</v>
      </c>
      <c r="E4" t="b">
        <v>1</v>
      </c>
      <c r="F4" t="b">
        <v>0</v>
      </c>
    </row>
    <row r="5" spans="1:6" x14ac:dyDescent="0.2">
      <c r="B5" t="s">
        <v>306</v>
      </c>
      <c r="C5" t="b">
        <v>0</v>
      </c>
      <c r="D5" t="b">
        <v>0</v>
      </c>
      <c r="E5" t="b">
        <v>1</v>
      </c>
      <c r="F5" t="b">
        <v>0</v>
      </c>
    </row>
    <row r="6" spans="1:6" x14ac:dyDescent="0.2">
      <c r="B6" t="s">
        <v>112</v>
      </c>
      <c r="C6" t="b">
        <v>0</v>
      </c>
      <c r="D6" t="b">
        <v>1</v>
      </c>
      <c r="E6" t="b">
        <v>1</v>
      </c>
      <c r="F6" t="b">
        <v>0</v>
      </c>
    </row>
    <row r="7" spans="1:6" x14ac:dyDescent="0.2">
      <c r="B7" t="s">
        <v>307</v>
      </c>
      <c r="C7" t="b">
        <v>0</v>
      </c>
      <c r="D7" t="b">
        <v>0</v>
      </c>
      <c r="E7" t="b">
        <v>0</v>
      </c>
      <c r="F7" t="b">
        <v>0</v>
      </c>
    </row>
    <row r="8" spans="1:6" x14ac:dyDescent="0.2">
      <c r="B8" t="s">
        <v>309</v>
      </c>
      <c r="C8" t="b">
        <v>0</v>
      </c>
      <c r="D8" t="b">
        <v>1</v>
      </c>
      <c r="E8" t="b">
        <v>1</v>
      </c>
      <c r="F8" t="b">
        <v>0</v>
      </c>
    </row>
    <row r="9" spans="1:6" x14ac:dyDescent="0.2">
      <c r="B9" t="s">
        <v>310</v>
      </c>
      <c r="C9" t="b">
        <v>0</v>
      </c>
      <c r="D9" t="b">
        <v>0</v>
      </c>
      <c r="E9" t="b">
        <v>0</v>
      </c>
      <c r="F9" t="b">
        <v>0</v>
      </c>
    </row>
    <row r="10" spans="1:6" x14ac:dyDescent="0.2">
      <c r="B10" t="s">
        <v>102</v>
      </c>
      <c r="C10" t="b">
        <v>0</v>
      </c>
      <c r="D10" t="b">
        <v>1</v>
      </c>
      <c r="E10" t="b">
        <v>1</v>
      </c>
      <c r="F10" t="b">
        <v>0</v>
      </c>
    </row>
  </sheetData>
  <mergeCells count="2">
    <mergeCell ref="C2:D2"/>
    <mergeCell ref="E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38"/>
  <sheetViews>
    <sheetView topLeftCell="A13" workbookViewId="0">
      <selection activeCell="E37" sqref="E37"/>
    </sheetView>
  </sheetViews>
  <sheetFormatPr baseColWidth="10" defaultColWidth="8.83203125" defaultRowHeight="15" x14ac:dyDescent="0.2"/>
  <cols>
    <col min="1" max="1" width="51.6640625" bestFit="1" customWidth="1"/>
    <col min="2" max="2" width="15.33203125" customWidth="1"/>
    <col min="3" max="3" width="17.6640625" customWidth="1"/>
    <col min="4" max="4" width="21.33203125" customWidth="1"/>
    <col min="11" max="56" width="9.1640625"/>
  </cols>
  <sheetData>
    <row r="1" spans="1:56" x14ac:dyDescent="0.2">
      <c r="A1" t="s">
        <v>68</v>
      </c>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row>
    <row r="2" spans="1:56" x14ac:dyDescent="0.2">
      <c r="B2" t="s">
        <v>423</v>
      </c>
      <c r="C2" t="s">
        <v>424</v>
      </c>
      <c r="D2" t="s">
        <v>425</v>
      </c>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x14ac:dyDescent="0.2">
      <c r="B3" t="s">
        <v>394</v>
      </c>
      <c r="C3" t="s">
        <v>394</v>
      </c>
      <c r="D3" t="s">
        <v>394</v>
      </c>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row>
    <row r="4" spans="1:56" x14ac:dyDescent="0.2">
      <c r="A4" t="s">
        <v>393</v>
      </c>
      <c r="B4" s="7">
        <v>2.9189999999999999E-6</v>
      </c>
      <c r="C4" s="7">
        <v>1.8370000000000002E-6</v>
      </c>
      <c r="D4" s="7">
        <v>3.0000000000000001E-6</v>
      </c>
    </row>
    <row r="5" spans="1:56" x14ac:dyDescent="0.2">
      <c r="A5" t="s">
        <v>33</v>
      </c>
      <c r="B5" s="7">
        <v>2.9189999999999999E-6</v>
      </c>
      <c r="C5" s="7">
        <v>1.8370000000000002E-6</v>
      </c>
      <c r="D5" s="7">
        <v>3.0000000000000001E-6</v>
      </c>
    </row>
    <row r="6" spans="1:56" x14ac:dyDescent="0.2">
      <c r="A6" t="s">
        <v>264</v>
      </c>
      <c r="B6" s="7">
        <v>2.9189999999999999E-6</v>
      </c>
      <c r="C6" s="7">
        <v>1.8370000000000002E-6</v>
      </c>
      <c r="D6" s="7">
        <v>3.0000000000000001E-6</v>
      </c>
    </row>
    <row r="7" spans="1:56" x14ac:dyDescent="0.2">
      <c r="A7" t="s">
        <v>265</v>
      </c>
      <c r="B7" s="7">
        <v>2.9189999999999999E-6</v>
      </c>
      <c r="C7" s="7">
        <v>1.8370000000000002E-6</v>
      </c>
      <c r="D7" s="7">
        <v>3.0000000000000001E-6</v>
      </c>
      <c r="I7" t="s">
        <v>781</v>
      </c>
      <c r="J7" t="s">
        <v>775</v>
      </c>
      <c r="K7" t="s">
        <v>783</v>
      </c>
      <c r="L7" t="s">
        <v>779</v>
      </c>
      <c r="M7">
        <v>8.1999999999999993</v>
      </c>
      <c r="P7" t="s">
        <v>775</v>
      </c>
      <c r="Q7" t="s">
        <v>776</v>
      </c>
      <c r="R7" t="s">
        <v>777</v>
      </c>
    </row>
    <row r="8" spans="1:56" x14ac:dyDescent="0.2">
      <c r="A8" t="s">
        <v>271</v>
      </c>
      <c r="B8" s="7">
        <v>5.8379999999999998E-6</v>
      </c>
      <c r="C8" s="7">
        <v>3.6740000000000003E-6</v>
      </c>
      <c r="D8" s="7">
        <v>6.0000000000000002E-6</v>
      </c>
      <c r="I8" t="s">
        <v>781</v>
      </c>
      <c r="J8" t="s">
        <v>775</v>
      </c>
      <c r="K8" t="s">
        <v>783</v>
      </c>
      <c r="L8" t="s">
        <v>780</v>
      </c>
      <c r="M8">
        <v>2.2999999999999998</v>
      </c>
      <c r="O8" t="s">
        <v>393</v>
      </c>
      <c r="P8">
        <v>1</v>
      </c>
    </row>
    <row r="9" spans="1:56" x14ac:dyDescent="0.2">
      <c r="A9" t="s">
        <v>354</v>
      </c>
      <c r="B9" s="7">
        <v>5.8379999999999998E-6</v>
      </c>
      <c r="C9" s="7">
        <v>3.6740000000000003E-6</v>
      </c>
      <c r="D9" s="7">
        <v>6.0000000000000002E-6</v>
      </c>
      <c r="I9" t="s">
        <v>781</v>
      </c>
      <c r="J9" t="s">
        <v>775</v>
      </c>
      <c r="K9" t="s">
        <v>784</v>
      </c>
      <c r="L9" t="s">
        <v>779</v>
      </c>
      <c r="M9">
        <v>11</v>
      </c>
      <c r="O9" t="s">
        <v>33</v>
      </c>
      <c r="P9">
        <v>1</v>
      </c>
    </row>
    <row r="10" spans="1:56" x14ac:dyDescent="0.2">
      <c r="A10" t="s">
        <v>355</v>
      </c>
      <c r="B10" s="7">
        <v>5.8379999999999998E-6</v>
      </c>
      <c r="C10" s="7">
        <v>3.6740000000000003E-6</v>
      </c>
      <c r="D10" s="7">
        <v>6.0000000000000002E-6</v>
      </c>
      <c r="I10" t="s">
        <v>781</v>
      </c>
      <c r="J10" t="s">
        <v>775</v>
      </c>
      <c r="K10" t="s">
        <v>784</v>
      </c>
      <c r="L10" t="s">
        <v>780</v>
      </c>
      <c r="M10">
        <v>1.9</v>
      </c>
      <c r="O10" t="s">
        <v>264</v>
      </c>
      <c r="P10">
        <v>1</v>
      </c>
    </row>
    <row r="11" spans="1:56" x14ac:dyDescent="0.2">
      <c r="A11" t="s">
        <v>356</v>
      </c>
      <c r="B11" s="7">
        <v>5.8379999999999998E-6</v>
      </c>
      <c r="C11" s="7">
        <v>3.6740000000000003E-6</v>
      </c>
      <c r="D11" s="7">
        <v>6.0000000000000002E-6</v>
      </c>
      <c r="I11" t="s">
        <v>781</v>
      </c>
      <c r="J11" t="s">
        <v>776</v>
      </c>
      <c r="K11" t="s">
        <v>783</v>
      </c>
      <c r="L11" t="s">
        <v>779</v>
      </c>
      <c r="M11">
        <v>6.4</v>
      </c>
      <c r="O11" t="s">
        <v>265</v>
      </c>
      <c r="P11">
        <v>1</v>
      </c>
    </row>
    <row r="12" spans="1:56" x14ac:dyDescent="0.2">
      <c r="A12" t="s">
        <v>384</v>
      </c>
      <c r="B12" s="7">
        <v>6.3939999999999993E-6</v>
      </c>
      <c r="C12" s="7">
        <v>6.1789999999999996E-6</v>
      </c>
      <c r="D12" s="7">
        <v>6.0000000000000002E-6</v>
      </c>
      <c r="I12" t="s">
        <v>781</v>
      </c>
      <c r="J12" t="s">
        <v>776</v>
      </c>
      <c r="K12" t="s">
        <v>783</v>
      </c>
      <c r="L12" t="s">
        <v>780</v>
      </c>
      <c r="M12">
        <v>2.2999999999999998</v>
      </c>
      <c r="O12" t="s">
        <v>271</v>
      </c>
      <c r="P12">
        <v>1</v>
      </c>
    </row>
    <row r="13" spans="1:56" x14ac:dyDescent="0.2">
      <c r="A13" t="s">
        <v>385</v>
      </c>
      <c r="B13" s="7">
        <v>6.3939999999999993E-6</v>
      </c>
      <c r="C13" s="7">
        <v>6.1789999999999996E-6</v>
      </c>
      <c r="D13" s="7">
        <v>6.0000000000000002E-6</v>
      </c>
      <c r="I13" t="s">
        <v>781</v>
      </c>
      <c r="J13" t="s">
        <v>776</v>
      </c>
      <c r="K13" t="s">
        <v>784</v>
      </c>
      <c r="L13" t="s">
        <v>779</v>
      </c>
      <c r="M13">
        <v>4.5</v>
      </c>
      <c r="O13" t="s">
        <v>354</v>
      </c>
      <c r="P13">
        <v>0.5</v>
      </c>
      <c r="Q13">
        <v>0.5</v>
      </c>
    </row>
    <row r="14" spans="1:56" x14ac:dyDescent="0.2">
      <c r="A14" t="s">
        <v>386</v>
      </c>
      <c r="B14" s="7">
        <v>6.3939999999999993E-6</v>
      </c>
      <c r="C14" s="7">
        <v>6.1789999999999996E-6</v>
      </c>
      <c r="D14" s="7">
        <v>6.0000000000000002E-6</v>
      </c>
      <c r="I14" t="s">
        <v>781</v>
      </c>
      <c r="J14" t="s">
        <v>776</v>
      </c>
      <c r="K14" t="s">
        <v>784</v>
      </c>
      <c r="L14" t="s">
        <v>780</v>
      </c>
      <c r="M14">
        <v>1.5</v>
      </c>
      <c r="O14" t="s">
        <v>355</v>
      </c>
      <c r="P14">
        <v>0.5</v>
      </c>
      <c r="Q14">
        <v>0.5</v>
      </c>
    </row>
    <row r="15" spans="1:56" x14ac:dyDescent="0.2">
      <c r="A15" t="s">
        <v>345</v>
      </c>
      <c r="B15" s="7">
        <v>6.3939999999999993E-6</v>
      </c>
      <c r="C15" s="7">
        <v>6.1789999999999996E-6</v>
      </c>
      <c r="D15" s="7">
        <v>6.0000000000000002E-6</v>
      </c>
      <c r="I15" t="s">
        <v>781</v>
      </c>
      <c r="J15" t="s">
        <v>777</v>
      </c>
      <c r="K15" t="s">
        <v>783</v>
      </c>
      <c r="L15" t="s">
        <v>779</v>
      </c>
      <c r="M15">
        <v>5.5</v>
      </c>
      <c r="O15" t="s">
        <v>356</v>
      </c>
      <c r="P15">
        <v>0.5</v>
      </c>
      <c r="Q15">
        <v>0.5</v>
      </c>
    </row>
    <row r="16" spans="1:56" x14ac:dyDescent="0.2">
      <c r="A16" t="s">
        <v>346</v>
      </c>
      <c r="B16" s="7">
        <v>6.3939999999999993E-6</v>
      </c>
      <c r="C16" s="7">
        <v>6.1789999999999996E-6</v>
      </c>
      <c r="D16" s="7">
        <v>6.0000000000000002E-6</v>
      </c>
      <c r="I16" t="s">
        <v>781</v>
      </c>
      <c r="J16" t="s">
        <v>777</v>
      </c>
      <c r="K16" t="s">
        <v>783</v>
      </c>
      <c r="L16" t="s">
        <v>780</v>
      </c>
      <c r="M16">
        <v>2.2999999999999998</v>
      </c>
      <c r="O16" t="s">
        <v>384</v>
      </c>
      <c r="P16">
        <v>0.5</v>
      </c>
      <c r="Q16">
        <v>0.5</v>
      </c>
    </row>
    <row r="17" spans="1:18" x14ac:dyDescent="0.2">
      <c r="A17" t="s">
        <v>347</v>
      </c>
      <c r="B17" s="7">
        <v>6.3939999999999993E-6</v>
      </c>
      <c r="C17" s="7">
        <v>6.1789999999999996E-6</v>
      </c>
      <c r="D17" s="7">
        <v>6.0000000000000002E-6</v>
      </c>
      <c r="I17" t="s">
        <v>781</v>
      </c>
      <c r="J17" t="s">
        <v>777</v>
      </c>
      <c r="K17" t="s">
        <v>784</v>
      </c>
      <c r="L17" t="s">
        <v>779</v>
      </c>
      <c r="M17">
        <v>1</v>
      </c>
      <c r="O17" t="s">
        <v>385</v>
      </c>
      <c r="P17">
        <v>0.5</v>
      </c>
      <c r="Q17">
        <v>0.5</v>
      </c>
    </row>
    <row r="18" spans="1:18" x14ac:dyDescent="0.2">
      <c r="A18" t="s">
        <v>383</v>
      </c>
      <c r="B18" s="7">
        <v>6.3939999999999993E-6</v>
      </c>
      <c r="C18" s="7">
        <v>3.0894999999999998E-6</v>
      </c>
      <c r="D18" s="7">
        <v>6.0000000000000002E-6</v>
      </c>
      <c r="I18" t="s">
        <v>781</v>
      </c>
      <c r="J18" t="s">
        <v>777</v>
      </c>
      <c r="K18" t="s">
        <v>784</v>
      </c>
      <c r="L18" t="s">
        <v>780</v>
      </c>
      <c r="M18">
        <v>1.3</v>
      </c>
      <c r="O18" t="s">
        <v>386</v>
      </c>
      <c r="P18">
        <v>0.5</v>
      </c>
      <c r="Q18">
        <v>0.5</v>
      </c>
    </row>
    <row r="19" spans="1:18" x14ac:dyDescent="0.2">
      <c r="A19" t="s">
        <v>344</v>
      </c>
      <c r="B19" s="7">
        <v>6.3939999999999993E-6</v>
      </c>
      <c r="C19" s="7">
        <v>3.0894999999999998E-6</v>
      </c>
      <c r="D19" s="7">
        <v>6.0000000000000002E-6</v>
      </c>
      <c r="I19" t="s">
        <v>782</v>
      </c>
      <c r="J19" t="s">
        <v>775</v>
      </c>
      <c r="K19" t="s">
        <v>783</v>
      </c>
      <c r="L19" t="s">
        <v>779</v>
      </c>
      <c r="M19">
        <v>5.8</v>
      </c>
      <c r="O19" t="s">
        <v>345</v>
      </c>
      <c r="P19">
        <v>0.5</v>
      </c>
      <c r="Q19">
        <v>0.5</v>
      </c>
    </row>
    <row r="20" spans="1:18" x14ac:dyDescent="0.2">
      <c r="A20" t="s">
        <v>413</v>
      </c>
      <c r="B20" s="7">
        <v>7.3669999999999991E-6</v>
      </c>
      <c r="C20" s="7">
        <v>8.3499999999999997E-6</v>
      </c>
      <c r="D20" s="7">
        <v>6.0000000000000002E-6</v>
      </c>
      <c r="I20" t="s">
        <v>782</v>
      </c>
      <c r="J20" t="s">
        <v>775</v>
      </c>
      <c r="K20" t="s">
        <v>783</v>
      </c>
      <c r="L20" t="s">
        <v>780</v>
      </c>
      <c r="M20">
        <v>2.2999999999999998</v>
      </c>
      <c r="O20" t="s">
        <v>346</v>
      </c>
      <c r="P20">
        <v>0.5</v>
      </c>
      <c r="Q20">
        <v>0.5</v>
      </c>
    </row>
    <row r="21" spans="1:18" x14ac:dyDescent="0.2">
      <c r="A21" t="s">
        <v>414</v>
      </c>
      <c r="B21" s="7">
        <v>7.3669999999999991E-6</v>
      </c>
      <c r="C21" s="7">
        <v>8.3499999999999997E-6</v>
      </c>
      <c r="D21" s="7">
        <v>6.0000000000000002E-6</v>
      </c>
      <c r="I21" t="s">
        <v>782</v>
      </c>
      <c r="J21" t="s">
        <v>775</v>
      </c>
      <c r="K21" t="s">
        <v>784</v>
      </c>
      <c r="L21" t="s">
        <v>779</v>
      </c>
      <c r="M21">
        <v>4.2</v>
      </c>
      <c r="O21" t="s">
        <v>347</v>
      </c>
      <c r="P21">
        <v>0.5</v>
      </c>
      <c r="Q21">
        <v>0.5</v>
      </c>
    </row>
    <row r="22" spans="1:18" x14ac:dyDescent="0.2">
      <c r="A22" t="s">
        <v>415</v>
      </c>
      <c r="B22" s="7">
        <v>7.3669999999999991E-6</v>
      </c>
      <c r="C22" s="7">
        <v>8.3499999999999997E-6</v>
      </c>
      <c r="D22" s="7">
        <v>6.0000000000000002E-6</v>
      </c>
      <c r="I22" t="s">
        <v>782</v>
      </c>
      <c r="J22" t="s">
        <v>775</v>
      </c>
      <c r="K22" t="s">
        <v>784</v>
      </c>
      <c r="L22" t="s">
        <v>780</v>
      </c>
      <c r="M22">
        <v>1.9</v>
      </c>
      <c r="O22" t="s">
        <v>383</v>
      </c>
      <c r="P22">
        <v>0.5</v>
      </c>
      <c r="Q22">
        <v>0.5</v>
      </c>
    </row>
    <row r="23" spans="1:18" x14ac:dyDescent="0.2">
      <c r="A23" t="s">
        <v>395</v>
      </c>
      <c r="B23" s="7">
        <v>7.3669999999999991E-6</v>
      </c>
      <c r="C23" s="7">
        <v>8.3499999999999997E-6</v>
      </c>
      <c r="D23" s="7">
        <v>6.0000000000000002E-6</v>
      </c>
      <c r="I23" t="s">
        <v>782</v>
      </c>
      <c r="J23" t="s">
        <v>776</v>
      </c>
      <c r="K23" t="s">
        <v>783</v>
      </c>
      <c r="L23" t="s">
        <v>779</v>
      </c>
      <c r="M23">
        <v>4.5</v>
      </c>
      <c r="O23" t="s">
        <v>344</v>
      </c>
      <c r="P23">
        <v>0.5</v>
      </c>
      <c r="Q23">
        <v>0.5</v>
      </c>
    </row>
    <row r="24" spans="1:18" x14ac:dyDescent="0.2">
      <c r="A24" t="s">
        <v>396</v>
      </c>
      <c r="B24" s="7">
        <v>7.3669999999999991E-6</v>
      </c>
      <c r="C24" s="7">
        <v>8.3499999999999997E-6</v>
      </c>
      <c r="D24" s="7">
        <v>6.0000000000000002E-6</v>
      </c>
      <c r="I24" t="s">
        <v>782</v>
      </c>
      <c r="J24" t="s">
        <v>776</v>
      </c>
      <c r="K24" t="s">
        <v>783</v>
      </c>
      <c r="L24" t="s">
        <v>780</v>
      </c>
      <c r="M24">
        <v>2.2999999999999998</v>
      </c>
      <c r="O24" t="s">
        <v>413</v>
      </c>
      <c r="P24">
        <v>0.5</v>
      </c>
      <c r="Q24">
        <v>0.5</v>
      </c>
    </row>
    <row r="25" spans="1:18" x14ac:dyDescent="0.2">
      <c r="A25" t="s">
        <v>397</v>
      </c>
      <c r="B25" s="7">
        <v>7.3669999999999991E-6</v>
      </c>
      <c r="C25" s="7">
        <v>8.3499999999999997E-6</v>
      </c>
      <c r="D25" s="7">
        <v>6.0000000000000002E-6</v>
      </c>
      <c r="I25" t="s">
        <v>782</v>
      </c>
      <c r="J25" t="s">
        <v>776</v>
      </c>
      <c r="K25" t="s">
        <v>784</v>
      </c>
      <c r="L25" t="s">
        <v>779</v>
      </c>
      <c r="M25">
        <v>1.8</v>
      </c>
      <c r="O25" t="s">
        <v>414</v>
      </c>
      <c r="P25">
        <v>0.5</v>
      </c>
      <c r="Q25">
        <v>0.5</v>
      </c>
    </row>
    <row r="26" spans="1:18" x14ac:dyDescent="0.2">
      <c r="A26" t="s">
        <v>404</v>
      </c>
      <c r="B26" s="7">
        <v>7.3669999999999991E-6</v>
      </c>
      <c r="C26" s="7">
        <v>8.3499999999999997E-6</v>
      </c>
      <c r="D26" s="7">
        <v>6.0000000000000002E-6</v>
      </c>
      <c r="I26" t="s">
        <v>782</v>
      </c>
      <c r="J26" t="s">
        <v>776</v>
      </c>
      <c r="K26" t="s">
        <v>784</v>
      </c>
      <c r="L26" t="s">
        <v>780</v>
      </c>
      <c r="M26">
        <v>1.5</v>
      </c>
      <c r="O26" t="s">
        <v>415</v>
      </c>
      <c r="P26">
        <v>0.5</v>
      </c>
      <c r="Q26">
        <v>0.5</v>
      </c>
    </row>
    <row r="27" spans="1:18" x14ac:dyDescent="0.2">
      <c r="A27" t="s">
        <v>405</v>
      </c>
      <c r="B27" s="7">
        <v>7.3669999999999991E-6</v>
      </c>
      <c r="C27" s="7">
        <v>8.3499999999999997E-6</v>
      </c>
      <c r="D27" s="7">
        <v>6.0000000000000002E-6</v>
      </c>
      <c r="I27" t="s">
        <v>782</v>
      </c>
      <c r="J27" t="s">
        <v>777</v>
      </c>
      <c r="K27" t="s">
        <v>783</v>
      </c>
      <c r="L27" t="s">
        <v>779</v>
      </c>
      <c r="M27">
        <v>3.8</v>
      </c>
      <c r="O27" t="s">
        <v>395</v>
      </c>
      <c r="P27">
        <v>0.33</v>
      </c>
      <c r="Q27">
        <v>0.33</v>
      </c>
      <c r="R27">
        <v>0.33</v>
      </c>
    </row>
    <row r="28" spans="1:18" x14ac:dyDescent="0.2">
      <c r="A28" t="s">
        <v>406</v>
      </c>
      <c r="B28" s="7">
        <v>7.3669999999999991E-6</v>
      </c>
      <c r="C28" s="7">
        <v>8.3499999999999997E-6</v>
      </c>
      <c r="D28" s="7">
        <v>6.0000000000000002E-6</v>
      </c>
      <c r="I28" t="s">
        <v>782</v>
      </c>
      <c r="J28" t="s">
        <v>777</v>
      </c>
      <c r="K28" t="s">
        <v>783</v>
      </c>
      <c r="L28" t="s">
        <v>780</v>
      </c>
      <c r="M28">
        <v>2.2999999999999998</v>
      </c>
      <c r="O28" t="s">
        <v>396</v>
      </c>
      <c r="P28">
        <v>0.33</v>
      </c>
      <c r="Q28">
        <v>0.33</v>
      </c>
      <c r="R28">
        <v>0.33</v>
      </c>
    </row>
    <row r="29" spans="1:18" x14ac:dyDescent="0.2">
      <c r="A29" t="s">
        <v>267</v>
      </c>
      <c r="B29" s="7">
        <v>7.3669999999999991E-6</v>
      </c>
      <c r="C29" s="7">
        <v>4.1749999999999998E-6</v>
      </c>
      <c r="D29" s="7">
        <v>6.0000000000000002E-6</v>
      </c>
      <c r="I29" t="s">
        <v>782</v>
      </c>
      <c r="J29" t="s">
        <v>777</v>
      </c>
      <c r="K29" t="s">
        <v>784</v>
      </c>
      <c r="L29" t="s">
        <v>779</v>
      </c>
      <c r="M29">
        <v>0.4</v>
      </c>
      <c r="O29" t="s">
        <v>397</v>
      </c>
      <c r="P29">
        <v>0.33</v>
      </c>
      <c r="Q29">
        <v>0.33</v>
      </c>
      <c r="R29">
        <v>0.33</v>
      </c>
    </row>
    <row r="30" spans="1:18" x14ac:dyDescent="0.2">
      <c r="A30" t="s">
        <v>268</v>
      </c>
      <c r="B30" s="7">
        <v>7.3669999999999991E-6</v>
      </c>
      <c r="C30" s="7">
        <v>4.1749999999999998E-6</v>
      </c>
      <c r="D30" s="7">
        <v>6.0000000000000002E-6</v>
      </c>
      <c r="I30" t="s">
        <v>782</v>
      </c>
      <c r="J30" t="s">
        <v>777</v>
      </c>
      <c r="K30" t="s">
        <v>784</v>
      </c>
      <c r="L30" t="s">
        <v>780</v>
      </c>
      <c r="M30">
        <v>1.3</v>
      </c>
      <c r="O30" t="s">
        <v>404</v>
      </c>
      <c r="P30">
        <v>0.33</v>
      </c>
      <c r="Q30">
        <v>0.33</v>
      </c>
      <c r="R30">
        <v>0.33</v>
      </c>
    </row>
    <row r="31" spans="1:18" x14ac:dyDescent="0.2">
      <c r="A31" t="s">
        <v>269</v>
      </c>
      <c r="B31" s="7">
        <v>7.3669999999999991E-6</v>
      </c>
      <c r="C31" s="7">
        <v>4.1749999999999998E-6</v>
      </c>
      <c r="D31" s="7">
        <v>6.0000000000000002E-6</v>
      </c>
      <c r="I31" t="s">
        <v>782</v>
      </c>
      <c r="K31" t="s">
        <v>785</v>
      </c>
      <c r="L31" t="s">
        <v>779</v>
      </c>
      <c r="M31">
        <v>5.0999999999999996</v>
      </c>
      <c r="O31" t="s">
        <v>405</v>
      </c>
      <c r="P31">
        <v>0.33</v>
      </c>
      <c r="Q31">
        <v>0.33</v>
      </c>
      <c r="R31">
        <v>0.33</v>
      </c>
    </row>
    <row r="32" spans="1:18" x14ac:dyDescent="0.2">
      <c r="A32" t="s">
        <v>270</v>
      </c>
      <c r="B32" s="7">
        <v>7.3669999999999991E-6</v>
      </c>
      <c r="C32" s="7">
        <v>4.1749999999999998E-6</v>
      </c>
      <c r="D32" s="7">
        <v>6.0000000000000002E-6</v>
      </c>
      <c r="I32" t="s">
        <v>782</v>
      </c>
      <c r="K32" t="s">
        <v>785</v>
      </c>
      <c r="L32" t="s">
        <v>780</v>
      </c>
      <c r="M32">
        <v>1.5</v>
      </c>
      <c r="O32" t="s">
        <v>406</v>
      </c>
      <c r="P32">
        <v>0.33</v>
      </c>
      <c r="Q32">
        <v>0.33</v>
      </c>
      <c r="R32">
        <v>0.33</v>
      </c>
    </row>
    <row r="33" spans="9:18" x14ac:dyDescent="0.2">
      <c r="I33" t="s">
        <v>782</v>
      </c>
      <c r="K33" t="s">
        <v>786</v>
      </c>
      <c r="L33" t="s">
        <v>779</v>
      </c>
      <c r="M33">
        <v>8.1999999999999993</v>
      </c>
      <c r="O33" t="s">
        <v>267</v>
      </c>
      <c r="P33">
        <v>0.33</v>
      </c>
      <c r="Q33">
        <v>0.33</v>
      </c>
      <c r="R33">
        <v>0.33</v>
      </c>
    </row>
    <row r="34" spans="9:18" x14ac:dyDescent="0.2">
      <c r="I34" t="s">
        <v>782</v>
      </c>
      <c r="K34" t="s">
        <v>786</v>
      </c>
      <c r="L34" t="s">
        <v>780</v>
      </c>
      <c r="M34">
        <v>1.1000000000000001</v>
      </c>
      <c r="O34" t="s">
        <v>268</v>
      </c>
      <c r="P34">
        <v>0.33</v>
      </c>
      <c r="Q34">
        <v>0.33</v>
      </c>
      <c r="R34">
        <v>0.33</v>
      </c>
    </row>
    <row r="35" spans="9:18" x14ac:dyDescent="0.2">
      <c r="I35" t="s">
        <v>781</v>
      </c>
      <c r="K35" t="s">
        <v>785</v>
      </c>
      <c r="L35" t="s">
        <v>779</v>
      </c>
      <c r="M35">
        <v>5.0999999999999996</v>
      </c>
      <c r="O35" t="s">
        <v>269</v>
      </c>
      <c r="P35">
        <v>0.33</v>
      </c>
      <c r="Q35">
        <v>0.33</v>
      </c>
      <c r="R35">
        <v>0.33</v>
      </c>
    </row>
    <row r="36" spans="9:18" x14ac:dyDescent="0.2">
      <c r="I36" t="s">
        <v>781</v>
      </c>
      <c r="K36" t="s">
        <v>785</v>
      </c>
      <c r="L36" t="s">
        <v>780</v>
      </c>
      <c r="M36">
        <v>1.5</v>
      </c>
      <c r="O36" t="s">
        <v>270</v>
      </c>
      <c r="P36">
        <v>0.33</v>
      </c>
      <c r="Q36">
        <v>0.33</v>
      </c>
      <c r="R36">
        <v>0.33</v>
      </c>
    </row>
    <row r="37" spans="9:18" x14ac:dyDescent="0.2">
      <c r="I37" t="s">
        <v>781</v>
      </c>
      <c r="K37" t="s">
        <v>786</v>
      </c>
      <c r="L37" t="s">
        <v>779</v>
      </c>
      <c r="M37">
        <v>8.1999999999999993</v>
      </c>
    </row>
    <row r="38" spans="9:18" x14ac:dyDescent="0.2">
      <c r="I38" t="s">
        <v>781</v>
      </c>
      <c r="K38" t="s">
        <v>786</v>
      </c>
      <c r="L38" t="s">
        <v>780</v>
      </c>
      <c r="M38">
        <v>1.1000000000000001</v>
      </c>
    </row>
  </sheetData>
  <mergeCells count="32">
    <mergeCell ref="I1:AF1"/>
    <mergeCell ref="AG1:BD1"/>
    <mergeCell ref="Y2:AF2"/>
    <mergeCell ref="Q2:X2"/>
    <mergeCell ref="I2:P2"/>
    <mergeCell ref="AG2:AN2"/>
    <mergeCell ref="AO2:AV2"/>
    <mergeCell ref="AW2:BD2"/>
    <mergeCell ref="AE3:AF3"/>
    <mergeCell ref="I3:J3"/>
    <mergeCell ref="K3:L3"/>
    <mergeCell ref="O3:P3"/>
    <mergeCell ref="M3:N3"/>
    <mergeCell ref="Q3:R3"/>
    <mergeCell ref="S3:T3"/>
    <mergeCell ref="U3:V3"/>
    <mergeCell ref="W3:X3"/>
    <mergeCell ref="Y3:Z3"/>
    <mergeCell ref="AA3:AB3"/>
    <mergeCell ref="AC3:AD3"/>
    <mergeCell ref="BC3:BD3"/>
    <mergeCell ref="AG3:AH3"/>
    <mergeCell ref="AI3:AJ3"/>
    <mergeCell ref="AK3:AL3"/>
    <mergeCell ref="AM3:AN3"/>
    <mergeCell ref="AO3:AP3"/>
    <mergeCell ref="AQ3:AR3"/>
    <mergeCell ref="AS3:AT3"/>
    <mergeCell ref="AU3:AV3"/>
    <mergeCell ref="AW3:AX3"/>
    <mergeCell ref="AY3:AZ3"/>
    <mergeCell ref="BA3:B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
  <sheetViews>
    <sheetView workbookViewId="0">
      <selection activeCell="C6" sqref="C6"/>
    </sheetView>
  </sheetViews>
  <sheetFormatPr baseColWidth="10" defaultColWidth="8.83203125" defaultRowHeight="15" x14ac:dyDescent="0.2"/>
  <cols>
    <col min="1" max="1" width="31" bestFit="1" customWidth="1"/>
  </cols>
  <sheetData>
    <row r="1" spans="1:4" x14ac:dyDescent="0.2">
      <c r="A1" t="s">
        <v>68</v>
      </c>
      <c r="B1" t="s">
        <v>426</v>
      </c>
    </row>
    <row r="2" spans="1:4" x14ac:dyDescent="0.2">
      <c r="B2" t="s">
        <v>43</v>
      </c>
      <c r="C2" t="s">
        <v>44</v>
      </c>
      <c r="D2" t="s">
        <v>45</v>
      </c>
    </row>
    <row r="3" spans="1:4" x14ac:dyDescent="0.2">
      <c r="A3" s="18">
        <v>2020</v>
      </c>
      <c r="B3">
        <v>0.2</v>
      </c>
      <c r="C3">
        <v>0.15</v>
      </c>
      <c r="D3">
        <v>0.23</v>
      </c>
    </row>
    <row r="4" spans="1:4" x14ac:dyDescent="0.2">
      <c r="A4" s="18">
        <v>2030</v>
      </c>
      <c r="B4">
        <v>0.3</v>
      </c>
      <c r="C4">
        <v>0.18</v>
      </c>
      <c r="D4">
        <v>0.3</v>
      </c>
    </row>
    <row r="5" spans="1:4" x14ac:dyDescent="0.2">
      <c r="A5" s="18">
        <v>2040</v>
      </c>
      <c r="B5">
        <v>0.4</v>
      </c>
      <c r="C5">
        <v>0.18</v>
      </c>
      <c r="D5">
        <v>0.4</v>
      </c>
    </row>
    <row r="6" spans="1:4" x14ac:dyDescent="0.2">
      <c r="A6" s="18">
        <v>2050</v>
      </c>
      <c r="B6">
        <v>0.5</v>
      </c>
      <c r="C6">
        <v>0.2</v>
      </c>
      <c r="D6">
        <v>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126"/>
  <sheetViews>
    <sheetView topLeftCell="A19" zoomScale="70" zoomScaleNormal="70" workbookViewId="0">
      <selection activeCell="A9" sqref="A9"/>
    </sheetView>
  </sheetViews>
  <sheetFormatPr baseColWidth="10" defaultColWidth="8.83203125" defaultRowHeight="15" x14ac:dyDescent="0.2"/>
  <cols>
    <col min="1" max="1" width="8.6640625" bestFit="1" customWidth="1"/>
    <col min="2" max="2" width="15.5" bestFit="1" customWidth="1"/>
    <col min="3" max="4" width="23.33203125" bestFit="1" customWidth="1"/>
    <col min="5" max="5" width="27.33203125" bestFit="1" customWidth="1"/>
    <col min="6" max="6" width="28.5" bestFit="1" customWidth="1"/>
    <col min="7" max="7" width="32.5" bestFit="1" customWidth="1"/>
    <col min="8" max="8" width="28.5" bestFit="1" customWidth="1"/>
    <col min="19" max="19" width="32.5" bestFit="1" customWidth="1"/>
    <col min="20" max="20" width="20" bestFit="1" customWidth="1"/>
    <col min="21" max="40" width="11.33203125" bestFit="1" customWidth="1"/>
  </cols>
  <sheetData>
    <row r="1" spans="1:40" x14ac:dyDescent="0.2">
      <c r="A1" t="s">
        <v>68</v>
      </c>
    </row>
    <row r="2" spans="1:40" x14ac:dyDescent="0.2">
      <c r="B2" t="s">
        <v>49</v>
      </c>
      <c r="C2" t="s">
        <v>51</v>
      </c>
      <c r="D2" t="s">
        <v>53</v>
      </c>
      <c r="E2" t="s">
        <v>54</v>
      </c>
    </row>
    <row r="3" spans="1:40" x14ac:dyDescent="0.2">
      <c r="A3" t="s">
        <v>46</v>
      </c>
      <c r="B3">
        <v>0.75</v>
      </c>
      <c r="C3" s="3">
        <f>42.6/3.6</f>
        <v>11.833333333333334</v>
      </c>
      <c r="D3">
        <v>3.14</v>
      </c>
      <c r="E3" s="7">
        <v>1.5999999999999999E-5</v>
      </c>
    </row>
    <row r="4" spans="1:40" x14ac:dyDescent="0.2">
      <c r="A4" t="s">
        <v>47</v>
      </c>
      <c r="B4">
        <v>0.85</v>
      </c>
      <c r="C4" s="3">
        <f>43/3.6</f>
        <v>11.944444444444445</v>
      </c>
      <c r="D4">
        <v>3.15</v>
      </c>
      <c r="E4" s="7">
        <v>8.8500000000000004E-4</v>
      </c>
    </row>
    <row r="5" spans="1:40" x14ac:dyDescent="0.2">
      <c r="A5" t="s">
        <v>48</v>
      </c>
      <c r="C5" s="3">
        <f>47.5/3.6</f>
        <v>13.194444444444445</v>
      </c>
      <c r="D5">
        <v>2.68</v>
      </c>
      <c r="E5" s="7">
        <v>0</v>
      </c>
    </row>
    <row r="8" spans="1:40" x14ac:dyDescent="0.2">
      <c r="A8" t="s">
        <v>379</v>
      </c>
      <c r="B8" t="s">
        <v>380</v>
      </c>
    </row>
    <row r="9" spans="1:40" x14ac:dyDescent="0.2">
      <c r="A9" t="s">
        <v>377</v>
      </c>
      <c r="C9" t="s">
        <v>370</v>
      </c>
      <c r="D9" t="s">
        <v>371</v>
      </c>
      <c r="E9" t="s">
        <v>372</v>
      </c>
      <c r="F9" t="s">
        <v>373</v>
      </c>
      <c r="G9" t="s">
        <v>374</v>
      </c>
      <c r="H9" t="s">
        <v>375</v>
      </c>
    </row>
    <row r="10" spans="1:40" x14ac:dyDescent="0.2">
      <c r="A10" t="s">
        <v>139</v>
      </c>
      <c r="B10" t="s">
        <v>57</v>
      </c>
      <c r="C10" s="7">
        <v>3.9046610243035027</v>
      </c>
      <c r="D10" s="7">
        <v>4.2084239598411006</v>
      </c>
      <c r="E10" s="7">
        <v>2.9087081117400646</v>
      </c>
      <c r="F10" s="7">
        <v>0.68464461685761435</v>
      </c>
      <c r="G10" s="7">
        <v>0.14864762347812063</v>
      </c>
      <c r="H10" s="7">
        <v>0.14884277886536898</v>
      </c>
      <c r="I10" s="6"/>
      <c r="T10" s="7"/>
      <c r="U10" s="7"/>
      <c r="V10" s="7"/>
      <c r="W10" s="7"/>
      <c r="X10" s="7"/>
      <c r="Y10" s="7"/>
      <c r="Z10" s="7"/>
      <c r="AA10" s="7"/>
      <c r="AB10" s="7"/>
      <c r="AC10" s="7"/>
      <c r="AD10" s="7"/>
      <c r="AE10" s="7"/>
      <c r="AF10" s="7"/>
      <c r="AG10" s="7"/>
      <c r="AH10" s="7"/>
      <c r="AI10" s="7"/>
      <c r="AJ10" s="7"/>
      <c r="AK10" s="7"/>
      <c r="AL10" s="7"/>
      <c r="AM10" s="7"/>
      <c r="AN10" s="7"/>
    </row>
    <row r="11" spans="1:40" x14ac:dyDescent="0.2">
      <c r="A11" t="s">
        <v>139</v>
      </c>
      <c r="B11" t="s">
        <v>60</v>
      </c>
      <c r="C11" s="7">
        <v>0.44542695334279203</v>
      </c>
      <c r="D11" s="7">
        <v>0.44542695334279203</v>
      </c>
      <c r="E11" s="7">
        <v>6.984516274842606E-2</v>
      </c>
      <c r="F11" s="7">
        <v>9.3107814878702483E-2</v>
      </c>
      <c r="G11" s="7">
        <v>1.761857873999224E-2</v>
      </c>
      <c r="H11" s="7">
        <v>1.577375406699133E-2</v>
      </c>
      <c r="I11" s="6"/>
      <c r="T11" s="7"/>
      <c r="U11" s="7"/>
      <c r="V11" s="7"/>
      <c r="W11" s="7"/>
      <c r="X11" s="7"/>
      <c r="Y11" s="7"/>
      <c r="Z11" s="7"/>
      <c r="AA11" s="7"/>
      <c r="AB11" s="7"/>
      <c r="AC11" s="7"/>
      <c r="AD11" s="7"/>
      <c r="AE11" s="7"/>
      <c r="AF11" s="7"/>
      <c r="AG11" s="7"/>
      <c r="AH11" s="7"/>
      <c r="AI11" s="7"/>
      <c r="AJ11" s="7"/>
      <c r="AK11" s="7"/>
      <c r="AL11" s="7"/>
      <c r="AM11" s="7"/>
      <c r="AN11" s="7"/>
    </row>
    <row r="12" spans="1:40" x14ac:dyDescent="0.2">
      <c r="A12" t="s">
        <v>139</v>
      </c>
      <c r="B12" t="s">
        <v>376</v>
      </c>
      <c r="C12" s="7">
        <v>2.1891509709100943</v>
      </c>
      <c r="D12" s="7">
        <v>1.7638828611574571</v>
      </c>
      <c r="E12" s="7">
        <v>0.86889040162410291</v>
      </c>
      <c r="F12" s="7">
        <v>6.3460278570138265E-2</v>
      </c>
      <c r="G12" s="7">
        <v>6.5178455729151596E-2</v>
      </c>
      <c r="H12" s="7">
        <v>6.5377641840979273E-2</v>
      </c>
      <c r="I12" s="6"/>
      <c r="T12" s="7"/>
      <c r="U12" s="7"/>
      <c r="V12" s="7"/>
      <c r="W12" s="7"/>
      <c r="X12" s="7"/>
      <c r="Y12" s="7"/>
      <c r="Z12" s="7"/>
      <c r="AA12" s="7"/>
      <c r="AB12" s="7"/>
      <c r="AC12" s="7"/>
      <c r="AD12" s="7"/>
      <c r="AE12" s="7"/>
      <c r="AF12" s="7"/>
      <c r="AG12" s="7"/>
      <c r="AH12" s="7"/>
      <c r="AI12" s="7"/>
      <c r="AJ12" s="7"/>
      <c r="AK12" s="7"/>
      <c r="AL12" s="7"/>
      <c r="AM12" s="7"/>
      <c r="AN12" s="7"/>
    </row>
    <row r="13" spans="1:40" x14ac:dyDescent="0.2">
      <c r="A13" t="s">
        <v>139</v>
      </c>
      <c r="B13" t="s">
        <v>62</v>
      </c>
      <c r="C13" s="7">
        <v>1.3953205227272419E-2</v>
      </c>
      <c r="D13" s="7">
        <v>9.2280040077986746E-3</v>
      </c>
      <c r="E13" s="7">
        <v>1.0464632968199748E-2</v>
      </c>
      <c r="F13" s="7">
        <v>4.3633358248302487E-3</v>
      </c>
      <c r="G13" s="7">
        <v>1.1133692009041535E-3</v>
      </c>
      <c r="H13" s="7">
        <v>1.1148309127867171E-3</v>
      </c>
      <c r="I13" s="4"/>
      <c r="T13" s="7"/>
      <c r="U13" s="7"/>
      <c r="V13" s="7"/>
      <c r="W13" s="7"/>
      <c r="X13" s="7"/>
      <c r="Y13" s="7"/>
      <c r="Z13" s="7"/>
      <c r="AA13" s="7"/>
      <c r="AB13" s="7"/>
      <c r="AC13" s="7"/>
      <c r="AD13" s="7"/>
      <c r="AE13" s="7"/>
      <c r="AF13" s="7"/>
      <c r="AG13" s="7"/>
      <c r="AH13" s="7"/>
      <c r="AI13" s="7"/>
      <c r="AJ13" s="7"/>
      <c r="AK13" s="7"/>
      <c r="AL13" s="7"/>
      <c r="AM13" s="7"/>
      <c r="AN13" s="7"/>
    </row>
    <row r="14" spans="1:40" x14ac:dyDescent="0.2">
      <c r="A14" t="s">
        <v>139</v>
      </c>
      <c r="B14" t="s">
        <v>56</v>
      </c>
      <c r="C14" s="7">
        <v>2.660963315309357E-2</v>
      </c>
      <c r="D14" s="7">
        <v>2.660963315309357E-2</v>
      </c>
      <c r="E14" s="7">
        <v>1.0791652748455985E-2</v>
      </c>
      <c r="F14" s="7">
        <v>4.8869361238098791E-2</v>
      </c>
      <c r="G14" s="7">
        <v>1.480781037202524E-2</v>
      </c>
      <c r="H14" s="7">
        <v>8.4727149371790506E-3</v>
      </c>
      <c r="I14" s="5"/>
      <c r="T14" s="7"/>
      <c r="U14" s="7"/>
      <c r="V14" s="7"/>
      <c r="W14" s="7"/>
      <c r="X14" s="7"/>
      <c r="Y14" s="7"/>
      <c r="Z14" s="7"/>
      <c r="AA14" s="7"/>
      <c r="AB14" s="7"/>
      <c r="AC14" s="7"/>
      <c r="AD14" s="7"/>
      <c r="AE14" s="7"/>
      <c r="AF14" s="7"/>
      <c r="AG14" s="7"/>
      <c r="AH14" s="7"/>
      <c r="AI14" s="7"/>
      <c r="AJ14" s="7"/>
      <c r="AK14" s="7"/>
      <c r="AL14" s="7"/>
      <c r="AM14" s="7"/>
      <c r="AN14" s="7"/>
    </row>
    <row r="15" spans="1:40" x14ac:dyDescent="0.2">
      <c r="A15" t="s">
        <v>139</v>
      </c>
      <c r="B15" t="s">
        <v>59</v>
      </c>
      <c r="C15" s="7">
        <v>1.350057491278213E-3</v>
      </c>
      <c r="D15" s="7">
        <v>1.350057491278213E-3</v>
      </c>
      <c r="E15" s="7">
        <v>1.744105494699958E-3</v>
      </c>
      <c r="F15" s="7">
        <v>1.7453343299320993E-3</v>
      </c>
      <c r="G15" s="7">
        <v>4.4534768036166134E-4</v>
      </c>
      <c r="H15" s="7">
        <v>4.4593236511468687E-4</v>
      </c>
      <c r="I15" s="5"/>
      <c r="T15" s="7"/>
      <c r="U15" s="7"/>
      <c r="V15" s="7"/>
      <c r="W15" s="7"/>
      <c r="X15" s="7"/>
      <c r="Y15" s="7"/>
      <c r="Z15" s="7"/>
      <c r="AA15" s="7"/>
      <c r="AB15" s="7"/>
      <c r="AC15" s="7"/>
      <c r="AD15" s="7"/>
      <c r="AE15" s="7"/>
      <c r="AF15" s="7"/>
      <c r="AG15" s="7"/>
      <c r="AH15" s="7"/>
      <c r="AI15" s="7"/>
      <c r="AJ15" s="7"/>
      <c r="AK15" s="7"/>
      <c r="AL15" s="7"/>
      <c r="AM15" s="7"/>
      <c r="AN15" s="7"/>
    </row>
    <row r="16" spans="1:40" x14ac:dyDescent="0.2">
      <c r="A16" t="s">
        <v>139</v>
      </c>
      <c r="B16" t="s">
        <v>58</v>
      </c>
      <c r="C16" s="7">
        <v>1.350057491278213E-3</v>
      </c>
      <c r="D16" s="7">
        <v>1.350057491278213E-3</v>
      </c>
      <c r="E16" s="7">
        <v>1.744105494699958E-3</v>
      </c>
      <c r="F16" s="7">
        <v>1.7453343299320993E-3</v>
      </c>
      <c r="G16" s="7">
        <v>4.4534768036166134E-4</v>
      </c>
      <c r="H16" s="7">
        <v>4.4593236511468687E-4</v>
      </c>
      <c r="I16" s="5"/>
    </row>
    <row r="17" spans="1:10" x14ac:dyDescent="0.2">
      <c r="A17" t="s">
        <v>139</v>
      </c>
      <c r="B17" t="s">
        <v>368</v>
      </c>
      <c r="C17" s="7">
        <v>0.99037189923972668</v>
      </c>
      <c r="D17" s="7">
        <v>0.79798060638763357</v>
      </c>
      <c r="E17" s="7">
        <v>0.39308601769474416</v>
      </c>
      <c r="F17" s="7">
        <v>2.8709430025130551E-2</v>
      </c>
      <c r="G17" s="7">
        <v>2.9486733371868183E-2</v>
      </c>
      <c r="H17" s="7">
        <v>2.9576845168859025E-2</v>
      </c>
      <c r="I17" s="5"/>
    </row>
    <row r="18" spans="1:10" x14ac:dyDescent="0.2">
      <c r="A18" t="s">
        <v>139</v>
      </c>
      <c r="B18" t="s">
        <v>316</v>
      </c>
      <c r="C18" s="7">
        <v>6.9833915972032007E-2</v>
      </c>
      <c r="D18" s="7">
        <v>5.6267863270922876E-2</v>
      </c>
      <c r="E18" s="7">
        <v>2.7717603811808881E-2</v>
      </c>
      <c r="F18" s="7">
        <v>2.0243828863874104E-3</v>
      </c>
      <c r="G18" s="7">
        <v>2.0791927377599357E-3</v>
      </c>
      <c r="H18" s="7">
        <v>2.0855467747272387E-3</v>
      </c>
      <c r="I18" s="5"/>
    </row>
    <row r="19" spans="1:10" x14ac:dyDescent="0.2">
      <c r="A19" t="s">
        <v>139</v>
      </c>
      <c r="B19" t="s">
        <v>317</v>
      </c>
      <c r="C19" s="7">
        <v>1.4229481310915611E-2</v>
      </c>
      <c r="D19" s="7">
        <v>1.1465238597523471E-2</v>
      </c>
      <c r="E19" s="7">
        <v>5.6477876105566691E-3</v>
      </c>
      <c r="F19" s="7">
        <v>4.124918107058987E-4</v>
      </c>
      <c r="G19" s="7">
        <v>4.2365996223948536E-4</v>
      </c>
      <c r="H19" s="7">
        <v>4.2495467196636527E-4</v>
      </c>
      <c r="I19" s="5"/>
    </row>
    <row r="20" spans="1:10" x14ac:dyDescent="0.2">
      <c r="A20" t="s">
        <v>139</v>
      </c>
      <c r="B20" t="s">
        <v>318</v>
      </c>
      <c r="C20" s="7">
        <v>0.11471151087568894</v>
      </c>
      <c r="D20" s="7">
        <v>9.2427461924650761E-2</v>
      </c>
      <c r="E20" s="7">
        <v>4.5529857045102998E-2</v>
      </c>
      <c r="F20" s="7">
        <v>3.3253185970752454E-3</v>
      </c>
      <c r="G20" s="7">
        <v>3.4153510802075438E-3</v>
      </c>
      <c r="H20" s="7">
        <v>3.4257884324673141E-3</v>
      </c>
      <c r="I20" s="5"/>
    </row>
    <row r="21" spans="1:10" x14ac:dyDescent="0.2">
      <c r="A21" t="s">
        <v>139</v>
      </c>
      <c r="B21" t="s">
        <v>319</v>
      </c>
      <c r="C21" s="7">
        <v>4.7066745874567023E-2</v>
      </c>
      <c r="D21" s="7">
        <v>3.7923481514885324E-2</v>
      </c>
      <c r="E21" s="7">
        <v>1.8681143634918213E-2</v>
      </c>
      <c r="F21" s="7">
        <v>1.3643959892579726E-3</v>
      </c>
      <c r="G21" s="7">
        <v>1.4013367981767593E-3</v>
      </c>
      <c r="H21" s="7">
        <v>1.4056192995810543E-3</v>
      </c>
      <c r="I21" s="5"/>
    </row>
    <row r="22" spans="1:10" x14ac:dyDescent="0.2">
      <c r="A22" t="s">
        <v>139</v>
      </c>
      <c r="B22" t="s">
        <v>320</v>
      </c>
      <c r="C22" s="7">
        <v>3.524533063165252E-2</v>
      </c>
      <c r="D22" s="7">
        <v>2.8398514064635057E-2</v>
      </c>
      <c r="E22" s="7">
        <v>1.3989135466148057E-2</v>
      </c>
      <c r="F22" s="7">
        <v>1.0217104849792259E-3</v>
      </c>
      <c r="G22" s="7">
        <v>1.0493731372393407E-3</v>
      </c>
      <c r="H22" s="7">
        <v>1.0525800336397663E-3</v>
      </c>
    </row>
    <row r="23" spans="1:10" x14ac:dyDescent="0.2">
      <c r="A23" t="s">
        <v>139</v>
      </c>
      <c r="B23" t="s">
        <v>321</v>
      </c>
      <c r="C23" s="7">
        <v>2.4956321068375076E-2</v>
      </c>
      <c r="D23" s="7">
        <v>2.0108264617195011E-2</v>
      </c>
      <c r="E23" s="7">
        <v>9.9053505785147728E-3</v>
      </c>
      <c r="F23" s="7">
        <v>7.234471756995762E-4</v>
      </c>
      <c r="G23" s="7">
        <v>7.4303439531232817E-4</v>
      </c>
      <c r="H23" s="7">
        <v>7.453051169871637E-4</v>
      </c>
      <c r="I23" s="7"/>
      <c r="J23" s="15"/>
    </row>
    <row r="24" spans="1:10" x14ac:dyDescent="0.2">
      <c r="A24" t="s">
        <v>139</v>
      </c>
      <c r="B24" t="s">
        <v>322</v>
      </c>
      <c r="C24" s="7">
        <v>1.6199717184734699E-2</v>
      </c>
      <c r="D24" s="7">
        <v>1.3052733172565183E-2</v>
      </c>
      <c r="E24" s="7">
        <v>6.4297889720183622E-3</v>
      </c>
      <c r="F24" s="7">
        <v>4.696060614190232E-4</v>
      </c>
      <c r="G24" s="7">
        <v>4.8232057239572186E-4</v>
      </c>
      <c r="H24" s="7">
        <v>4.8379454962324666E-4</v>
      </c>
      <c r="I24" s="7"/>
      <c r="J24" s="15"/>
    </row>
    <row r="25" spans="1:10" x14ac:dyDescent="0.2">
      <c r="A25" t="s">
        <v>139</v>
      </c>
      <c r="B25" t="s">
        <v>323</v>
      </c>
      <c r="C25" s="7">
        <v>0.15980802087643686</v>
      </c>
      <c r="D25" s="7">
        <v>0.12876344886449437</v>
      </c>
      <c r="E25" s="7">
        <v>6.3428999318559512E-2</v>
      </c>
      <c r="F25" s="7">
        <v>4.6326003356200931E-3</v>
      </c>
      <c r="G25" s="7">
        <v>4.7580272682280662E-3</v>
      </c>
      <c r="H25" s="7">
        <v>4.7725678543914865E-3</v>
      </c>
      <c r="I25" s="7"/>
      <c r="J25" s="15"/>
    </row>
    <row r="26" spans="1:10" x14ac:dyDescent="0.2">
      <c r="A26" t="s">
        <v>139</v>
      </c>
      <c r="B26" t="s">
        <v>324</v>
      </c>
      <c r="C26" s="7">
        <v>8.362556708876559E-2</v>
      </c>
      <c r="D26" s="7">
        <v>6.7380325296214863E-2</v>
      </c>
      <c r="E26" s="7">
        <v>3.3191613342040731E-2</v>
      </c>
      <c r="F26" s="7">
        <v>2.4241826413792817E-3</v>
      </c>
      <c r="G26" s="7">
        <v>2.4898170088535907E-3</v>
      </c>
      <c r="H26" s="7">
        <v>2.4974259183254081E-3</v>
      </c>
      <c r="I26" s="7"/>
      <c r="J26" s="15"/>
    </row>
    <row r="27" spans="1:10" x14ac:dyDescent="0.2">
      <c r="A27" t="s">
        <v>139</v>
      </c>
      <c r="B27" t="s">
        <v>325</v>
      </c>
      <c r="C27" s="7">
        <v>2.4080660680011038E-3</v>
      </c>
      <c r="D27" s="7">
        <v>1.9402711472732029E-3</v>
      </c>
      <c r="E27" s="7">
        <v>9.5577944178651321E-4</v>
      </c>
      <c r="F27" s="7">
        <v>6.9806306427152101E-5</v>
      </c>
      <c r="G27" s="7">
        <v>7.1696301302066765E-5</v>
      </c>
      <c r="H27" s="7">
        <v>7.1915406025077199E-5</v>
      </c>
      <c r="I27" s="7"/>
      <c r="J27" s="15"/>
    </row>
    <row r="28" spans="1:10" x14ac:dyDescent="0.2">
      <c r="A28" t="s">
        <v>139</v>
      </c>
      <c r="B28" t="s">
        <v>55</v>
      </c>
      <c r="C28" s="7">
        <v>0.12281136946805628</v>
      </c>
      <c r="D28" s="7">
        <v>9.8953828510933331E-2</v>
      </c>
      <c r="E28" s="7">
        <v>4.8744751531112171E-2</v>
      </c>
      <c r="F28" s="7">
        <v>3.5601216277847563E-3</v>
      </c>
      <c r="G28" s="7">
        <v>3.6565113664054042E-3</v>
      </c>
      <c r="H28" s="7">
        <v>3.6676857072789372E-3</v>
      </c>
      <c r="I28" s="7"/>
      <c r="J28" s="15"/>
    </row>
    <row r="29" spans="1:10" x14ac:dyDescent="0.2">
      <c r="A29" t="s">
        <v>139</v>
      </c>
      <c r="B29" t="s">
        <v>326</v>
      </c>
      <c r="C29" s="7">
        <v>0.24036877660592834</v>
      </c>
      <c r="D29" s="7">
        <v>0.19367433815508878</v>
      </c>
      <c r="E29" s="7">
        <v>9.5404166098326498E-2</v>
      </c>
      <c r="F29" s="7">
        <v>6.9679385870011811E-3</v>
      </c>
      <c r="G29" s="7">
        <v>7.1565944390608446E-3</v>
      </c>
      <c r="H29" s="7">
        <v>7.1784650741395237E-3</v>
      </c>
      <c r="I29" s="7"/>
      <c r="J29" s="15"/>
    </row>
    <row r="30" spans="1:10" x14ac:dyDescent="0.2">
      <c r="A30" t="s">
        <v>139</v>
      </c>
      <c r="B30" t="s">
        <v>327</v>
      </c>
      <c r="C30" s="7">
        <v>0.11887089772041812</v>
      </c>
      <c r="D30" s="7">
        <v>9.5778839360849924E-2</v>
      </c>
      <c r="E30" s="7">
        <v>4.7180748808188788E-2</v>
      </c>
      <c r="F30" s="7">
        <v>3.4458931263585076E-3</v>
      </c>
      <c r="G30" s="7">
        <v>3.5391901460929318E-3</v>
      </c>
      <c r="H30" s="7">
        <v>3.5500059519651744E-3</v>
      </c>
      <c r="I30" s="7"/>
      <c r="J30" s="15"/>
    </row>
    <row r="31" spans="1:10" x14ac:dyDescent="0.2">
      <c r="A31" t="s">
        <v>139</v>
      </c>
      <c r="B31" t="s">
        <v>328</v>
      </c>
      <c r="C31" s="7">
        <v>4.9474811942568128E-2</v>
      </c>
      <c r="D31" s="7">
        <v>3.9863752662158525E-2</v>
      </c>
      <c r="E31" s="7">
        <v>1.9636923076704723E-2</v>
      </c>
      <c r="F31" s="7">
        <v>1.4342022956851247E-3</v>
      </c>
      <c r="G31" s="7">
        <v>1.4730330994788259E-3</v>
      </c>
      <c r="H31" s="7">
        <v>1.4775347056061314E-3</v>
      </c>
      <c r="I31" s="7"/>
      <c r="J31" s="15"/>
    </row>
    <row r="32" spans="1:10" x14ac:dyDescent="0.2">
      <c r="A32" t="s">
        <v>139</v>
      </c>
      <c r="B32" t="s">
        <v>329</v>
      </c>
      <c r="C32" s="7">
        <v>3.7215566505471608E-2</v>
      </c>
      <c r="D32" s="7">
        <v>2.9986008639676771E-2</v>
      </c>
      <c r="E32" s="7">
        <v>1.4771136827609751E-2</v>
      </c>
      <c r="F32" s="7">
        <v>1.0788247356923505E-3</v>
      </c>
      <c r="G32" s="7">
        <v>1.1080337473955773E-3</v>
      </c>
      <c r="H32" s="7">
        <v>1.1114199112966477E-3</v>
      </c>
      <c r="I32" s="7"/>
      <c r="J32" s="15"/>
    </row>
    <row r="33" spans="1:10" x14ac:dyDescent="0.2">
      <c r="A33" t="s">
        <v>139</v>
      </c>
      <c r="B33" t="s">
        <v>330</v>
      </c>
      <c r="C33" s="7">
        <v>1.6418632281825708E-2</v>
      </c>
      <c r="D33" s="7">
        <v>1.3229121458680928E-2</v>
      </c>
      <c r="E33" s="7">
        <v>6.5166780121807717E-3</v>
      </c>
      <c r="F33" s="7">
        <v>4.7595208927603695E-4</v>
      </c>
      <c r="G33" s="7">
        <v>4.8883841796863693E-4</v>
      </c>
      <c r="H33" s="7">
        <v>4.9033231380734448E-4</v>
      </c>
      <c r="I33" s="7"/>
      <c r="J33" s="15"/>
    </row>
    <row r="34" spans="1:10" x14ac:dyDescent="0.2">
      <c r="A34" t="s">
        <v>139</v>
      </c>
      <c r="B34" t="s">
        <v>331</v>
      </c>
      <c r="C34" s="7">
        <v>4.8161321360022076E-3</v>
      </c>
      <c r="D34" s="7">
        <v>3.8805422945464058E-3</v>
      </c>
      <c r="E34" s="7">
        <v>1.9115588835730264E-3</v>
      </c>
      <c r="F34" s="7">
        <v>1.396126128543042E-4</v>
      </c>
      <c r="G34" s="7">
        <v>1.4339260260413353E-4</v>
      </c>
      <c r="H34" s="7">
        <v>1.438308120501544E-4</v>
      </c>
      <c r="I34" s="7"/>
      <c r="J34" s="15"/>
    </row>
    <row r="35" spans="1:10" x14ac:dyDescent="0.2">
      <c r="A35" t="s">
        <v>139</v>
      </c>
      <c r="B35" t="s">
        <v>332</v>
      </c>
      <c r="C35" s="7">
        <v>1.3353820922551576E-2</v>
      </c>
      <c r="D35" s="7">
        <v>1.0759685453060488E-2</v>
      </c>
      <c r="E35" s="7">
        <v>5.3002314499070282E-3</v>
      </c>
      <c r="F35" s="7">
        <v>3.8710769927784345E-4</v>
      </c>
      <c r="G35" s="7">
        <v>3.9758857994782478E-4</v>
      </c>
      <c r="H35" s="7">
        <v>3.9880361522997361E-4</v>
      </c>
      <c r="I35" s="7"/>
      <c r="J35" s="15"/>
    </row>
    <row r="36" spans="1:10" x14ac:dyDescent="0.2">
      <c r="A36" t="s">
        <v>139</v>
      </c>
      <c r="B36" t="s">
        <v>335</v>
      </c>
      <c r="C36" s="7">
        <v>1.0945754854550472E-3</v>
      </c>
      <c r="D36" s="7">
        <v>8.8194143057872851E-4</v>
      </c>
      <c r="E36" s="7">
        <v>4.3444520081205144E-4</v>
      </c>
      <c r="F36" s="7">
        <v>3.1730139285069131E-5</v>
      </c>
      <c r="G36" s="7">
        <v>3.2589227864575796E-5</v>
      </c>
      <c r="H36" s="7">
        <v>3.2688820920489636E-5</v>
      </c>
      <c r="I36" s="7"/>
      <c r="J36" s="15"/>
    </row>
    <row r="37" spans="1:10" x14ac:dyDescent="0.2">
      <c r="A37" t="s">
        <v>139</v>
      </c>
      <c r="B37" t="s">
        <v>333</v>
      </c>
      <c r="C37" s="7">
        <v>4.1593868447291791E-3</v>
      </c>
      <c r="D37" s="7">
        <v>3.3513774361991684E-3</v>
      </c>
      <c r="E37" s="7">
        <v>1.6508917630857955E-3</v>
      </c>
      <c r="F37" s="7">
        <v>1.205745292832627E-4</v>
      </c>
      <c r="G37" s="7">
        <v>1.2383906588538804E-4</v>
      </c>
      <c r="H37" s="7">
        <v>1.2421751949786062E-4</v>
      </c>
      <c r="I37" s="7"/>
      <c r="J37" s="15"/>
    </row>
    <row r="38" spans="1:10" x14ac:dyDescent="0.2">
      <c r="A38" t="s">
        <v>139</v>
      </c>
      <c r="B38" t="s">
        <v>334</v>
      </c>
      <c r="C38" s="7">
        <v>2.211042480619195E-2</v>
      </c>
      <c r="D38" s="7">
        <v>1.7815216897690316E-2</v>
      </c>
      <c r="E38" s="7">
        <v>8.7757930564034397E-3</v>
      </c>
      <c r="F38" s="7">
        <v>6.4094881355839645E-4</v>
      </c>
      <c r="G38" s="7">
        <v>6.5830240286443109E-4</v>
      </c>
      <c r="H38" s="7">
        <v>6.6031418259389059E-4</v>
      </c>
      <c r="I38" s="7"/>
      <c r="J38" s="15"/>
    </row>
    <row r="39" spans="1:10" x14ac:dyDescent="0.2">
      <c r="A39" t="s">
        <v>139</v>
      </c>
      <c r="B39" t="s">
        <v>336</v>
      </c>
      <c r="C39" s="16">
        <v>8.1882352941176475E-7</v>
      </c>
      <c r="D39" s="16">
        <v>8.1882352941176475E-7</v>
      </c>
      <c r="E39" s="16">
        <v>8.1882352941176475E-7</v>
      </c>
      <c r="F39" s="16">
        <v>8.1882352941176475E-7</v>
      </c>
      <c r="G39" s="16">
        <v>8.1882352941176475E-7</v>
      </c>
      <c r="H39" s="16">
        <v>8.1882352941176475E-7</v>
      </c>
      <c r="I39" s="7"/>
      <c r="J39" s="15"/>
    </row>
    <row r="40" spans="1:10" x14ac:dyDescent="0.2">
      <c r="A40" t="s">
        <v>139</v>
      </c>
      <c r="B40" t="s">
        <v>337</v>
      </c>
      <c r="C40" s="16">
        <v>7.0588235294117646E-9</v>
      </c>
      <c r="D40" s="16">
        <v>7.0588235294117646E-9</v>
      </c>
      <c r="E40" s="16">
        <v>7.0588235294117646E-9</v>
      </c>
      <c r="F40" s="16">
        <v>7.0588235294117646E-9</v>
      </c>
      <c r="G40" s="16">
        <v>7.0588235294117646E-9</v>
      </c>
      <c r="H40" s="16">
        <v>7.0588235294117646E-9</v>
      </c>
      <c r="I40" s="7"/>
      <c r="J40" s="15"/>
    </row>
    <row r="41" spans="1:10" x14ac:dyDescent="0.2">
      <c r="A41" t="s">
        <v>139</v>
      </c>
      <c r="B41" t="s">
        <v>338</v>
      </c>
      <c r="C41" s="16">
        <v>4.705882352941177E-9</v>
      </c>
      <c r="D41" s="16">
        <v>4.705882352941177E-9</v>
      </c>
      <c r="E41" s="16">
        <v>4.705882352941177E-9</v>
      </c>
      <c r="F41" s="16">
        <v>4.705882352941177E-9</v>
      </c>
      <c r="G41" s="16">
        <v>4.705882352941177E-9</v>
      </c>
      <c r="H41" s="16">
        <v>4.705882352941177E-9</v>
      </c>
      <c r="I41" s="7"/>
      <c r="J41" s="15"/>
    </row>
    <row r="42" spans="1:10" x14ac:dyDescent="0.2">
      <c r="A42" t="s">
        <v>139</v>
      </c>
      <c r="B42" t="s">
        <v>339</v>
      </c>
      <c r="C42" s="16">
        <v>5.082352941176471E-5</v>
      </c>
      <c r="D42" s="16">
        <v>5.082352941176471E-5</v>
      </c>
      <c r="E42" s="16">
        <v>5.082352941176471E-5</v>
      </c>
      <c r="F42" s="16">
        <v>5.082352941176471E-5</v>
      </c>
      <c r="G42" s="16">
        <v>5.082352941176471E-5</v>
      </c>
      <c r="H42" s="16">
        <v>5.082352941176471E-5</v>
      </c>
      <c r="I42" s="7"/>
      <c r="J42" s="15"/>
    </row>
    <row r="43" spans="1:10" x14ac:dyDescent="0.2">
      <c r="A43" t="s">
        <v>139</v>
      </c>
      <c r="B43" t="s">
        <v>297</v>
      </c>
      <c r="C43" s="16">
        <v>9.8823529411764699E-7</v>
      </c>
      <c r="D43" s="16">
        <v>9.8823529411764699E-7</v>
      </c>
      <c r="E43" s="16">
        <v>9.8823529411764699E-7</v>
      </c>
      <c r="F43" s="16">
        <v>9.8823529411764699E-7</v>
      </c>
      <c r="G43" s="16">
        <v>9.8823529411764699E-7</v>
      </c>
      <c r="H43" s="16">
        <v>9.8823529411764699E-7</v>
      </c>
      <c r="I43" s="7"/>
      <c r="J43" s="15"/>
    </row>
    <row r="44" spans="1:10" x14ac:dyDescent="0.2">
      <c r="A44" t="s">
        <v>139</v>
      </c>
      <c r="B44" t="s">
        <v>299</v>
      </c>
      <c r="C44" s="16">
        <v>3.0588235294117647E-7</v>
      </c>
      <c r="D44" s="16">
        <v>3.0588235294117647E-7</v>
      </c>
      <c r="E44" s="16">
        <v>3.0588235294117647E-7</v>
      </c>
      <c r="F44" s="16">
        <v>3.0588235294117647E-7</v>
      </c>
      <c r="G44" s="16">
        <v>3.0588235294117647E-7</v>
      </c>
      <c r="H44" s="16">
        <v>3.0588235294117647E-7</v>
      </c>
      <c r="I44" s="7"/>
    </row>
    <row r="45" spans="1:10" x14ac:dyDescent="0.2">
      <c r="A45" t="s">
        <v>139</v>
      </c>
      <c r="B45" t="s">
        <v>298</v>
      </c>
      <c r="C45" s="16">
        <v>3.7647058823529416E-7</v>
      </c>
      <c r="D45" s="16">
        <v>3.7647058823529416E-7</v>
      </c>
      <c r="E45" s="16">
        <v>3.7647058823529416E-7</v>
      </c>
      <c r="F45" s="16">
        <v>3.7647058823529416E-7</v>
      </c>
      <c r="G45" s="16">
        <v>3.7647058823529416E-7</v>
      </c>
      <c r="H45" s="16">
        <v>3.7647058823529416E-7</v>
      </c>
    </row>
    <row r="46" spans="1:10" x14ac:dyDescent="0.2">
      <c r="A46" t="s">
        <v>139</v>
      </c>
      <c r="B46" t="s">
        <v>342</v>
      </c>
      <c r="C46" s="16">
        <v>7.5294117647058821E-10</v>
      </c>
      <c r="D46" s="16">
        <v>7.5294117647058821E-10</v>
      </c>
      <c r="E46" s="16">
        <v>7.5294117647058821E-10</v>
      </c>
      <c r="F46" s="16">
        <v>7.5294117647058821E-10</v>
      </c>
      <c r="G46" s="16">
        <v>7.5294117647058821E-10</v>
      </c>
      <c r="H46" s="16">
        <v>7.5294117647058821E-10</v>
      </c>
      <c r="I46" s="17"/>
    </row>
    <row r="47" spans="1:10" x14ac:dyDescent="0.2">
      <c r="A47" t="s">
        <v>139</v>
      </c>
      <c r="B47" t="s">
        <v>340</v>
      </c>
      <c r="C47" s="16">
        <v>2.0470588235294119E-7</v>
      </c>
      <c r="D47" s="16">
        <v>2.0470588235294119E-7</v>
      </c>
      <c r="E47" s="16">
        <v>2.0470588235294119E-7</v>
      </c>
      <c r="F47" s="16">
        <v>2.0470588235294119E-7</v>
      </c>
      <c r="G47" s="16">
        <v>2.0470588235294119E-7</v>
      </c>
      <c r="H47" s="16">
        <v>2.0470588235294119E-7</v>
      </c>
      <c r="I47" s="17"/>
    </row>
    <row r="48" spans="1:10" x14ac:dyDescent="0.2">
      <c r="A48" t="s">
        <v>139</v>
      </c>
      <c r="B48" t="s">
        <v>341</v>
      </c>
      <c r="C48" s="16">
        <v>2.5411764705882357E-7</v>
      </c>
      <c r="D48" s="16">
        <v>2.5411764705882357E-7</v>
      </c>
      <c r="E48" s="16">
        <v>2.5411764705882357E-7</v>
      </c>
      <c r="F48" s="16">
        <v>2.5411764705882357E-7</v>
      </c>
      <c r="G48" s="16">
        <v>2.5411764705882357E-7</v>
      </c>
      <c r="H48" s="16">
        <v>2.5411764705882357E-7</v>
      </c>
      <c r="I48" s="17"/>
    </row>
    <row r="49" spans="1:35" x14ac:dyDescent="0.2">
      <c r="A49" t="s">
        <v>140</v>
      </c>
      <c r="B49" t="s">
        <v>57</v>
      </c>
      <c r="C49" s="7">
        <v>2.915195448533793</v>
      </c>
      <c r="D49" s="7">
        <v>3.2299158780310151</v>
      </c>
      <c r="E49" s="7">
        <v>3.5224878702476778</v>
      </c>
      <c r="F49" s="7">
        <v>0.80889745917939671</v>
      </c>
      <c r="G49" s="7">
        <v>9.5150832475643779E-2</v>
      </c>
      <c r="H49" s="7">
        <v>9.5149632903978362E-2</v>
      </c>
      <c r="I49" s="17"/>
    </row>
    <row r="50" spans="1:35" x14ac:dyDescent="0.2">
      <c r="A50" t="s">
        <v>140</v>
      </c>
      <c r="B50" t="s">
        <v>60</v>
      </c>
      <c r="C50" s="7">
        <v>0.10489381378097931</v>
      </c>
      <c r="D50" s="7">
        <v>0.10489381378097931</v>
      </c>
      <c r="E50" s="7">
        <v>3.8860210090666626E-2</v>
      </c>
      <c r="F50" s="7">
        <v>2.686988232543534E-2</v>
      </c>
      <c r="G50" s="7">
        <v>9.2318827679158492E-3</v>
      </c>
      <c r="H50" s="7">
        <v>7.0497830742104438E-3</v>
      </c>
      <c r="I50" s="17"/>
    </row>
    <row r="51" spans="1:35" x14ac:dyDescent="0.2">
      <c r="A51" t="s">
        <v>140</v>
      </c>
      <c r="B51" t="s">
        <v>376</v>
      </c>
      <c r="C51" s="7">
        <v>1.0838177419178909</v>
      </c>
      <c r="D51" s="7">
        <v>0.64320914062177992</v>
      </c>
      <c r="E51" s="7">
        <v>0.82099046851904756</v>
      </c>
      <c r="F51" s="7">
        <v>9.0637972192836605E-2</v>
      </c>
      <c r="G51" s="7">
        <v>2.307364639176256E-2</v>
      </c>
      <c r="H51" s="7">
        <v>2.3066881837462593E-2</v>
      </c>
      <c r="I51" s="17"/>
    </row>
    <row r="52" spans="1:35" x14ac:dyDescent="0.2">
      <c r="A52" t="s">
        <v>140</v>
      </c>
      <c r="B52" t="s">
        <v>62</v>
      </c>
      <c r="C52" s="7">
        <v>8.0330641182335405E-3</v>
      </c>
      <c r="D52" s="7">
        <v>3.1374129927211969E-3</v>
      </c>
      <c r="E52" s="7">
        <v>1.0638578146824082E-2</v>
      </c>
      <c r="F52" s="7">
        <v>4.9486252530670048E-3</v>
      </c>
      <c r="G52" s="7">
        <v>1.4133139635978708E-3</v>
      </c>
      <c r="H52" s="7">
        <v>1.4132961458726764E-3</v>
      </c>
      <c r="I52" s="17"/>
      <c r="AG52" s="15"/>
      <c r="AH52" s="15"/>
      <c r="AI52" s="15"/>
    </row>
    <row r="53" spans="1:35" x14ac:dyDescent="0.2">
      <c r="A53" t="s">
        <v>140</v>
      </c>
      <c r="B53" t="s">
        <v>56</v>
      </c>
      <c r="C53" s="7">
        <v>2.7569509623956653E-2</v>
      </c>
      <c r="D53" s="7">
        <v>2.7569509623956653E-2</v>
      </c>
      <c r="E53" s="7">
        <v>1.0971033713912328E-2</v>
      </c>
      <c r="F53" s="7">
        <v>5.542460283435046E-2</v>
      </c>
      <c r="G53" s="7">
        <v>1.8797075715851683E-2</v>
      </c>
      <c r="H53" s="7">
        <v>1.0741050708632342E-2</v>
      </c>
      <c r="I53" s="17"/>
      <c r="AG53" s="15"/>
      <c r="AH53" s="15"/>
      <c r="AI53" s="15"/>
    </row>
    <row r="54" spans="1:35" x14ac:dyDescent="0.2">
      <c r="A54" t="s">
        <v>140</v>
      </c>
      <c r="B54" t="s">
        <v>59</v>
      </c>
      <c r="C54" s="7">
        <v>1.3987574644320985E-3</v>
      </c>
      <c r="D54" s="7">
        <v>1.3987574644320985E-3</v>
      </c>
      <c r="E54" s="7">
        <v>1.7730963578040135E-3</v>
      </c>
      <c r="F54" s="7">
        <v>1.9794501012268019E-3</v>
      </c>
      <c r="G54" s="7">
        <v>5.6532558543914832E-4</v>
      </c>
      <c r="H54" s="7">
        <v>5.653184583490706E-4</v>
      </c>
      <c r="I54" s="17"/>
      <c r="AG54" s="15"/>
      <c r="AH54" s="15"/>
      <c r="AI54" s="15"/>
    </row>
    <row r="55" spans="1:35" x14ac:dyDescent="0.2">
      <c r="A55" t="s">
        <v>140</v>
      </c>
      <c r="B55" t="s">
        <v>58</v>
      </c>
      <c r="C55" s="7">
        <v>1.3987574644320985E-3</v>
      </c>
      <c r="D55" s="7">
        <v>1.3987574644320985E-3</v>
      </c>
      <c r="E55" s="7">
        <v>1.7730963578040135E-3</v>
      </c>
      <c r="F55" s="7">
        <v>1.9794501012268019E-3</v>
      </c>
      <c r="G55" s="7">
        <v>5.6532558543914832E-4</v>
      </c>
      <c r="H55" s="7">
        <v>5.653184583490706E-4</v>
      </c>
      <c r="I55" s="17"/>
      <c r="AG55" s="15"/>
      <c r="AH55" s="15"/>
      <c r="AI55" s="15"/>
    </row>
    <row r="56" spans="1:35" x14ac:dyDescent="0.2">
      <c r="A56" t="s">
        <v>140</v>
      </c>
      <c r="B56" t="s">
        <v>368</v>
      </c>
      <c r="C56" s="7">
        <v>0.49031914644365387</v>
      </c>
      <c r="D56" s="7">
        <v>0.29098781521729328</v>
      </c>
      <c r="E56" s="7">
        <v>0.37141608795801712</v>
      </c>
      <c r="F56" s="7">
        <v>4.1004618620039283E-2</v>
      </c>
      <c r="G56" s="7">
        <v>1.0438517627633382E-2</v>
      </c>
      <c r="H56" s="7">
        <v>1.0435457343268078E-2</v>
      </c>
      <c r="I56" s="7"/>
      <c r="AG56" s="15"/>
      <c r="AH56" s="15"/>
      <c r="AI56" s="15"/>
    </row>
    <row r="57" spans="1:35" x14ac:dyDescent="0.2">
      <c r="A57" t="s">
        <v>140</v>
      </c>
      <c r="B57" t="s">
        <v>316</v>
      </c>
      <c r="C57" s="7">
        <v>3.457378596718072E-2</v>
      </c>
      <c r="D57" s="7">
        <v>2.0518371585834777E-2</v>
      </c>
      <c r="E57" s="7">
        <v>2.6189595945757614E-2</v>
      </c>
      <c r="F57" s="7">
        <v>2.8913513129514875E-3</v>
      </c>
      <c r="G57" s="7">
        <v>7.3604931989722558E-4</v>
      </c>
      <c r="H57" s="7">
        <v>7.3583353061505664E-4</v>
      </c>
      <c r="AG57" s="15"/>
      <c r="AH57" s="15"/>
      <c r="AI57" s="15"/>
    </row>
    <row r="58" spans="1:35" x14ac:dyDescent="0.2">
      <c r="A58" t="s">
        <v>140</v>
      </c>
      <c r="B58" t="s">
        <v>317</v>
      </c>
      <c r="C58" s="7">
        <v>7.0448153224662909E-3</v>
      </c>
      <c r="D58" s="7">
        <v>4.1808594140415696E-3</v>
      </c>
      <c r="E58" s="7">
        <v>5.3364380453738086E-3</v>
      </c>
      <c r="F58" s="7">
        <v>5.891468192534379E-4</v>
      </c>
      <c r="G58" s="7">
        <v>1.4997870154645664E-4</v>
      </c>
      <c r="H58" s="7">
        <v>1.4993473194350684E-4</v>
      </c>
      <c r="AG58" s="15"/>
      <c r="AH58" s="15"/>
      <c r="AI58" s="15"/>
    </row>
    <row r="59" spans="1:35" x14ac:dyDescent="0.2">
      <c r="A59" t="s">
        <v>140</v>
      </c>
      <c r="B59" t="s">
        <v>318</v>
      </c>
      <c r="C59" s="7">
        <v>5.6792049676497487E-2</v>
      </c>
      <c r="D59" s="7">
        <v>3.3704158968581269E-2</v>
      </c>
      <c r="E59" s="7">
        <v>4.3019900550398095E-2</v>
      </c>
      <c r="F59" s="7">
        <v>4.7494297429046383E-3</v>
      </c>
      <c r="G59" s="7">
        <v>1.2090590709283582E-3</v>
      </c>
      <c r="H59" s="7">
        <v>1.2087046082830399E-3</v>
      </c>
      <c r="I59" s="5"/>
      <c r="AG59" s="15"/>
      <c r="AH59" s="15"/>
      <c r="AI59" s="15"/>
    </row>
    <row r="60" spans="1:35" x14ac:dyDescent="0.2">
      <c r="A60" t="s">
        <v>140</v>
      </c>
      <c r="B60" t="s">
        <v>319</v>
      </c>
      <c r="C60" s="7">
        <v>2.3302081451234653E-2</v>
      </c>
      <c r="D60" s="7">
        <v>1.3828996523368267E-2</v>
      </c>
      <c r="E60" s="7">
        <v>1.7651295073159521E-2</v>
      </c>
      <c r="F60" s="7">
        <v>1.9487164021459869E-3</v>
      </c>
      <c r="G60" s="7">
        <v>4.9608339742289497E-4</v>
      </c>
      <c r="H60" s="7">
        <v>4.959379595054457E-4</v>
      </c>
      <c r="I60" s="5"/>
      <c r="AG60" s="15"/>
      <c r="AH60" s="15"/>
      <c r="AI60" s="15"/>
    </row>
    <row r="61" spans="1:35" x14ac:dyDescent="0.2">
      <c r="A61" t="s">
        <v>140</v>
      </c>
      <c r="B61" t="s">
        <v>320</v>
      </c>
      <c r="C61" s="7">
        <v>1.7449465644878044E-2</v>
      </c>
      <c r="D61" s="7">
        <v>1.0355667164010656E-2</v>
      </c>
      <c r="E61" s="7">
        <v>1.3217946543156665E-2</v>
      </c>
      <c r="F61" s="7">
        <v>1.4592713523046692E-3</v>
      </c>
      <c r="G61" s="7">
        <v>3.7148570690737721E-4</v>
      </c>
      <c r="H61" s="7">
        <v>3.7137679758314772E-4</v>
      </c>
      <c r="I61" s="5"/>
      <c r="AG61" s="15"/>
      <c r="AH61" s="15"/>
      <c r="AI61" s="15"/>
    </row>
    <row r="62" spans="1:35" x14ac:dyDescent="0.2">
      <c r="A62" t="s">
        <v>140</v>
      </c>
      <c r="B62" t="s">
        <v>321</v>
      </c>
      <c r="C62" s="7">
        <v>1.2355522257863957E-2</v>
      </c>
      <c r="D62" s="7">
        <v>7.3325842030882915E-3</v>
      </c>
      <c r="E62" s="7">
        <v>9.359291341117142E-3</v>
      </c>
      <c r="F62" s="7">
        <v>1.0332728829983374E-3</v>
      </c>
      <c r="G62" s="7">
        <v>2.6303956886609319E-4</v>
      </c>
      <c r="H62" s="7">
        <v>2.6296245294707356E-4</v>
      </c>
      <c r="I62" s="5"/>
      <c r="AG62" s="15"/>
      <c r="AH62" s="15"/>
      <c r="AI62" s="15"/>
    </row>
    <row r="63" spans="1:35" x14ac:dyDescent="0.2">
      <c r="A63" t="s">
        <v>140</v>
      </c>
      <c r="B63" t="s">
        <v>322</v>
      </c>
      <c r="C63" s="7">
        <v>8.0202512901923935E-3</v>
      </c>
      <c r="D63" s="7">
        <v>4.7597476406011719E-3</v>
      </c>
      <c r="E63" s="7">
        <v>6.0753294670409519E-3</v>
      </c>
      <c r="F63" s="7">
        <v>6.7072099422699086E-4</v>
      </c>
      <c r="G63" s="7">
        <v>1.7074498329904296E-4</v>
      </c>
      <c r="H63" s="7">
        <v>1.706949255972232E-4</v>
      </c>
      <c r="I63" s="5"/>
      <c r="AG63" s="15"/>
      <c r="AH63" s="15"/>
      <c r="AI63" s="15"/>
    </row>
    <row r="64" spans="1:35" x14ac:dyDescent="0.2">
      <c r="A64" t="s">
        <v>140</v>
      </c>
      <c r="B64" t="s">
        <v>323</v>
      </c>
      <c r="C64" s="7">
        <v>7.9118695160006039E-2</v>
      </c>
      <c r="D64" s="7">
        <v>4.6954267265389933E-2</v>
      </c>
      <c r="E64" s="7">
        <v>5.9932304201890468E-2</v>
      </c>
      <c r="F64" s="7">
        <v>6.6165719700770715E-3</v>
      </c>
      <c r="G64" s="7">
        <v>1.6843761865986667E-3</v>
      </c>
      <c r="H64" s="7">
        <v>1.6838823741347692E-3</v>
      </c>
      <c r="I64" s="5"/>
      <c r="AG64" s="15"/>
      <c r="AH64" s="15"/>
      <c r="AI64" s="15"/>
    </row>
    <row r="65" spans="1:35" x14ac:dyDescent="0.2">
      <c r="A65" t="s">
        <v>140</v>
      </c>
      <c r="B65" t="s">
        <v>324</v>
      </c>
      <c r="C65" s="7">
        <v>4.1401837741263429E-2</v>
      </c>
      <c r="D65" s="7">
        <v>2.4570589171751991E-2</v>
      </c>
      <c r="E65" s="7">
        <v>3.1361835897427616E-2</v>
      </c>
      <c r="F65" s="7">
        <v>3.4623705377663581E-3</v>
      </c>
      <c r="G65" s="7">
        <v>8.8141329216532974E-4</v>
      </c>
      <c r="H65" s="7">
        <v>8.8115488619107103E-4</v>
      </c>
      <c r="I65" s="5"/>
      <c r="AG65" s="15"/>
      <c r="AH65" s="15"/>
      <c r="AI65" s="15"/>
    </row>
    <row r="66" spans="1:35" x14ac:dyDescent="0.2">
      <c r="A66" t="s">
        <v>140</v>
      </c>
      <c r="B66" t="s">
        <v>325</v>
      </c>
      <c r="C66" s="7">
        <v>1.1921995161096801E-3</v>
      </c>
      <c r="D66" s="7">
        <v>7.0753005468395793E-4</v>
      </c>
      <c r="E66" s="7">
        <v>9.0308951537095233E-4</v>
      </c>
      <c r="F66" s="7">
        <v>9.9701769412120265E-5</v>
      </c>
      <c r="G66" s="7">
        <v>2.5381011030938817E-5</v>
      </c>
      <c r="H66" s="7">
        <v>2.5373570021208853E-5</v>
      </c>
      <c r="I66" s="5"/>
      <c r="AG66" s="15"/>
      <c r="AH66" s="15"/>
      <c r="AI66" s="15"/>
    </row>
    <row r="67" spans="1:35" x14ac:dyDescent="0.2">
      <c r="A67" t="s">
        <v>140</v>
      </c>
      <c r="B67" t="s">
        <v>55</v>
      </c>
      <c r="C67" s="7">
        <v>6.0802175321593675E-2</v>
      </c>
      <c r="D67" s="7">
        <v>3.6084032788881851E-2</v>
      </c>
      <c r="E67" s="7">
        <v>4.6057565283918564E-2</v>
      </c>
      <c r="F67" s="7">
        <v>5.0847902400181335E-3</v>
      </c>
      <c r="G67" s="7">
        <v>1.2944315625778794E-3</v>
      </c>
      <c r="H67" s="7">
        <v>1.2940520710816514E-3</v>
      </c>
      <c r="I67" s="5"/>
      <c r="AG67" s="15"/>
      <c r="AH67" s="15"/>
      <c r="AI67" s="15"/>
    </row>
    <row r="68" spans="1:35" x14ac:dyDescent="0.2">
      <c r="A68" t="s">
        <v>140</v>
      </c>
      <c r="B68" t="s">
        <v>326</v>
      </c>
      <c r="C68" s="7">
        <v>0.11900318806258442</v>
      </c>
      <c r="D68" s="7">
        <v>7.0624363640271429E-2</v>
      </c>
      <c r="E68" s="7">
        <v>9.0144753443391415E-2</v>
      </c>
      <c r="F68" s="7">
        <v>9.9520493467734582E-3</v>
      </c>
      <c r="G68" s="7">
        <v>2.533486373815529E-3</v>
      </c>
      <c r="H68" s="7">
        <v>2.5327436257533927E-3</v>
      </c>
      <c r="I68" s="5"/>
      <c r="AG68" s="15"/>
      <c r="AH68" s="15"/>
      <c r="AI68" s="15"/>
    </row>
    <row r="69" spans="1:35" x14ac:dyDescent="0.2">
      <c r="A69" t="s">
        <v>140</v>
      </c>
      <c r="B69" t="s">
        <v>327</v>
      </c>
      <c r="C69" s="7">
        <v>5.8851303386141481E-2</v>
      </c>
      <c r="D69" s="7">
        <v>3.492625633576265E-2</v>
      </c>
      <c r="E69" s="7">
        <v>4.4579782440584283E-2</v>
      </c>
      <c r="F69" s="7">
        <v>4.9216418900710273E-3</v>
      </c>
      <c r="G69" s="7">
        <v>1.2528989990727071E-3</v>
      </c>
      <c r="H69" s="7">
        <v>1.2525316837742188E-3</v>
      </c>
      <c r="I69" s="5"/>
      <c r="AG69" s="15"/>
      <c r="AH69" s="15"/>
      <c r="AI69" s="15"/>
    </row>
    <row r="70" spans="1:35" x14ac:dyDescent="0.2">
      <c r="A70" t="s">
        <v>140</v>
      </c>
      <c r="B70" t="s">
        <v>328</v>
      </c>
      <c r="C70" s="7">
        <v>2.4494280967344333E-2</v>
      </c>
      <c r="D70" s="7">
        <v>1.4536526578052225E-2</v>
      </c>
      <c r="E70" s="7">
        <v>1.8554384588530475E-2</v>
      </c>
      <c r="F70" s="7">
        <v>2.0484181715581073E-3</v>
      </c>
      <c r="G70" s="7">
        <v>5.2146440845383382E-4</v>
      </c>
      <c r="H70" s="7">
        <v>5.2131152952665462E-4</v>
      </c>
      <c r="I70" s="5"/>
      <c r="AG70" s="15"/>
      <c r="AH70" s="15"/>
      <c r="AI70" s="15"/>
    </row>
    <row r="71" spans="1:35" x14ac:dyDescent="0.2">
      <c r="A71" t="s">
        <v>140</v>
      </c>
      <c r="B71" t="s">
        <v>329</v>
      </c>
      <c r="C71" s="7">
        <v>1.8424901612604148E-2</v>
      </c>
      <c r="D71" s="7">
        <v>1.0934555390570259E-2</v>
      </c>
      <c r="E71" s="7">
        <v>1.3956837964823809E-2</v>
      </c>
      <c r="F71" s="7">
        <v>1.5408455272782225E-3</v>
      </c>
      <c r="G71" s="7">
        <v>3.9225198865996356E-4</v>
      </c>
      <c r="H71" s="7">
        <v>3.9213699123686409E-4</v>
      </c>
      <c r="AG71" s="15"/>
      <c r="AH71" s="15"/>
      <c r="AI71" s="15"/>
    </row>
    <row r="72" spans="1:35" x14ac:dyDescent="0.2">
      <c r="A72" t="s">
        <v>140</v>
      </c>
      <c r="B72" t="s">
        <v>330</v>
      </c>
      <c r="C72" s="7">
        <v>8.1286330643841817E-3</v>
      </c>
      <c r="D72" s="7">
        <v>4.824068554663349E-3</v>
      </c>
      <c r="E72" s="7">
        <v>6.1574285138928566E-3</v>
      </c>
      <c r="F72" s="7">
        <v>6.7978479144627452E-4</v>
      </c>
      <c r="G72" s="7">
        <v>1.7305234793821918E-4</v>
      </c>
      <c r="H72" s="7">
        <v>1.7300161378096946E-4</v>
      </c>
      <c r="I72" s="4"/>
      <c r="L72" s="15"/>
      <c r="M72" s="15"/>
      <c r="N72" s="15"/>
      <c r="AG72" s="15"/>
      <c r="AH72" s="15"/>
      <c r="AI72" s="15"/>
    </row>
    <row r="73" spans="1:35" x14ac:dyDescent="0.2">
      <c r="A73" t="s">
        <v>140</v>
      </c>
      <c r="B73" t="s">
        <v>331</v>
      </c>
      <c r="C73" s="7">
        <v>2.3843990322193601E-3</v>
      </c>
      <c r="D73" s="7">
        <v>1.4150601093679159E-3</v>
      </c>
      <c r="E73" s="7">
        <v>1.8061790307419047E-3</v>
      </c>
      <c r="F73" s="7">
        <v>1.9940353882424053E-4</v>
      </c>
      <c r="G73" s="7">
        <v>5.0762022061877634E-5</v>
      </c>
      <c r="H73" s="7">
        <v>5.0747140042417706E-5</v>
      </c>
      <c r="I73" s="4"/>
      <c r="L73" s="15"/>
      <c r="M73" s="15"/>
      <c r="N73" s="15"/>
      <c r="AG73" s="15"/>
      <c r="AH73" s="15"/>
      <c r="AI73" s="15"/>
    </row>
    <row r="74" spans="1:35" x14ac:dyDescent="0.2">
      <c r="A74" t="s">
        <v>140</v>
      </c>
      <c r="B74" t="s">
        <v>332</v>
      </c>
      <c r="C74" s="7">
        <v>6.6112882256991355E-3</v>
      </c>
      <c r="D74" s="7">
        <v>3.9235757577928574E-3</v>
      </c>
      <c r="E74" s="7">
        <v>5.0080418579661907E-3</v>
      </c>
      <c r="F74" s="7">
        <v>5.5289163037630336E-4</v>
      </c>
      <c r="G74" s="7">
        <v>1.4074924298975163E-4</v>
      </c>
      <c r="H74" s="7">
        <v>1.4070797920852184E-4</v>
      </c>
      <c r="I74" s="4"/>
      <c r="L74" s="15"/>
      <c r="M74" s="15"/>
      <c r="N74" s="15"/>
    </row>
    <row r="75" spans="1:35" x14ac:dyDescent="0.2">
      <c r="A75" t="s">
        <v>140</v>
      </c>
      <c r="B75" t="s">
        <v>369</v>
      </c>
      <c r="C75" s="7">
        <v>5.419088709589455E-4</v>
      </c>
      <c r="D75" s="7">
        <v>3.2160457031088995E-4</v>
      </c>
      <c r="E75" s="7">
        <v>4.1049523425952381E-4</v>
      </c>
      <c r="F75" s="7">
        <v>4.5318986096418302E-5</v>
      </c>
      <c r="G75" s="7">
        <v>1.1536823195881281E-5</v>
      </c>
      <c r="H75" s="7">
        <v>1.1533440918731296E-5</v>
      </c>
      <c r="I75" s="4"/>
      <c r="L75" s="15"/>
      <c r="M75" s="15"/>
      <c r="N75" s="15"/>
    </row>
    <row r="76" spans="1:35" x14ac:dyDescent="0.2">
      <c r="A76" t="s">
        <v>140</v>
      </c>
      <c r="B76" t="s">
        <v>333</v>
      </c>
      <c r="C76" s="7">
        <v>2.0592537096439929E-3</v>
      </c>
      <c r="D76" s="7">
        <v>1.2220973671813818E-3</v>
      </c>
      <c r="E76" s="7">
        <v>1.5598818901861903E-3</v>
      </c>
      <c r="F76" s="7">
        <v>1.7221214716638955E-4</v>
      </c>
      <c r="G76" s="7">
        <v>4.3839928144348865E-5</v>
      </c>
      <c r="H76" s="7">
        <v>4.3827075491178927E-5</v>
      </c>
      <c r="I76" s="4"/>
      <c r="L76" s="15"/>
      <c r="M76" s="15"/>
      <c r="N76" s="15"/>
    </row>
    <row r="77" spans="1:35" x14ac:dyDescent="0.2">
      <c r="A77" t="s">
        <v>140</v>
      </c>
      <c r="B77" t="s">
        <v>334</v>
      </c>
      <c r="C77" s="7">
        <v>1.0946559193370698E-2</v>
      </c>
      <c r="D77" s="7">
        <v>6.496412320279977E-3</v>
      </c>
      <c r="E77" s="7">
        <v>8.2920037320423808E-3</v>
      </c>
      <c r="F77" s="7">
        <v>9.1544351914764972E-4</v>
      </c>
      <c r="G77" s="7">
        <v>2.3304382855680183E-4</v>
      </c>
      <c r="H77" s="7">
        <v>2.3297550655837219E-4</v>
      </c>
      <c r="I77" s="4"/>
      <c r="L77" s="15"/>
      <c r="M77" s="15"/>
      <c r="N77" s="15"/>
    </row>
    <row r="78" spans="1:35" x14ac:dyDescent="0.2">
      <c r="A78" t="s">
        <v>140</v>
      </c>
      <c r="B78" t="s">
        <v>336</v>
      </c>
      <c r="C78" s="16">
        <v>8.1882352941176475E-7</v>
      </c>
      <c r="D78" s="16">
        <v>8.1882352941176475E-7</v>
      </c>
      <c r="E78" s="16">
        <v>8.1882352941176475E-7</v>
      </c>
      <c r="F78" s="16">
        <v>8.1882352941176475E-7</v>
      </c>
      <c r="G78" s="16">
        <v>8.1882352941176475E-7</v>
      </c>
      <c r="H78" s="16">
        <v>8.1882352941176475E-7</v>
      </c>
      <c r="I78" s="4"/>
      <c r="L78" s="15"/>
      <c r="M78" s="15"/>
      <c r="N78" s="15"/>
    </row>
    <row r="79" spans="1:35" x14ac:dyDescent="0.2">
      <c r="A79" t="s">
        <v>140</v>
      </c>
      <c r="B79" t="s">
        <v>337</v>
      </c>
      <c r="C79" s="16">
        <v>7.0588235294117646E-9</v>
      </c>
      <c r="D79" s="16">
        <v>7.0588235294117646E-9</v>
      </c>
      <c r="E79" s="16">
        <v>7.0588235294117646E-9</v>
      </c>
      <c r="F79" s="16">
        <v>7.0588235294117646E-9</v>
      </c>
      <c r="G79" s="16">
        <v>7.0588235294117646E-9</v>
      </c>
      <c r="H79" s="16">
        <v>7.0588235294117646E-9</v>
      </c>
      <c r="I79" s="4"/>
      <c r="L79" s="15"/>
      <c r="M79" s="15"/>
      <c r="N79" s="15"/>
    </row>
    <row r="80" spans="1:35" x14ac:dyDescent="0.2">
      <c r="A80" t="s">
        <v>140</v>
      </c>
      <c r="B80" t="s">
        <v>338</v>
      </c>
      <c r="C80" s="16">
        <v>4.705882352941177E-9</v>
      </c>
      <c r="D80" s="16">
        <v>4.705882352941177E-9</v>
      </c>
      <c r="E80" s="16">
        <v>4.705882352941177E-9</v>
      </c>
      <c r="F80" s="16">
        <v>4.705882352941177E-9</v>
      </c>
      <c r="G80" s="16">
        <v>4.705882352941177E-9</v>
      </c>
      <c r="H80" s="16">
        <v>4.705882352941177E-9</v>
      </c>
      <c r="I80" s="4"/>
      <c r="L80" s="15"/>
      <c r="M80" s="15"/>
      <c r="N80" s="15"/>
    </row>
    <row r="81" spans="1:14" x14ac:dyDescent="0.2">
      <c r="A81" t="s">
        <v>140</v>
      </c>
      <c r="B81" t="s">
        <v>339</v>
      </c>
      <c r="C81" s="16">
        <v>5.082352941176471E-5</v>
      </c>
      <c r="D81" s="16">
        <v>5.082352941176471E-5</v>
      </c>
      <c r="E81" s="16">
        <v>5.082352941176471E-5</v>
      </c>
      <c r="F81" s="16">
        <v>5.082352941176471E-5</v>
      </c>
      <c r="G81" s="16">
        <v>5.082352941176471E-5</v>
      </c>
      <c r="H81" s="16">
        <v>5.082352941176471E-5</v>
      </c>
      <c r="I81" s="4"/>
      <c r="L81" s="15"/>
      <c r="M81" s="15"/>
      <c r="N81" s="15"/>
    </row>
    <row r="82" spans="1:14" x14ac:dyDescent="0.2">
      <c r="A82" t="s">
        <v>140</v>
      </c>
      <c r="B82" t="s">
        <v>297</v>
      </c>
      <c r="C82" s="16">
        <v>9.8823529411764699E-7</v>
      </c>
      <c r="D82" s="16">
        <v>9.8823529411764699E-7</v>
      </c>
      <c r="E82" s="16">
        <v>9.8823529411764699E-7</v>
      </c>
      <c r="F82" s="16">
        <v>9.8823529411764699E-7</v>
      </c>
      <c r="G82" s="16">
        <v>9.8823529411764699E-7</v>
      </c>
      <c r="H82" s="16">
        <v>9.8823529411764699E-7</v>
      </c>
      <c r="I82" s="4"/>
      <c r="L82" s="15"/>
      <c r="M82" s="15"/>
      <c r="N82" s="15"/>
    </row>
    <row r="83" spans="1:14" x14ac:dyDescent="0.2">
      <c r="A83" t="s">
        <v>140</v>
      </c>
      <c r="B83" t="s">
        <v>299</v>
      </c>
      <c r="C83" s="16">
        <v>3.0588235294117647E-7</v>
      </c>
      <c r="D83" s="16">
        <v>3.0588235294117647E-7</v>
      </c>
      <c r="E83" s="16">
        <v>3.0588235294117647E-7</v>
      </c>
      <c r="F83" s="16">
        <v>3.0588235294117647E-7</v>
      </c>
      <c r="G83" s="16">
        <v>3.0588235294117647E-7</v>
      </c>
      <c r="H83" s="16">
        <v>3.0588235294117647E-7</v>
      </c>
      <c r="I83" s="4"/>
      <c r="L83" s="15"/>
      <c r="M83" s="15"/>
      <c r="N83" s="15"/>
    </row>
    <row r="84" spans="1:14" x14ac:dyDescent="0.2">
      <c r="A84" t="s">
        <v>140</v>
      </c>
      <c r="B84" t="s">
        <v>298</v>
      </c>
      <c r="C84" s="16">
        <v>3.7647058823529416E-7</v>
      </c>
      <c r="D84" s="16">
        <v>3.7647058823529416E-7</v>
      </c>
      <c r="E84" s="16">
        <v>3.7647058823529416E-7</v>
      </c>
      <c r="F84" s="16">
        <v>3.7647058823529416E-7</v>
      </c>
      <c r="G84" s="16">
        <v>3.7647058823529416E-7</v>
      </c>
      <c r="H84" s="16">
        <v>3.7647058823529416E-7</v>
      </c>
      <c r="I84" s="4"/>
      <c r="L84" s="15"/>
      <c r="M84" s="15"/>
      <c r="N84" s="15"/>
    </row>
    <row r="85" spans="1:14" x14ac:dyDescent="0.2">
      <c r="A85" t="s">
        <v>140</v>
      </c>
      <c r="B85" t="s">
        <v>342</v>
      </c>
      <c r="C85" s="16">
        <v>7.5294117647058821E-10</v>
      </c>
      <c r="D85" s="16">
        <v>7.5294117647058821E-10</v>
      </c>
      <c r="E85" s="16">
        <v>7.5294117647058821E-10</v>
      </c>
      <c r="F85" s="16">
        <v>7.5294117647058821E-10</v>
      </c>
      <c r="G85" s="16">
        <v>7.5294117647058821E-10</v>
      </c>
      <c r="H85" s="16">
        <v>7.5294117647058821E-10</v>
      </c>
      <c r="I85" s="4"/>
      <c r="L85" s="15"/>
      <c r="M85" s="15"/>
      <c r="N85" s="15"/>
    </row>
    <row r="86" spans="1:14" x14ac:dyDescent="0.2">
      <c r="A86" t="s">
        <v>140</v>
      </c>
      <c r="B86" t="s">
        <v>340</v>
      </c>
      <c r="C86" s="16">
        <v>2.0470588235294119E-7</v>
      </c>
      <c r="D86" s="16">
        <v>2.0470588235294119E-7</v>
      </c>
      <c r="E86" s="16">
        <v>2.0470588235294119E-7</v>
      </c>
      <c r="F86" s="16">
        <v>2.0470588235294119E-7</v>
      </c>
      <c r="G86" s="16">
        <v>2.0470588235294119E-7</v>
      </c>
      <c r="H86" s="16">
        <v>2.0470588235294119E-7</v>
      </c>
      <c r="I86" s="4"/>
      <c r="L86" s="15"/>
      <c r="M86" s="15"/>
      <c r="N86" s="15"/>
    </row>
    <row r="87" spans="1:14" x14ac:dyDescent="0.2">
      <c r="A87" t="s">
        <v>140</v>
      </c>
      <c r="B87" t="s">
        <v>341</v>
      </c>
      <c r="C87" s="16">
        <v>2.5411764705882357E-7</v>
      </c>
      <c r="D87" s="16">
        <v>2.5411764705882357E-7</v>
      </c>
      <c r="E87" s="16">
        <v>2.5411764705882357E-7</v>
      </c>
      <c r="F87" s="16">
        <v>2.5411764705882357E-7</v>
      </c>
      <c r="G87" s="16">
        <v>2.5411764705882357E-7</v>
      </c>
      <c r="H87" s="16">
        <v>2.5411764705882357E-7</v>
      </c>
      <c r="I87" s="4"/>
      <c r="L87" s="15"/>
      <c r="M87" s="15"/>
      <c r="N87" s="15"/>
    </row>
    <row r="88" spans="1:14" x14ac:dyDescent="0.2">
      <c r="A88" t="s">
        <v>141</v>
      </c>
      <c r="B88" t="s">
        <v>57</v>
      </c>
      <c r="C88" s="7">
        <v>2.915195448533793</v>
      </c>
      <c r="D88" s="7">
        <v>3.2299158780310151</v>
      </c>
      <c r="E88" s="7">
        <v>1.4585926343621791</v>
      </c>
      <c r="F88" s="7">
        <v>0.708341892150957</v>
      </c>
      <c r="G88" s="7">
        <v>8.3455151885463486E-2</v>
      </c>
      <c r="H88" s="7">
        <v>8.3454099761872666E-2</v>
      </c>
      <c r="I88" s="4"/>
      <c r="L88" s="15"/>
      <c r="M88" s="15"/>
      <c r="N88" s="15"/>
    </row>
    <row r="89" spans="1:14" x14ac:dyDescent="0.2">
      <c r="A89" t="s">
        <v>141</v>
      </c>
      <c r="B89" t="s">
        <v>60</v>
      </c>
      <c r="C89" s="7">
        <v>0.10489381378097931</v>
      </c>
      <c r="D89" s="7">
        <v>0.10489381378097931</v>
      </c>
      <c r="E89" s="7">
        <v>2.6143425239245593E-2</v>
      </c>
      <c r="F89" s="7">
        <v>1.821059018432937E-2</v>
      </c>
      <c r="G89" s="7">
        <v>6.1620141012972453E-3</v>
      </c>
      <c r="H89" s="7">
        <v>4.7581662322556638E-3</v>
      </c>
      <c r="I89" s="4"/>
      <c r="L89" s="15"/>
      <c r="M89" s="15"/>
      <c r="N89" s="15"/>
    </row>
    <row r="90" spans="1:14" x14ac:dyDescent="0.2">
      <c r="A90" t="s">
        <v>141</v>
      </c>
      <c r="B90" t="s">
        <v>376</v>
      </c>
      <c r="C90" s="7">
        <v>1.0838177419178909</v>
      </c>
      <c r="D90" s="7">
        <v>0.64320914062177992</v>
      </c>
      <c r="E90" s="7">
        <v>0.48292296293835996</v>
      </c>
      <c r="F90" s="7">
        <v>5.3220185225018736E-2</v>
      </c>
      <c r="G90" s="7">
        <v>1.3588965977336222E-2</v>
      </c>
      <c r="H90" s="7">
        <v>1.3583175766044535E-2</v>
      </c>
      <c r="I90" s="4"/>
      <c r="L90" s="15"/>
      <c r="M90" s="15"/>
      <c r="N90" s="15"/>
    </row>
    <row r="91" spans="1:14" x14ac:dyDescent="0.2">
      <c r="A91" t="s">
        <v>141</v>
      </c>
      <c r="B91" t="s">
        <v>62</v>
      </c>
      <c r="C91" s="7">
        <v>8.0330641182335405E-3</v>
      </c>
      <c r="D91" s="7">
        <v>3.1374129927211969E-3</v>
      </c>
      <c r="E91" s="7">
        <v>1.0638578146824082E-2</v>
      </c>
      <c r="F91" s="7">
        <v>4.9486252530670048E-3</v>
      </c>
      <c r="G91" s="7">
        <v>1.4133139635978708E-3</v>
      </c>
      <c r="H91" s="7">
        <v>1.4132961458726764E-3</v>
      </c>
      <c r="I91" s="4"/>
      <c r="L91" s="15"/>
      <c r="M91" s="15"/>
      <c r="N91" s="15"/>
    </row>
    <row r="92" spans="1:14" x14ac:dyDescent="0.2">
      <c r="A92" t="s">
        <v>141</v>
      </c>
      <c r="B92" t="s">
        <v>56</v>
      </c>
      <c r="C92" s="7">
        <v>2.7569509623956653E-2</v>
      </c>
      <c r="D92" s="7">
        <v>2.7569509623956653E-2</v>
      </c>
      <c r="E92" s="7">
        <v>1.0971033713912328E-2</v>
      </c>
      <c r="F92" s="7">
        <v>5.542460283435046E-2</v>
      </c>
      <c r="G92" s="7">
        <v>1.8797075715851683E-2</v>
      </c>
      <c r="H92" s="7">
        <v>1.0741050708632342E-2</v>
      </c>
      <c r="I92" s="4"/>
      <c r="L92" s="15"/>
      <c r="M92" s="15"/>
      <c r="N92" s="15"/>
    </row>
    <row r="93" spans="1:14" x14ac:dyDescent="0.2">
      <c r="A93" t="s">
        <v>141</v>
      </c>
      <c r="B93" t="s">
        <v>59</v>
      </c>
      <c r="C93" s="7">
        <v>1.3987574644320985E-3</v>
      </c>
      <c r="D93" s="7">
        <v>1.3987574644320985E-3</v>
      </c>
      <c r="E93" s="7">
        <v>1.7730963578040135E-3</v>
      </c>
      <c r="F93" s="7">
        <v>1.9794501012268019E-3</v>
      </c>
      <c r="G93" s="7">
        <v>5.6532558543914832E-4</v>
      </c>
      <c r="H93" s="7">
        <v>5.653184583490706E-4</v>
      </c>
      <c r="I93" s="4"/>
      <c r="L93" s="15"/>
      <c r="M93" s="15"/>
      <c r="N93" s="15"/>
    </row>
    <row r="94" spans="1:14" x14ac:dyDescent="0.2">
      <c r="A94" t="s">
        <v>141</v>
      </c>
      <c r="B94" t="s">
        <v>58</v>
      </c>
      <c r="C94" s="7">
        <v>1.3987574644320985E-3</v>
      </c>
      <c r="D94" s="7">
        <v>1.3987574644320985E-3</v>
      </c>
      <c r="E94" s="7">
        <v>1.7730963578040135E-3</v>
      </c>
      <c r="F94" s="7">
        <v>1.9794501012268019E-3</v>
      </c>
      <c r="G94" s="7">
        <v>5.6532558543914832E-4</v>
      </c>
      <c r="H94" s="7">
        <v>5.653184583490706E-4</v>
      </c>
    </row>
    <row r="95" spans="1:14" x14ac:dyDescent="0.2">
      <c r="A95" t="s">
        <v>141</v>
      </c>
      <c r="B95" t="s">
        <v>368</v>
      </c>
      <c r="C95" s="7">
        <v>0.49031914644365387</v>
      </c>
      <c r="D95" s="7">
        <v>0.29098781521729328</v>
      </c>
      <c r="E95" s="7">
        <v>0.21847434843331406</v>
      </c>
      <c r="F95" s="7">
        <v>2.4076811795798476E-2</v>
      </c>
      <c r="G95" s="7">
        <v>6.1476482081469072E-3</v>
      </c>
      <c r="H95" s="7">
        <v>6.145028716558548E-3</v>
      </c>
    </row>
    <row r="96" spans="1:14" x14ac:dyDescent="0.2">
      <c r="A96" t="s">
        <v>141</v>
      </c>
      <c r="B96" t="s">
        <v>316</v>
      </c>
      <c r="C96" s="7">
        <v>3.457378596718072E-2</v>
      </c>
      <c r="D96" s="7">
        <v>2.0518371585834777E-2</v>
      </c>
      <c r="E96" s="7">
        <v>1.5405242517733682E-2</v>
      </c>
      <c r="F96" s="7">
        <v>1.6977239086780976E-3</v>
      </c>
      <c r="G96" s="7">
        <v>4.3348801467702543E-4</v>
      </c>
      <c r="H96" s="7">
        <v>4.3330330693682064E-4</v>
      </c>
    </row>
    <row r="97" spans="1:14" x14ac:dyDescent="0.2">
      <c r="A97" t="s">
        <v>141</v>
      </c>
      <c r="B97" t="s">
        <v>317</v>
      </c>
      <c r="C97" s="7">
        <v>7.0448153224662909E-3</v>
      </c>
      <c r="D97" s="7">
        <v>4.1808594140415696E-3</v>
      </c>
      <c r="E97" s="7">
        <v>3.1389992590993396E-3</v>
      </c>
      <c r="F97" s="7">
        <v>3.4593120396262175E-4</v>
      </c>
      <c r="G97" s="7">
        <v>8.8328278852685434E-5</v>
      </c>
      <c r="H97" s="7">
        <v>8.8290642479289466E-5</v>
      </c>
    </row>
    <row r="98" spans="1:14" x14ac:dyDescent="0.2">
      <c r="A98" t="s">
        <v>141</v>
      </c>
      <c r="B98" t="s">
        <v>318</v>
      </c>
      <c r="C98" s="7">
        <v>5.6792049676497487E-2</v>
      </c>
      <c r="D98" s="7">
        <v>3.3704158968581269E-2</v>
      </c>
      <c r="E98" s="7">
        <v>2.5305163257970064E-2</v>
      </c>
      <c r="F98" s="7">
        <v>2.788737705790982E-3</v>
      </c>
      <c r="G98" s="7">
        <v>7.1206181721241801E-4</v>
      </c>
      <c r="H98" s="7">
        <v>7.117584101407336E-4</v>
      </c>
    </row>
    <row r="99" spans="1:14" x14ac:dyDescent="0.2">
      <c r="A99" t="s">
        <v>141</v>
      </c>
      <c r="B99" t="s">
        <v>319</v>
      </c>
      <c r="C99" s="7">
        <v>2.3302081451234653E-2</v>
      </c>
      <c r="D99" s="7">
        <v>1.3828996523368267E-2</v>
      </c>
      <c r="E99" s="7">
        <v>1.0382843703174738E-2</v>
      </c>
      <c r="F99" s="7">
        <v>1.1442339823379028E-3</v>
      </c>
      <c r="G99" s="7">
        <v>2.9216276851272877E-4</v>
      </c>
      <c r="H99" s="7">
        <v>2.9203827896995748E-4</v>
      </c>
    </row>
    <row r="100" spans="1:14" x14ac:dyDescent="0.2">
      <c r="A100" t="s">
        <v>141</v>
      </c>
      <c r="B100" t="s">
        <v>320</v>
      </c>
      <c r="C100" s="7">
        <v>1.7449465644878044E-2</v>
      </c>
      <c r="D100" s="7">
        <v>1.0355667164010656E-2</v>
      </c>
      <c r="E100" s="7">
        <v>7.7750597033075953E-3</v>
      </c>
      <c r="F100" s="7">
        <v>8.5684498212280165E-4</v>
      </c>
      <c r="G100" s="7">
        <v>2.1878235223511317E-4</v>
      </c>
      <c r="H100" s="7">
        <v>2.18689129833317E-4</v>
      </c>
    </row>
    <row r="101" spans="1:14" x14ac:dyDescent="0.2">
      <c r="A101" t="s">
        <v>141</v>
      </c>
      <c r="B101" t="s">
        <v>321</v>
      </c>
      <c r="C101" s="7">
        <v>1.2355522257863957E-2</v>
      </c>
      <c r="D101" s="7">
        <v>7.3325842030882915E-3</v>
      </c>
      <c r="E101" s="7">
        <v>5.505321777497304E-3</v>
      </c>
      <c r="F101" s="7">
        <v>6.0671011156521366E-4</v>
      </c>
      <c r="G101" s="7">
        <v>1.5491421214163293E-4</v>
      </c>
      <c r="H101" s="7">
        <v>1.5484820373290771E-4</v>
      </c>
    </row>
    <row r="102" spans="1:14" x14ac:dyDescent="0.2">
      <c r="A102" t="s">
        <v>141</v>
      </c>
      <c r="B102" t="s">
        <v>322</v>
      </c>
      <c r="C102" s="7">
        <v>8.0202512901923935E-3</v>
      </c>
      <c r="D102" s="7">
        <v>4.7597476406011719E-3</v>
      </c>
      <c r="E102" s="7">
        <v>3.573629925743864E-3</v>
      </c>
      <c r="F102" s="7">
        <v>3.9382937066513866E-4</v>
      </c>
      <c r="G102" s="7">
        <v>1.0055834823228805E-4</v>
      </c>
      <c r="H102" s="7">
        <v>1.0051550066872956E-4</v>
      </c>
    </row>
    <row r="103" spans="1:14" x14ac:dyDescent="0.2">
      <c r="A103" t="s">
        <v>141</v>
      </c>
      <c r="B103" t="s">
        <v>323</v>
      </c>
      <c r="C103" s="7">
        <v>7.9118695160006039E-2</v>
      </c>
      <c r="D103" s="7">
        <v>4.6954267265389933E-2</v>
      </c>
      <c r="E103" s="7">
        <v>3.5253376294500274E-2</v>
      </c>
      <c r="F103" s="7">
        <v>3.8850735214263675E-3</v>
      </c>
      <c r="G103" s="7">
        <v>9.9199451634554418E-4</v>
      </c>
      <c r="H103" s="7">
        <v>9.9157183092125098E-4</v>
      </c>
    </row>
    <row r="104" spans="1:14" x14ac:dyDescent="0.2">
      <c r="A104" t="s">
        <v>141</v>
      </c>
      <c r="B104" t="s">
        <v>324</v>
      </c>
      <c r="C104" s="7">
        <v>4.1401837741263429E-2</v>
      </c>
      <c r="D104" s="7">
        <v>2.4570589171751991E-2</v>
      </c>
      <c r="E104" s="7">
        <v>1.8447657184245351E-2</v>
      </c>
      <c r="F104" s="7">
        <v>2.0330110755957154E-3</v>
      </c>
      <c r="G104" s="7">
        <v>5.1909850033424361E-4</v>
      </c>
      <c r="H104" s="7">
        <v>5.1887731426290124E-4</v>
      </c>
    </row>
    <row r="105" spans="1:14" x14ac:dyDescent="0.2">
      <c r="A105" t="s">
        <v>141</v>
      </c>
      <c r="B105" t="s">
        <v>325</v>
      </c>
      <c r="C105" s="7">
        <v>1.1921995161096801E-3</v>
      </c>
      <c r="D105" s="7">
        <v>7.0753005468395793E-4</v>
      </c>
      <c r="E105" s="7">
        <v>5.3121525923219596E-4</v>
      </c>
      <c r="F105" s="7">
        <v>5.8542203747520615E-5</v>
      </c>
      <c r="G105" s="7">
        <v>1.4947862575069845E-5</v>
      </c>
      <c r="H105" s="7">
        <v>1.494149334264899E-5</v>
      </c>
    </row>
    <row r="106" spans="1:14" x14ac:dyDescent="0.2">
      <c r="A106" t="s">
        <v>141</v>
      </c>
      <c r="B106" t="s">
        <v>55</v>
      </c>
      <c r="C106" s="7">
        <v>6.0802175321593675E-2</v>
      </c>
      <c r="D106" s="7">
        <v>3.6084032788881851E-2</v>
      </c>
      <c r="E106" s="7">
        <v>2.7091978220841993E-2</v>
      </c>
      <c r="F106" s="7">
        <v>2.9856523911235507E-3</v>
      </c>
      <c r="G106" s="7">
        <v>7.6234099132856201E-4</v>
      </c>
      <c r="H106" s="7">
        <v>7.620161604750984E-4</v>
      </c>
    </row>
    <row r="107" spans="1:14" x14ac:dyDescent="0.2">
      <c r="A107" t="s">
        <v>141</v>
      </c>
      <c r="B107" t="s">
        <v>326</v>
      </c>
      <c r="C107" s="7">
        <v>0.11900318806258442</v>
      </c>
      <c r="D107" s="7">
        <v>7.0624363640271429E-2</v>
      </c>
      <c r="E107" s="7">
        <v>5.3024941330631924E-2</v>
      </c>
      <c r="F107" s="7">
        <v>5.8435763377070573E-3</v>
      </c>
      <c r="G107" s="7">
        <v>1.492068464311517E-3</v>
      </c>
      <c r="H107" s="7">
        <v>1.4914326991116898E-3</v>
      </c>
    </row>
    <row r="108" spans="1:14" x14ac:dyDescent="0.2">
      <c r="A108" t="s">
        <v>141</v>
      </c>
      <c r="B108" t="s">
        <v>327</v>
      </c>
      <c r="C108" s="7">
        <v>5.8851303386141481E-2</v>
      </c>
      <c r="D108" s="7">
        <v>3.492625633576265E-2</v>
      </c>
      <c r="E108" s="7">
        <v>2.6222716887552944E-2</v>
      </c>
      <c r="F108" s="7">
        <v>2.8898560577185176E-3</v>
      </c>
      <c r="G108" s="7">
        <v>7.3788085256935691E-4</v>
      </c>
      <c r="H108" s="7">
        <v>7.3756644409621829E-4</v>
      </c>
      <c r="I108" s="6"/>
      <c r="L108" s="6"/>
      <c r="M108" s="6"/>
      <c r="N108" s="6"/>
    </row>
    <row r="109" spans="1:14" x14ac:dyDescent="0.2">
      <c r="A109" t="s">
        <v>141</v>
      </c>
      <c r="B109" t="s">
        <v>328</v>
      </c>
      <c r="C109" s="7">
        <v>2.4494280967344333E-2</v>
      </c>
      <c r="D109" s="7">
        <v>1.4536526578052225E-2</v>
      </c>
      <c r="E109" s="7">
        <v>1.0914058962406934E-2</v>
      </c>
      <c r="F109" s="7">
        <v>1.2027761860854233E-3</v>
      </c>
      <c r="G109" s="7">
        <v>3.0711063108779859E-4</v>
      </c>
      <c r="H109" s="7">
        <v>3.0697977231260648E-4</v>
      </c>
      <c r="I109" s="6"/>
      <c r="L109" s="6"/>
      <c r="M109" s="6"/>
      <c r="N109" s="6"/>
    </row>
    <row r="110" spans="1:14" x14ac:dyDescent="0.2">
      <c r="A110" t="s">
        <v>141</v>
      </c>
      <c r="B110" t="s">
        <v>329</v>
      </c>
      <c r="C110" s="7">
        <v>1.8424901612604148E-2</v>
      </c>
      <c r="D110" s="7">
        <v>1.0934555390570259E-2</v>
      </c>
      <c r="E110" s="7">
        <v>8.2096903699521197E-3</v>
      </c>
      <c r="F110" s="7">
        <v>9.0474314882531856E-4</v>
      </c>
      <c r="G110" s="7">
        <v>2.310124216147158E-4</v>
      </c>
      <c r="H110" s="7">
        <v>2.309139880227571E-4</v>
      </c>
      <c r="I110" s="6"/>
      <c r="L110" s="6"/>
      <c r="M110" s="6"/>
      <c r="N110" s="6"/>
    </row>
    <row r="111" spans="1:14" x14ac:dyDescent="0.2">
      <c r="A111" t="s">
        <v>141</v>
      </c>
      <c r="B111" t="s">
        <v>330</v>
      </c>
      <c r="C111" s="7">
        <v>8.1286330643841817E-3</v>
      </c>
      <c r="D111" s="7">
        <v>4.824068554663349E-3</v>
      </c>
      <c r="E111" s="7">
        <v>3.6219222220376995E-3</v>
      </c>
      <c r="F111" s="7">
        <v>3.9915138918764049E-4</v>
      </c>
      <c r="G111" s="7">
        <v>1.0191724483002166E-4</v>
      </c>
      <c r="H111" s="7">
        <v>1.01873818245334E-4</v>
      </c>
      <c r="I111" s="6"/>
      <c r="L111" s="6"/>
      <c r="M111" s="6"/>
      <c r="N111" s="6"/>
    </row>
    <row r="112" spans="1:14" x14ac:dyDescent="0.2">
      <c r="A112" t="s">
        <v>141</v>
      </c>
      <c r="B112" t="s">
        <v>331</v>
      </c>
      <c r="C112" s="7">
        <v>2.3843990322193601E-3</v>
      </c>
      <c r="D112" s="7">
        <v>1.4150601093679159E-3</v>
      </c>
      <c r="E112" s="7">
        <v>1.0624305184643919E-3</v>
      </c>
      <c r="F112" s="7">
        <v>1.1708440749504123E-4</v>
      </c>
      <c r="G112" s="7">
        <v>2.9895725150139691E-5</v>
      </c>
      <c r="H112" s="7">
        <v>2.9882986685297979E-5</v>
      </c>
    </row>
    <row r="113" spans="1:13" x14ac:dyDescent="0.2">
      <c r="A113" t="s">
        <v>141</v>
      </c>
      <c r="B113" t="s">
        <v>332</v>
      </c>
      <c r="C113" s="7">
        <v>6.6112882256991355E-3</v>
      </c>
      <c r="D113" s="7">
        <v>3.9235757577928574E-3</v>
      </c>
      <c r="E113" s="7">
        <v>2.9458300739239958E-3</v>
      </c>
      <c r="F113" s="7">
        <v>3.2464312987261429E-4</v>
      </c>
      <c r="G113" s="7">
        <v>8.2892692461750963E-5</v>
      </c>
      <c r="H113" s="7">
        <v>8.285737217287166E-5</v>
      </c>
    </row>
    <row r="114" spans="1:13" x14ac:dyDescent="0.2">
      <c r="A114" t="s">
        <v>141</v>
      </c>
      <c r="B114" t="s">
        <v>369</v>
      </c>
      <c r="C114" s="7">
        <v>5.419088709589455E-4</v>
      </c>
      <c r="D114" s="7">
        <v>3.2160457031088995E-4</v>
      </c>
      <c r="E114" s="7">
        <v>2.4146148146917998E-4</v>
      </c>
      <c r="F114" s="7">
        <v>2.6610092612509368E-5</v>
      </c>
      <c r="G114" s="7">
        <v>6.7944829886681113E-6</v>
      </c>
      <c r="H114" s="7">
        <v>6.7915878830222673E-6</v>
      </c>
    </row>
    <row r="115" spans="1:13" x14ac:dyDescent="0.2">
      <c r="A115" t="s">
        <v>141</v>
      </c>
      <c r="B115" t="s">
        <v>333</v>
      </c>
      <c r="C115" s="7">
        <v>2.0592537096439929E-3</v>
      </c>
      <c r="D115" s="7">
        <v>1.2220973671813818E-3</v>
      </c>
      <c r="E115" s="7">
        <v>9.1755362958288386E-4</v>
      </c>
      <c r="F115" s="7">
        <v>1.0111835192753559E-4</v>
      </c>
      <c r="G115" s="7">
        <v>2.581903535693882E-5</v>
      </c>
      <c r="H115" s="7">
        <v>2.5808033955484614E-5</v>
      </c>
      <c r="I115" s="5"/>
      <c r="L115" s="6"/>
      <c r="M115" s="6"/>
    </row>
    <row r="116" spans="1:13" x14ac:dyDescent="0.2">
      <c r="A116" t="s">
        <v>141</v>
      </c>
      <c r="B116" t="s">
        <v>334</v>
      </c>
      <c r="C116" s="7">
        <v>1.0946559193370698E-2</v>
      </c>
      <c r="D116" s="7">
        <v>6.496412320279977E-3</v>
      </c>
      <c r="E116" s="7">
        <v>4.877521925677435E-3</v>
      </c>
      <c r="F116" s="7">
        <v>5.3752387077268923E-4</v>
      </c>
      <c r="G116" s="7">
        <v>1.3724855637109584E-4</v>
      </c>
      <c r="H116" s="7">
        <v>1.3719007523704981E-4</v>
      </c>
      <c r="I116" s="5"/>
      <c r="L116" s="6"/>
      <c r="M116" s="6"/>
    </row>
    <row r="117" spans="1:13" x14ac:dyDescent="0.2">
      <c r="A117" t="s">
        <v>141</v>
      </c>
      <c r="B117" t="s">
        <v>336</v>
      </c>
      <c r="C117" s="16">
        <v>8.1882352941176475E-7</v>
      </c>
      <c r="D117" s="16">
        <v>8.1882352941176475E-7</v>
      </c>
      <c r="E117" s="16">
        <v>8.1882352941176475E-7</v>
      </c>
      <c r="F117" s="16">
        <v>8.1882352941176475E-7</v>
      </c>
      <c r="G117" s="16">
        <v>8.1882352941176475E-7</v>
      </c>
      <c r="H117" s="16">
        <v>8.1882352941176475E-7</v>
      </c>
      <c r="I117" s="5"/>
      <c r="L117" s="6"/>
      <c r="M117" s="6"/>
    </row>
    <row r="118" spans="1:13" x14ac:dyDescent="0.2">
      <c r="A118" t="s">
        <v>141</v>
      </c>
      <c r="B118" t="s">
        <v>337</v>
      </c>
      <c r="C118" s="16">
        <v>7.0588235294117646E-9</v>
      </c>
      <c r="D118" s="16">
        <v>7.0588235294117646E-9</v>
      </c>
      <c r="E118" s="16">
        <v>7.0588235294117646E-9</v>
      </c>
      <c r="F118" s="16">
        <v>7.0588235294117646E-9</v>
      </c>
      <c r="G118" s="16">
        <v>7.0588235294117646E-9</v>
      </c>
      <c r="H118" s="16">
        <v>7.0588235294117646E-9</v>
      </c>
      <c r="I118" s="4"/>
      <c r="L118" s="6"/>
      <c r="M118" s="6"/>
    </row>
    <row r="119" spans="1:13" x14ac:dyDescent="0.2">
      <c r="A119" t="s">
        <v>141</v>
      </c>
      <c r="B119" t="s">
        <v>338</v>
      </c>
      <c r="C119" s="16">
        <v>4.705882352941177E-9</v>
      </c>
      <c r="D119" s="16">
        <v>4.705882352941177E-9</v>
      </c>
      <c r="E119" s="16">
        <v>4.705882352941177E-9</v>
      </c>
      <c r="F119" s="16">
        <v>4.705882352941177E-9</v>
      </c>
      <c r="G119" s="16">
        <v>4.705882352941177E-9</v>
      </c>
      <c r="H119" s="16">
        <v>4.705882352941177E-9</v>
      </c>
    </row>
    <row r="120" spans="1:13" x14ac:dyDescent="0.2">
      <c r="A120" t="s">
        <v>141</v>
      </c>
      <c r="B120" t="s">
        <v>339</v>
      </c>
      <c r="C120" s="16">
        <v>5.082352941176471E-5</v>
      </c>
      <c r="D120" s="16">
        <v>5.082352941176471E-5</v>
      </c>
      <c r="E120" s="16">
        <v>5.082352941176471E-5</v>
      </c>
      <c r="F120" s="16">
        <v>5.082352941176471E-5</v>
      </c>
      <c r="G120" s="16">
        <v>5.082352941176471E-5</v>
      </c>
      <c r="H120" s="16">
        <v>5.082352941176471E-5</v>
      </c>
    </row>
    <row r="121" spans="1:13" x14ac:dyDescent="0.2">
      <c r="A121" t="s">
        <v>141</v>
      </c>
      <c r="B121" t="s">
        <v>297</v>
      </c>
      <c r="C121" s="16">
        <v>9.8823529411764699E-7</v>
      </c>
      <c r="D121" s="16">
        <v>9.8823529411764699E-7</v>
      </c>
      <c r="E121" s="16">
        <v>9.8823529411764699E-7</v>
      </c>
      <c r="F121" s="16">
        <v>9.8823529411764699E-7</v>
      </c>
      <c r="G121" s="16">
        <v>9.8823529411764699E-7</v>
      </c>
      <c r="H121" s="16">
        <v>9.8823529411764699E-7</v>
      </c>
    </row>
    <row r="122" spans="1:13" x14ac:dyDescent="0.2">
      <c r="A122" t="s">
        <v>141</v>
      </c>
      <c r="B122" t="s">
        <v>299</v>
      </c>
      <c r="C122" s="16">
        <v>3.0588235294117647E-7</v>
      </c>
      <c r="D122" s="16">
        <v>3.0588235294117647E-7</v>
      </c>
      <c r="E122" s="16">
        <v>3.0588235294117647E-7</v>
      </c>
      <c r="F122" s="16">
        <v>3.0588235294117647E-7</v>
      </c>
      <c r="G122" s="16">
        <v>3.0588235294117647E-7</v>
      </c>
      <c r="H122" s="16">
        <v>3.0588235294117647E-7</v>
      </c>
      <c r="I122" s="5"/>
      <c r="L122" s="6"/>
      <c r="M122" s="6"/>
    </row>
    <row r="123" spans="1:13" x14ac:dyDescent="0.2">
      <c r="A123" t="s">
        <v>141</v>
      </c>
      <c r="B123" t="s">
        <v>298</v>
      </c>
      <c r="C123" s="16">
        <v>3.7647058823529416E-7</v>
      </c>
      <c r="D123" s="16">
        <v>3.7647058823529416E-7</v>
      </c>
      <c r="E123" s="16">
        <v>3.7647058823529416E-7</v>
      </c>
      <c r="F123" s="16">
        <v>3.7647058823529416E-7</v>
      </c>
      <c r="G123" s="16">
        <v>3.7647058823529416E-7</v>
      </c>
      <c r="H123" s="16">
        <v>3.7647058823529416E-7</v>
      </c>
      <c r="I123" s="5"/>
      <c r="L123" s="6"/>
      <c r="M123" s="6"/>
    </row>
    <row r="124" spans="1:13" x14ac:dyDescent="0.2">
      <c r="A124" t="s">
        <v>141</v>
      </c>
      <c r="B124" t="s">
        <v>342</v>
      </c>
      <c r="C124" s="16">
        <v>7.5294117647058821E-10</v>
      </c>
      <c r="D124" s="16">
        <v>7.5294117647058821E-10</v>
      </c>
      <c r="E124" s="16">
        <v>7.5294117647058821E-10</v>
      </c>
      <c r="F124" s="16">
        <v>7.5294117647058821E-10</v>
      </c>
      <c r="G124" s="16">
        <v>7.5294117647058821E-10</v>
      </c>
      <c r="H124" s="16">
        <v>7.5294117647058821E-10</v>
      </c>
      <c r="I124" s="5"/>
      <c r="L124" s="6"/>
      <c r="M124" s="6"/>
    </row>
    <row r="125" spans="1:13" x14ac:dyDescent="0.2">
      <c r="A125" t="s">
        <v>141</v>
      </c>
      <c r="B125" t="s">
        <v>340</v>
      </c>
      <c r="C125" s="16">
        <v>2.0470588235294119E-7</v>
      </c>
      <c r="D125" s="16">
        <v>2.0470588235294119E-7</v>
      </c>
      <c r="E125" s="16">
        <v>2.0470588235294119E-7</v>
      </c>
      <c r="F125" s="16">
        <v>2.0470588235294119E-7</v>
      </c>
      <c r="G125" s="16">
        <v>2.0470588235294119E-7</v>
      </c>
      <c r="H125" s="16">
        <v>2.0470588235294119E-7</v>
      </c>
      <c r="I125" s="4"/>
      <c r="L125" s="6"/>
      <c r="M125" s="4"/>
    </row>
    <row r="126" spans="1:13" x14ac:dyDescent="0.2">
      <c r="A126" t="s">
        <v>141</v>
      </c>
      <c r="B126" t="s">
        <v>341</v>
      </c>
      <c r="C126" s="16">
        <v>2.5411764705882357E-7</v>
      </c>
      <c r="D126" s="16">
        <v>2.5411764705882357E-7</v>
      </c>
      <c r="E126" s="16">
        <v>2.5411764705882357E-7</v>
      </c>
      <c r="F126" s="16">
        <v>2.5411764705882357E-7</v>
      </c>
      <c r="G126" s="16">
        <v>2.5411764705882357E-7</v>
      </c>
      <c r="H126" s="16">
        <v>2.5411764705882357E-7</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2"/>
  <sheetViews>
    <sheetView topLeftCell="A50" workbookViewId="0">
      <selection activeCell="G75" sqref="G75"/>
    </sheetView>
  </sheetViews>
  <sheetFormatPr baseColWidth="10" defaultColWidth="8.83203125" defaultRowHeight="15" x14ac:dyDescent="0.2"/>
  <cols>
    <col min="1" max="1" width="42.33203125" bestFit="1" customWidth="1"/>
    <col min="6" max="6" width="12.33203125" bestFit="1" customWidth="1"/>
    <col min="7" max="7" width="28.6640625" bestFit="1" customWidth="1"/>
    <col min="8" max="8" width="20" bestFit="1" customWidth="1"/>
    <col min="11" max="12" width="12.6640625" bestFit="1" customWidth="1"/>
    <col min="13" max="13" width="12" bestFit="1" customWidth="1"/>
  </cols>
  <sheetData>
    <row r="1" spans="1:2" x14ac:dyDescent="0.2">
      <c r="A1" s="8" t="s">
        <v>70</v>
      </c>
      <c r="B1" t="s">
        <v>69</v>
      </c>
    </row>
    <row r="3" spans="1:2" ht="16" x14ac:dyDescent="0.2">
      <c r="A3" s="10" t="s">
        <v>71</v>
      </c>
      <c r="B3" s="8" t="s">
        <v>952</v>
      </c>
    </row>
    <row r="4" spans="1:2" x14ac:dyDescent="0.2">
      <c r="A4" t="s">
        <v>72</v>
      </c>
      <c r="B4" t="s">
        <v>37</v>
      </c>
    </row>
    <row r="5" spans="1:2" x14ac:dyDescent="0.2">
      <c r="A5" t="s">
        <v>86</v>
      </c>
      <c r="B5" t="s">
        <v>393</v>
      </c>
    </row>
    <row r="6" spans="1:2" x14ac:dyDescent="0.2">
      <c r="A6" t="s">
        <v>87</v>
      </c>
    </row>
    <row r="7" spans="1:2" x14ac:dyDescent="0.2">
      <c r="A7" t="s">
        <v>88</v>
      </c>
      <c r="B7">
        <v>2020</v>
      </c>
    </row>
    <row r="8" spans="1:2" x14ac:dyDescent="0.2">
      <c r="A8" t="s">
        <v>124</v>
      </c>
      <c r="B8" t="s">
        <v>428</v>
      </c>
    </row>
    <row r="9" spans="1:2" x14ac:dyDescent="0.2">
      <c r="A9" t="s">
        <v>73</v>
      </c>
      <c r="B9" t="s">
        <v>393</v>
      </c>
    </row>
    <row r="10" spans="1:2" x14ac:dyDescent="0.2">
      <c r="A10" t="s">
        <v>74</v>
      </c>
      <c r="B10" t="s">
        <v>75</v>
      </c>
    </row>
    <row r="11" spans="1:2" x14ac:dyDescent="0.2">
      <c r="A11" t="s">
        <v>76</v>
      </c>
      <c r="B11" t="s">
        <v>76</v>
      </c>
    </row>
    <row r="12" spans="1:2" x14ac:dyDescent="0.2">
      <c r="A12" t="s">
        <v>78</v>
      </c>
      <c r="B12" t="s">
        <v>774</v>
      </c>
    </row>
    <row r="13" spans="1:2" x14ac:dyDescent="0.2">
      <c r="A13" t="s">
        <v>125</v>
      </c>
      <c r="B13">
        <v>1785</v>
      </c>
    </row>
    <row r="14" spans="1:2" x14ac:dyDescent="0.2">
      <c r="A14" t="s">
        <v>126</v>
      </c>
      <c r="B14">
        <v>1</v>
      </c>
    </row>
    <row r="15" spans="1:2" x14ac:dyDescent="0.2">
      <c r="A15" t="s">
        <v>127</v>
      </c>
      <c r="B15">
        <v>0</v>
      </c>
    </row>
    <row r="16" spans="1:2" x14ac:dyDescent="0.2">
      <c r="A16" t="s">
        <v>128</v>
      </c>
      <c r="B16">
        <v>0</v>
      </c>
    </row>
    <row r="17" spans="1:2" x14ac:dyDescent="0.2">
      <c r="A17" t="s">
        <v>129</v>
      </c>
      <c r="B17">
        <v>890</v>
      </c>
    </row>
    <row r="18" spans="1:2" x14ac:dyDescent="0.2">
      <c r="A18" t="s">
        <v>130</v>
      </c>
      <c r="B18">
        <v>11.625</v>
      </c>
    </row>
    <row r="19" spans="1:2" x14ac:dyDescent="0.2">
      <c r="A19" t="s">
        <v>131</v>
      </c>
      <c r="B19">
        <v>0.25</v>
      </c>
    </row>
    <row r="20" spans="1:2" x14ac:dyDescent="0.2">
      <c r="A20" t="s">
        <v>427</v>
      </c>
      <c r="B20" s="19" t="s">
        <v>43</v>
      </c>
    </row>
    <row r="21" spans="1:2" x14ac:dyDescent="0.2">
      <c r="A21" t="s">
        <v>132</v>
      </c>
      <c r="B21">
        <v>1.625</v>
      </c>
    </row>
    <row r="22" spans="1:2" x14ac:dyDescent="0.2">
      <c r="A22" t="s">
        <v>133</v>
      </c>
      <c r="B22">
        <v>0.25</v>
      </c>
    </row>
    <row r="23" spans="1:2" x14ac:dyDescent="0.2">
      <c r="A23" t="s">
        <v>363</v>
      </c>
      <c r="B23">
        <v>0.2</v>
      </c>
    </row>
    <row r="24" spans="1:2" x14ac:dyDescent="0.2">
      <c r="A24" t="s">
        <v>136</v>
      </c>
      <c r="B24">
        <v>0</v>
      </c>
    </row>
    <row r="25" spans="1:2" x14ac:dyDescent="0.2">
      <c r="A25" t="s">
        <v>137</v>
      </c>
      <c r="B25">
        <v>0</v>
      </c>
    </row>
    <row r="26" spans="1:2" x14ac:dyDescent="0.2">
      <c r="A26" t="s">
        <v>134</v>
      </c>
      <c r="B26">
        <v>8.3598130841121492</v>
      </c>
    </row>
    <row r="27" spans="1:2" x14ac:dyDescent="0.2">
      <c r="A27" t="s">
        <v>135</v>
      </c>
      <c r="B27" t="s">
        <v>138</v>
      </c>
    </row>
    <row r="28" spans="1:2" x14ac:dyDescent="0.2">
      <c r="A28" t="s">
        <v>796</v>
      </c>
      <c r="B28" s="6">
        <v>0</v>
      </c>
    </row>
    <row r="29" spans="1:2" x14ac:dyDescent="0.2">
      <c r="A29" t="s">
        <v>260</v>
      </c>
      <c r="B29" s="6" t="s">
        <v>261</v>
      </c>
    </row>
    <row r="30" spans="1:2" x14ac:dyDescent="0.2">
      <c r="A30" t="s">
        <v>262</v>
      </c>
      <c r="B30" s="2">
        <v>15900</v>
      </c>
    </row>
    <row r="31" spans="1:2" x14ac:dyDescent="0.2">
      <c r="A31" t="s">
        <v>263</v>
      </c>
      <c r="B31" s="2">
        <v>1000</v>
      </c>
    </row>
    <row r="32" spans="1:2" x14ac:dyDescent="0.2">
      <c r="A32" t="s">
        <v>83</v>
      </c>
      <c r="B32" t="s">
        <v>885</v>
      </c>
    </row>
    <row r="33" spans="1:8" ht="16" x14ac:dyDescent="0.2">
      <c r="A33" s="10" t="s">
        <v>79</v>
      </c>
    </row>
    <row r="34" spans="1:8" x14ac:dyDescent="0.2">
      <c r="A34" t="s">
        <v>80</v>
      </c>
      <c r="B34" t="s">
        <v>81</v>
      </c>
      <c r="C34" t="s">
        <v>72</v>
      </c>
      <c r="D34" t="s">
        <v>76</v>
      </c>
      <c r="E34" t="s">
        <v>82</v>
      </c>
      <c r="F34" t="s">
        <v>74</v>
      </c>
      <c r="G34" t="s">
        <v>83</v>
      </c>
      <c r="H34" t="s">
        <v>73</v>
      </c>
    </row>
    <row r="35" spans="1:8" x14ac:dyDescent="0.2">
      <c r="A35" t="s">
        <v>952</v>
      </c>
      <c r="B35">
        <v>1</v>
      </c>
      <c r="C35" t="s">
        <v>37</v>
      </c>
      <c r="D35" t="s">
        <v>76</v>
      </c>
      <c r="F35" t="s">
        <v>84</v>
      </c>
      <c r="G35" t="s">
        <v>85</v>
      </c>
      <c r="H35" t="s">
        <v>393</v>
      </c>
    </row>
    <row r="36" spans="1:8" x14ac:dyDescent="0.2">
      <c r="A36" t="s">
        <v>91</v>
      </c>
      <c r="B36" s="4">
        <v>0.41176470588235292</v>
      </c>
      <c r="C36" t="s">
        <v>92</v>
      </c>
      <c r="D36" t="s">
        <v>76</v>
      </c>
      <c r="F36" t="s">
        <v>89</v>
      </c>
      <c r="G36" t="s">
        <v>15</v>
      </c>
      <c r="H36" t="s">
        <v>93</v>
      </c>
    </row>
    <row r="37" spans="1:8" x14ac:dyDescent="0.2">
      <c r="A37" t="s">
        <v>227</v>
      </c>
      <c r="B37" s="4">
        <v>3</v>
      </c>
      <c r="C37" t="s">
        <v>95</v>
      </c>
      <c r="D37" t="s">
        <v>77</v>
      </c>
      <c r="F37" t="s">
        <v>89</v>
      </c>
      <c r="G37" t="s">
        <v>276</v>
      </c>
      <c r="H37" t="s">
        <v>226</v>
      </c>
    </row>
    <row r="38" spans="1:8" x14ac:dyDescent="0.2">
      <c r="A38" t="s">
        <v>796</v>
      </c>
      <c r="B38" s="11">
        <v>0</v>
      </c>
      <c r="C38" t="s">
        <v>95</v>
      </c>
      <c r="D38" t="s">
        <v>77</v>
      </c>
      <c r="F38" t="s">
        <v>89</v>
      </c>
      <c r="G38" t="s">
        <v>14</v>
      </c>
      <c r="H38" t="s">
        <v>796</v>
      </c>
    </row>
    <row r="39" spans="1:8" x14ac:dyDescent="0.2">
      <c r="A39" t="s">
        <v>984</v>
      </c>
      <c r="B39" s="4">
        <v>0.25</v>
      </c>
      <c r="C39" t="s">
        <v>95</v>
      </c>
      <c r="D39" t="s">
        <v>96</v>
      </c>
      <c r="F39" t="s">
        <v>89</v>
      </c>
      <c r="H39" t="s">
        <v>985</v>
      </c>
    </row>
    <row r="40" spans="1:8" x14ac:dyDescent="0.2">
      <c r="A40" t="s">
        <v>366</v>
      </c>
      <c r="B40" s="4">
        <v>1</v>
      </c>
      <c r="C40" t="s">
        <v>95</v>
      </c>
      <c r="D40" t="s">
        <v>76</v>
      </c>
      <c r="F40" t="s">
        <v>89</v>
      </c>
      <c r="G40" t="s">
        <v>52</v>
      </c>
      <c r="H40" t="s">
        <v>366</v>
      </c>
    </row>
    <row r="41" spans="1:8" x14ac:dyDescent="0.2">
      <c r="A41" t="s">
        <v>147</v>
      </c>
      <c r="B41" s="4">
        <v>-0.125</v>
      </c>
      <c r="C41" t="s">
        <v>37</v>
      </c>
      <c r="D41" t="s">
        <v>76</v>
      </c>
      <c r="F41" t="s">
        <v>89</v>
      </c>
      <c r="G41" t="s">
        <v>143</v>
      </c>
      <c r="H41" t="s">
        <v>148</v>
      </c>
    </row>
    <row r="42" spans="1:8" x14ac:dyDescent="0.2">
      <c r="A42" t="s">
        <v>289</v>
      </c>
      <c r="B42" s="4">
        <v>-0.41176470588235292</v>
      </c>
      <c r="C42" t="s">
        <v>37</v>
      </c>
      <c r="D42" t="s">
        <v>76</v>
      </c>
      <c r="F42" t="s">
        <v>89</v>
      </c>
      <c r="G42" t="s">
        <v>142</v>
      </c>
      <c r="H42" t="s">
        <v>290</v>
      </c>
    </row>
    <row r="43" spans="1:8" x14ac:dyDescent="0.2">
      <c r="A43" s="35" t="s">
        <v>549</v>
      </c>
      <c r="B43">
        <v>11.625</v>
      </c>
      <c r="C43" t="s">
        <v>92</v>
      </c>
      <c r="D43" t="s">
        <v>193</v>
      </c>
      <c r="F43" t="s">
        <v>89</v>
      </c>
      <c r="H43" s="13" t="s">
        <v>550</v>
      </c>
    </row>
    <row r="44" spans="1:8" x14ac:dyDescent="0.2">
      <c r="A44" s="35" t="s">
        <v>216</v>
      </c>
      <c r="B44" s="2">
        <v>184.83750000000001</v>
      </c>
      <c r="C44" t="s">
        <v>95</v>
      </c>
      <c r="D44" t="s">
        <v>193</v>
      </c>
      <c r="F44" t="s">
        <v>89</v>
      </c>
      <c r="H44" s="13" t="s">
        <v>216</v>
      </c>
    </row>
    <row r="47" spans="1:8" ht="16" x14ac:dyDescent="0.2">
      <c r="A47" s="10" t="s">
        <v>71</v>
      </c>
      <c r="B47" s="8" t="s">
        <v>953</v>
      </c>
    </row>
    <row r="48" spans="1:8" x14ac:dyDescent="0.2">
      <c r="A48" t="s">
        <v>72</v>
      </c>
      <c r="B48" t="s">
        <v>37</v>
      </c>
    </row>
    <row r="49" spans="1:2" x14ac:dyDescent="0.2">
      <c r="A49" t="s">
        <v>86</v>
      </c>
      <c r="B49" t="s">
        <v>393</v>
      </c>
    </row>
    <row r="50" spans="1:2" x14ac:dyDescent="0.2">
      <c r="A50" t="s">
        <v>87</v>
      </c>
    </row>
    <row r="51" spans="1:2" x14ac:dyDescent="0.2">
      <c r="A51" t="s">
        <v>88</v>
      </c>
      <c r="B51">
        <v>2020</v>
      </c>
    </row>
    <row r="52" spans="1:2" x14ac:dyDescent="0.2">
      <c r="A52" t="s">
        <v>124</v>
      </c>
      <c r="B52" t="s">
        <v>428</v>
      </c>
    </row>
    <row r="53" spans="1:2" x14ac:dyDescent="0.2">
      <c r="A53" t="s">
        <v>73</v>
      </c>
      <c r="B53" t="s">
        <v>884</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1785</v>
      </c>
    </row>
    <row r="58" spans="1:2" x14ac:dyDescent="0.2">
      <c r="A58" t="s">
        <v>126</v>
      </c>
      <c r="B58">
        <v>1</v>
      </c>
    </row>
    <row r="59" spans="1:2" x14ac:dyDescent="0.2">
      <c r="A59" t="s">
        <v>127</v>
      </c>
      <c r="B59">
        <v>0</v>
      </c>
    </row>
    <row r="60" spans="1:2" x14ac:dyDescent="0.2">
      <c r="A60" t="s">
        <v>128</v>
      </c>
      <c r="B60">
        <v>0</v>
      </c>
    </row>
    <row r="61" spans="1:2" x14ac:dyDescent="0.2">
      <c r="A61" t="s">
        <v>129</v>
      </c>
      <c r="B61">
        <v>890</v>
      </c>
    </row>
    <row r="62" spans="1:2" x14ac:dyDescent="0.2">
      <c r="A62" t="s">
        <v>130</v>
      </c>
      <c r="B62">
        <v>11.625</v>
      </c>
    </row>
    <row r="63" spans="1:2" x14ac:dyDescent="0.2">
      <c r="A63" t="s">
        <v>131</v>
      </c>
      <c r="B63">
        <v>0.25</v>
      </c>
    </row>
    <row r="64" spans="1:2" x14ac:dyDescent="0.2">
      <c r="A64" t="s">
        <v>427</v>
      </c>
      <c r="B64" t="s">
        <v>43</v>
      </c>
    </row>
    <row r="65" spans="1:8" x14ac:dyDescent="0.2">
      <c r="A65" t="s">
        <v>132</v>
      </c>
      <c r="B65">
        <v>1.625</v>
      </c>
    </row>
    <row r="66" spans="1:8" x14ac:dyDescent="0.2">
      <c r="A66" t="s">
        <v>133</v>
      </c>
      <c r="B66">
        <v>0.25</v>
      </c>
    </row>
    <row r="67" spans="1:8" x14ac:dyDescent="0.2">
      <c r="A67" t="s">
        <v>363</v>
      </c>
      <c r="B67">
        <v>0.2</v>
      </c>
    </row>
    <row r="68" spans="1:8" x14ac:dyDescent="0.2">
      <c r="A68" t="s">
        <v>136</v>
      </c>
      <c r="B68">
        <v>0</v>
      </c>
    </row>
    <row r="69" spans="1:8" x14ac:dyDescent="0.2">
      <c r="A69" t="s">
        <v>137</v>
      </c>
      <c r="B69">
        <v>0</v>
      </c>
    </row>
    <row r="70" spans="1:8" x14ac:dyDescent="0.2">
      <c r="A70" t="s">
        <v>134</v>
      </c>
      <c r="B70">
        <v>8.3598130841121492</v>
      </c>
    </row>
    <row r="71" spans="1:8" x14ac:dyDescent="0.2">
      <c r="A71" t="s">
        <v>135</v>
      </c>
      <c r="B71" t="s">
        <v>138</v>
      </c>
    </row>
    <row r="72" spans="1:8" x14ac:dyDescent="0.2">
      <c r="A72" t="s">
        <v>796</v>
      </c>
      <c r="B72" s="6">
        <v>0</v>
      </c>
    </row>
    <row r="73" spans="1:8" x14ac:dyDescent="0.2">
      <c r="A73" t="s">
        <v>83</v>
      </c>
      <c r="B73" t="s">
        <v>885</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953</v>
      </c>
      <c r="B76">
        <v>1</v>
      </c>
      <c r="C76" t="s">
        <v>37</v>
      </c>
      <c r="D76" t="s">
        <v>164</v>
      </c>
      <c r="F76" t="s">
        <v>84</v>
      </c>
      <c r="G76" t="s">
        <v>85</v>
      </c>
      <c r="H76" t="s">
        <v>884</v>
      </c>
    </row>
    <row r="77" spans="1:8" x14ac:dyDescent="0.2">
      <c r="A77" t="s">
        <v>952</v>
      </c>
      <c r="B77" s="7">
        <v>5.602240896358543E-4</v>
      </c>
      <c r="C77" t="s">
        <v>37</v>
      </c>
      <c r="D77" t="s">
        <v>76</v>
      </c>
      <c r="F77" t="s">
        <v>89</v>
      </c>
      <c r="H77" t="s">
        <v>393</v>
      </c>
    </row>
    <row r="78" spans="1:8" x14ac:dyDescent="0.2">
      <c r="A78" t="s">
        <v>98</v>
      </c>
      <c r="B78" s="7">
        <v>2.6316377864728905E-2</v>
      </c>
      <c r="C78" t="s">
        <v>37</v>
      </c>
      <c r="D78" t="s">
        <v>96</v>
      </c>
      <c r="F78" t="s">
        <v>89</v>
      </c>
      <c r="G78" t="s">
        <v>28</v>
      </c>
      <c r="H78" t="s">
        <v>100</v>
      </c>
    </row>
    <row r="79" spans="1:8" x14ac:dyDescent="0.2">
      <c r="A79" t="s">
        <v>107</v>
      </c>
      <c r="B79" s="7">
        <v>4.6517624999999998E-5</v>
      </c>
      <c r="C79" t="s">
        <v>37</v>
      </c>
      <c r="D79" t="s">
        <v>105</v>
      </c>
      <c r="F79" t="s">
        <v>89</v>
      </c>
      <c r="G79" t="s">
        <v>103</v>
      </c>
      <c r="H79" t="s">
        <v>108</v>
      </c>
    </row>
    <row r="80" spans="1:8" x14ac:dyDescent="0.2">
      <c r="A80" t="s">
        <v>157</v>
      </c>
      <c r="B80" s="7">
        <v>-3.7713826473806454E-6</v>
      </c>
      <c r="C80" t="s">
        <v>92</v>
      </c>
      <c r="D80" t="s">
        <v>77</v>
      </c>
      <c r="F80" t="s">
        <v>89</v>
      </c>
      <c r="G80" t="s">
        <v>29</v>
      </c>
      <c r="H80" t="s">
        <v>159</v>
      </c>
    </row>
    <row r="81" spans="1:8" x14ac:dyDescent="0.2">
      <c r="A81" t="s">
        <v>158</v>
      </c>
      <c r="B81" s="7">
        <v>-3.6670377940073381E-6</v>
      </c>
      <c r="C81" t="s">
        <v>92</v>
      </c>
      <c r="D81" t="s">
        <v>77</v>
      </c>
      <c r="F81" t="s">
        <v>89</v>
      </c>
      <c r="G81" t="s">
        <v>30</v>
      </c>
      <c r="H81" t="s">
        <v>160</v>
      </c>
    </row>
    <row r="82" spans="1:8" x14ac:dyDescent="0.2">
      <c r="A82" t="s">
        <v>166</v>
      </c>
      <c r="B82" s="7">
        <v>-3.4384404710387182E-6</v>
      </c>
      <c r="C82" t="s">
        <v>92</v>
      </c>
      <c r="D82" t="s">
        <v>77</v>
      </c>
      <c r="F82" t="s">
        <v>89</v>
      </c>
      <c r="G82" t="s">
        <v>31</v>
      </c>
      <c r="H82" t="s">
        <v>161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Readmefirst</vt:lpstr>
      <vt:lpstr>vehicles specifications</vt:lpstr>
      <vt:lpstr>LCIA results</vt:lpstr>
      <vt:lpstr>ei names mapping</vt:lpstr>
      <vt:lpstr>EoL and shipping</vt:lpstr>
      <vt:lpstr>abrasion emissions</vt:lpstr>
      <vt:lpstr>energy battery</vt:lpstr>
      <vt:lpstr>fuels and tailpipe emissions</vt:lpstr>
      <vt:lpstr>lci-kick scooter - NMC</vt:lpstr>
      <vt:lpstr>lci-motorbikes&lt;4kW - NMC</vt:lpstr>
      <vt:lpstr>lci-motorbikes-4-11kW - NMC</vt:lpstr>
      <vt:lpstr>lci-motorbikes-11-35kW - NMC</vt:lpstr>
      <vt:lpstr>lci-motorbikes&gt;35kW - NMC</vt:lpstr>
      <vt:lpstr>lci-motorbikes-gas-4-11kW</vt:lpstr>
      <vt:lpstr>lci-motorbikes-gas-11-35kW</vt:lpstr>
      <vt:lpstr>lci-motorbikes-gas-&gt;35kW</vt:lpstr>
      <vt:lpstr>lci-scooter&lt;4kW</vt:lpstr>
      <vt:lpstr>lci-scooter-4-11kW</vt:lpstr>
      <vt:lpstr>lci-scooter-electric&lt;4kW - NMC</vt:lpstr>
      <vt:lpstr>lci-scooter-elec-4-11kW - NMC</vt:lpstr>
      <vt:lpstr>lci-moped</vt:lpstr>
      <vt:lpstr>lci-bicycle</vt:lpstr>
      <vt:lpstr>lci-elec-bicycle-25kmh - NMC</vt:lpstr>
      <vt:lpstr>lci-elec-bicycle-45kmh - NMC</vt:lpstr>
      <vt:lpstr>lci-elec-bicycle-cargo - NMC</vt:lpstr>
      <vt:lpstr>lci-tram</vt:lpstr>
      <vt:lpstr>lci-others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2021-02-01T10:08:21Z</dcterms:created>
  <dcterms:modified xsi:type="dcterms:W3CDTF">2024-07-18T08:27:14Z</dcterms:modified>
</cp:coreProperties>
</file>