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455" tabRatio="869" activeTab="1"/>
  </bookViews>
  <sheets>
    <sheet name="ОКУ" sheetId="84" r:id="rId1"/>
    <sheet name="Рейтинг" sheetId="85" r:id="rId2"/>
    <sheet name="Переменные" sheetId="4" r:id="rId3"/>
    <sheet name="Матрица" sheetId="1" r:id="rId4"/>
    <sheet name="Приложение 3" sheetId="86" r:id="rId5"/>
  </sheets>
  <definedNames>
    <definedName name="as" hidden="1">{"размещение",#N/A,FALSE,"GAP твердая валюта";"ресурсы",#N/A,FALSE,"GAP твердая валюта";"свод",#N/A,FALSE,"GAP твердая валюта"}</definedName>
    <definedName name="AS2DocOpenMode" hidden="1">"AS2DocumentBrowse"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TextRefCopyRangeCount" hidden="1">13</definedName>
    <definedName name="vuifugy" hidden="1">{"Баланс",#N/A,TRUE,"Для аудита";"По валютам",#N/A,TRUE,"Для аудита";"По срокам",#N/A,TRUE,"Для аудита";#N/A,#N/A,TRUE,"комментарии к балансу";#N/A,#N/A,TRUE,"Пояснения к балансу"}</definedName>
    <definedName name="wrn.Aging._.and._.Trend._.Analysis." hidden="1">{#N/A,#N/A,FALSE,"Aging Summary";#N/A,#N/A,FALSE,"Ratio Analysis";#N/A,#N/A,FALSE,"Test 120 Day Accts";#N/A,#N/A,FALSE,"Tickmarks"}</definedName>
    <definedName name="wrn.Full." hidden="1">{"компактный",#N/A,FALSE,"Свод за нед. (new)";"активы",#N/A,FALSE,"Свод за нед. (new)";"пассивы",#N/A,FALSE,"Свод за нед. (new)";"и компактный",#N/A,FALSE,"Изменение за нед. (new)";"и активы",#N/A,FALSE,"Изменение за нед. (new)";"и пассивы",#N/A,FALSE,"Изменение за нед. (new)";"ставки компактный",#N/A,FALSE,"Изменение за нед. (new)";"ставки а",#N/A,FALSE,"Изменение за нед. (new)";"ставки п",#N/A,FALSE,"Изменение за нед. (new)";"т маржа",#N/A,FALSE,"Тенговая маржа";"в маржа",#N/A,FALSE,"Валютная маржа";"к маржа",#N/A,FALSE,"Маржа";"дата",#N/A,FALSE,"Дата"}</definedName>
    <definedName name="wrn.GAP._.мягкая._.валюта." hidden="1">{"размещение",#N/A,FALSE,"GAP мягкая валюта";"ресурсы",#N/A,FALSE,"GAP мягкая валюта";"свод",#N/A,FALSE,"GAP мягкая валюта"}</definedName>
    <definedName name="wrn.GAP._.твердая._.валюта." hidden="1">{"размещение",#N/A,FALSE,"GAP твердая валюта";"ресурсы",#N/A,FALSE,"GAP твердая валюта";"свод",#N/A,FALSE,"GAP твердая валюта"}</definedName>
    <definedName name="wrn.GAP._.тенге." hidden="1">{"размещение",#N/A,FALSE,"GAP тенге";"ресурсы",#N/A,FALSE,"GAP тенге";"свод",#N/A,FALSE,"GAP тенге"}</definedName>
    <definedName name="wrn.ML._.мягкая._.валюта." hidden="1">{"размещение",#N/A,FALSE,"ML мягкая валюта";"ресурсы",#N/A,FALSE,"ML мягкая валюта";"свод",#N/A,FALSE,"ML мягкая валюта"}</definedName>
    <definedName name="wrn.ML._.твердая._.валюта." hidden="1">{"размещение",#N/A,FALSE,"ML твердая валюта";"ресурсы",#N/A,FALSE,"ML твердая валюта";"свод",#N/A,FALSE,"ML твердая валюта"}</definedName>
    <definedName name="wrn.ML._.тенге." hidden="1">{"свод",#N/A,FALSE,"ML тенге";"размещение",#N/A,FALSE,"ML тенге";"ресурсы",#N/A,FALSE,"ML тенге"}</definedName>
    <definedName name="wrn.Дата." hidden="1">{"дата",#N/A,FALSE,"Дата"}</definedName>
    <definedName name="wrn.Для._.аудита." hidden="1">{#N/A,#N/A,FALSE,"Для аудита";#N/A,#N/A,FALSE,"Лист1";#N/A,#N/A,FALSE,"Лист2";#N/A,#N/A,FALSE,"комментарии к балансу";#N/A,#N/A,FALSE,"Пояснения к балансу";"Отчет о приб.",#N/A,FALSE,"Отчет о прибылях";"Комм. к отчету о приб.",#N/A,FALSE,"Отчет о прибылях";#N/A,#N/A,FALSE,"Пояснен.к отч. о прибылях"}</definedName>
    <definedName name="wrn.Изменения." hidden="1">{"и компактный",#N/A,FALSE,"Изменение за нед. (new)";"и активы",#N/A,FALSE,"Изменение за нед. (new)";"и пассивы",#N/A,FALSE,"Изменение за нед. (new)";"ставки компактный",#N/A,FALSE,"Изменение за нед. (new)";"ставки а",#N/A,FALSE,"Изменение за нед. (new)";"ставки п",#N/A,FALSE,"Изменение за нед. (new)"}</definedName>
    <definedName name="wrn.Маржа." hidden="1">{"т маржа",#N/A,FALSE,"Тенговая маржа";"в маржа",#N/A,FALSE,"Валютная маржа";"к маржа",#N/A,FALSE,"Маржа"}</definedName>
    <definedName name="wrn.МСБУ." hidden="1">{"Баланс",#N/A,TRUE,"Для аудита";"По валютам",#N/A,TRUE,"Для аудита";"По срокам",#N/A,TRUE,"Для аудита";#N/A,#N/A,TRUE,"комментарии к балансу";#N/A,#N/A,TRUE,"Пояснения к балансу"}</definedName>
    <definedName name="wrn.Отчеты._.для._.УИТ." hidden="1">{#N/A,#N/A,TRUE,"Отчет о марже (краткий)";#N/A,#N/A,TRUE,"Ценные бумаги";#N/A,#N/A,TRUE,"Ссуды";#N/A,#N/A,TRUE,"МБК";#N/A,#N/A,TRUE,"Счета клиентов"}</definedName>
    <definedName name="wrn.по._.МСБУ._.только._.баланс." hidden="1">{"Баланс",#N/A,FALSE,"Для аудита";#N/A,#N/A,FALSE,"комментарии к балансу";#N/A,#N/A,FALSE,"Пояснения к балансу"}</definedName>
    <definedName name="wrn.По._.срокам." hidden="1">{"Валютная позиция",#N/A,TRUE,"Сроки";"Чувствительность",#N/A,TRUE,"Сроки";"Срочный риск",#N/A,TRUE,"Сроки";"Отчет о движении",#N/A,TRUE,"Отчет о движении"}</definedName>
    <definedName name="wrn.Сводные." hidden="1">{"компактный",#N/A,FALSE,"Свод за нед. (new)";"активы",#N/A,FALSE,"Свод за нед. (new)";"пассивы",#N/A,FALSE,"Свод за нед. (new)"}</definedName>
    <definedName name="wwe" hidden="1">{#N/A,#N/A,FALSE,"Aging Summary";#N/A,#N/A,FALSE,"Ratio Analysis";#N/A,#N/A,FALSE,"Test 120 Day Accts";#N/A,#N/A,FALSE,"Tickmarks"}</definedName>
    <definedName name="цфыв" hidden="1">{"Баланс",#N/A,TRUE,"Для аудита";"По валютам",#N/A,TRUE,"Для аудита";"По срокам",#N/A,TRUE,"Для аудита";#N/A,#N/A,TRUE,"комментарии к балансу";#N/A,#N/A,TRUE,"Пояснения к балансу"}</definedName>
  </definedNames>
  <calcPr calcId="145621"/>
</workbook>
</file>

<file path=xl/calcChain.xml><?xml version="1.0" encoding="utf-8"?>
<calcChain xmlns="http://schemas.openxmlformats.org/spreadsheetml/2006/main">
  <c r="D123" i="85" l="1"/>
  <c r="C123" i="85"/>
  <c r="O45" i="86" l="1"/>
  <c r="M45" i="86"/>
  <c r="K45" i="86"/>
  <c r="I45" i="86"/>
  <c r="N44" i="86"/>
  <c r="L44" i="86"/>
  <c r="J44" i="86"/>
  <c r="H44" i="86"/>
  <c r="I44" i="86" s="1"/>
  <c r="N43" i="86"/>
  <c r="L43" i="86"/>
  <c r="J43" i="86"/>
  <c r="H43" i="86"/>
  <c r="N42" i="86"/>
  <c r="L42" i="86"/>
  <c r="J42" i="86"/>
  <c r="H42" i="86"/>
  <c r="G42" i="86"/>
  <c r="G43" i="86" s="1"/>
  <c r="G44" i="86" s="1"/>
  <c r="F42" i="86"/>
  <c r="E42" i="86"/>
  <c r="E43" i="86" s="1"/>
  <c r="E44" i="86" s="1"/>
  <c r="D42" i="86"/>
  <c r="C42" i="86"/>
  <c r="C43" i="86" s="1"/>
  <c r="C44" i="86" s="1"/>
  <c r="B42" i="86"/>
  <c r="O41" i="86"/>
  <c r="M41" i="86"/>
  <c r="K41" i="86"/>
  <c r="I41" i="86"/>
  <c r="N40" i="86"/>
  <c r="L40" i="86"/>
  <c r="J40" i="86"/>
  <c r="K40" i="86" s="1"/>
  <c r="H40" i="86"/>
  <c r="I40" i="86" s="1"/>
  <c r="N39" i="86"/>
  <c r="L39" i="86"/>
  <c r="J39" i="86"/>
  <c r="H39" i="86"/>
  <c r="I43" i="86" s="1"/>
  <c r="N38" i="86"/>
  <c r="L38" i="86"/>
  <c r="J38" i="86"/>
  <c r="H38" i="86"/>
  <c r="I38" i="86" s="1"/>
  <c r="G38" i="86"/>
  <c r="G39" i="86" s="1"/>
  <c r="G40" i="86" s="1"/>
  <c r="F38" i="86"/>
  <c r="E38" i="86"/>
  <c r="E39" i="86" s="1"/>
  <c r="E40" i="86" s="1"/>
  <c r="D38" i="86"/>
  <c r="C38" i="86"/>
  <c r="C39" i="86" s="1"/>
  <c r="C40" i="86" s="1"/>
  <c r="B38" i="86"/>
  <c r="O37" i="86"/>
  <c r="M37" i="86"/>
  <c r="K37" i="86"/>
  <c r="I37" i="86"/>
  <c r="N36" i="86"/>
  <c r="L36" i="86"/>
  <c r="M36" i="86" s="1"/>
  <c r="J36" i="86"/>
  <c r="K36" i="86" s="1"/>
  <c r="H36" i="86"/>
  <c r="I36" i="86" s="1"/>
  <c r="N35" i="86"/>
  <c r="L35" i="86"/>
  <c r="M39" i="86" s="1"/>
  <c r="J35" i="86"/>
  <c r="H35" i="86"/>
  <c r="N34" i="86"/>
  <c r="O34" i="86" s="1"/>
  <c r="L34" i="86"/>
  <c r="M34" i="86" s="1"/>
  <c r="J34" i="86"/>
  <c r="K34" i="86" s="1"/>
  <c r="H34" i="86"/>
  <c r="G34" i="86"/>
  <c r="G35" i="86" s="1"/>
  <c r="G36" i="86" s="1"/>
  <c r="F34" i="86"/>
  <c r="E34" i="86"/>
  <c r="E35" i="86" s="1"/>
  <c r="E36" i="86" s="1"/>
  <c r="D34" i="86"/>
  <c r="C34" i="86"/>
  <c r="C35" i="86" s="1"/>
  <c r="C36" i="86" s="1"/>
  <c r="B34" i="86"/>
  <c r="O33" i="86"/>
  <c r="M33" i="86"/>
  <c r="K33" i="86"/>
  <c r="I33" i="86"/>
  <c r="N32" i="86"/>
  <c r="O32" i="86" s="1"/>
  <c r="L32" i="86"/>
  <c r="M32" i="86" s="1"/>
  <c r="J32" i="86"/>
  <c r="K32" i="86" s="1"/>
  <c r="H32" i="86"/>
  <c r="I32" i="86" s="1"/>
  <c r="N31" i="86"/>
  <c r="O35" i="86" s="1"/>
  <c r="L31" i="86"/>
  <c r="J31" i="86"/>
  <c r="H31" i="86"/>
  <c r="N30" i="86"/>
  <c r="L30" i="86"/>
  <c r="M30" i="86" s="1"/>
  <c r="J30" i="86"/>
  <c r="K30" i="86" s="1"/>
  <c r="H30" i="86"/>
  <c r="I30" i="86" s="1"/>
  <c r="G30" i="86"/>
  <c r="G31" i="86" s="1"/>
  <c r="G32" i="86" s="1"/>
  <c r="F30" i="86"/>
  <c r="E30" i="86"/>
  <c r="E31" i="86" s="1"/>
  <c r="E32" i="86" s="1"/>
  <c r="D30" i="86"/>
  <c r="C30" i="86"/>
  <c r="C31" i="86" s="1"/>
  <c r="C32" i="86" s="1"/>
  <c r="B30" i="86"/>
  <c r="O29" i="86"/>
  <c r="M29" i="86"/>
  <c r="I29" i="86"/>
  <c r="W28" i="86"/>
  <c r="U28" i="86"/>
  <c r="O28" i="86"/>
  <c r="N28" i="86"/>
  <c r="M28" i="86"/>
  <c r="L28" i="86"/>
  <c r="J28" i="86"/>
  <c r="H28" i="86"/>
  <c r="W27" i="86"/>
  <c r="U27" i="86"/>
  <c r="N27" i="86"/>
  <c r="L27" i="86"/>
  <c r="M31" i="86" s="1"/>
  <c r="J27" i="86"/>
  <c r="K31" i="86" s="1"/>
  <c r="H27" i="86"/>
  <c r="I31" i="86" s="1"/>
  <c r="W26" i="86"/>
  <c r="U26" i="86"/>
  <c r="O26" i="86"/>
  <c r="N26" i="86"/>
  <c r="M26" i="86"/>
  <c r="L26" i="86"/>
  <c r="J26" i="86"/>
  <c r="H26" i="86"/>
  <c r="G26" i="86"/>
  <c r="G27" i="86" s="1"/>
  <c r="G28" i="86" s="1"/>
  <c r="F26" i="86"/>
  <c r="E26" i="86"/>
  <c r="E27" i="86" s="1"/>
  <c r="E28" i="86" s="1"/>
  <c r="D26" i="86"/>
  <c r="D27" i="86" s="1"/>
  <c r="C26" i="86"/>
  <c r="C27" i="86" s="1"/>
  <c r="C28" i="86" s="1"/>
  <c r="B26" i="86"/>
  <c r="W25" i="86"/>
  <c r="U25" i="86"/>
  <c r="O25" i="86"/>
  <c r="M25" i="86"/>
  <c r="J25" i="86"/>
  <c r="K29" i="86" s="1"/>
  <c r="I25" i="86"/>
  <c r="W24" i="86"/>
  <c r="U24" i="86"/>
  <c r="O24" i="86"/>
  <c r="M24" i="86"/>
  <c r="J24" i="86"/>
  <c r="H24" i="86"/>
  <c r="I28" i="86" s="1"/>
  <c r="W23" i="86"/>
  <c r="U23" i="86"/>
  <c r="O23" i="86"/>
  <c r="M23" i="86"/>
  <c r="J23" i="86"/>
  <c r="H23" i="86"/>
  <c r="W22" i="86"/>
  <c r="U22" i="86"/>
  <c r="O22" i="86"/>
  <c r="M22" i="86"/>
  <c r="J22" i="86"/>
  <c r="K26" i="86" s="1"/>
  <c r="H22" i="86"/>
  <c r="I26" i="86" s="1"/>
  <c r="G22" i="86"/>
  <c r="G23" i="86" s="1"/>
  <c r="G24" i="86" s="1"/>
  <c r="F22" i="86"/>
  <c r="F23" i="86" s="1"/>
  <c r="F24" i="86" s="1"/>
  <c r="E22" i="86"/>
  <c r="E23" i="86" s="1"/>
  <c r="E24" i="86" s="1"/>
  <c r="D22" i="86"/>
  <c r="D23" i="86" s="1"/>
  <c r="D24" i="86" s="1"/>
  <c r="C22" i="86"/>
  <c r="C23" i="86" s="1"/>
  <c r="C24" i="86" s="1"/>
  <c r="B22" i="86"/>
  <c r="B23" i="86" s="1"/>
  <c r="B24" i="86" s="1"/>
  <c r="W21" i="86"/>
  <c r="U21" i="86"/>
  <c r="O21" i="86"/>
  <c r="M21" i="86"/>
  <c r="K21" i="86"/>
  <c r="I21" i="86"/>
  <c r="W20" i="86"/>
  <c r="U20" i="86"/>
  <c r="O20" i="86"/>
  <c r="M20" i="86"/>
  <c r="J20" i="86"/>
  <c r="H20" i="86"/>
  <c r="W19" i="86"/>
  <c r="U19" i="86"/>
  <c r="O19" i="86"/>
  <c r="M19" i="86"/>
  <c r="J19" i="86"/>
  <c r="H19" i="86"/>
  <c r="W18" i="86"/>
  <c r="U18" i="86"/>
  <c r="O18" i="86"/>
  <c r="M18" i="86"/>
  <c r="J18" i="86"/>
  <c r="H18" i="86"/>
  <c r="G18" i="86"/>
  <c r="G19" i="86" s="1"/>
  <c r="G20" i="86" s="1"/>
  <c r="F18" i="86"/>
  <c r="F19" i="86" s="1"/>
  <c r="E18" i="86"/>
  <c r="E19" i="86" s="1"/>
  <c r="E20" i="86" s="1"/>
  <c r="D18" i="86"/>
  <c r="D19" i="86" s="1"/>
  <c r="C18" i="86"/>
  <c r="C19" i="86" s="1"/>
  <c r="C20" i="86" s="1"/>
  <c r="B18" i="86"/>
  <c r="B19" i="86" s="1"/>
  <c r="W17" i="86"/>
  <c r="V5" i="86" s="1"/>
  <c r="U17" i="86"/>
  <c r="R6" i="86" s="1"/>
  <c r="O17" i="86"/>
  <c r="M17" i="86"/>
  <c r="K17" i="86"/>
  <c r="I17" i="86"/>
  <c r="J16" i="86"/>
  <c r="H16" i="86"/>
  <c r="J15" i="86"/>
  <c r="H15" i="86"/>
  <c r="J14" i="86"/>
  <c r="H14" i="86"/>
  <c r="V7" i="86"/>
  <c r="V6" i="86"/>
  <c r="V3" i="86"/>
  <c r="U3" i="86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E6" i="1"/>
  <c r="F6" i="1"/>
  <c r="G6" i="1"/>
  <c r="H6" i="1"/>
  <c r="I6" i="1" s="1"/>
  <c r="J6" i="1" s="1"/>
  <c r="K6" i="1" s="1"/>
  <c r="L6" i="1" s="1"/>
  <c r="M6" i="1" s="1"/>
  <c r="N6" i="1" s="1"/>
  <c r="O6" i="1" s="1"/>
  <c r="P6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E8" i="1"/>
  <c r="F8" i="1"/>
  <c r="G8" i="1"/>
  <c r="H8" i="1" s="1"/>
  <c r="I8" i="1" s="1"/>
  <c r="J8" i="1" s="1"/>
  <c r="K8" i="1" s="1"/>
  <c r="L8" i="1" s="1"/>
  <c r="M8" i="1" s="1"/>
  <c r="N8" i="1" s="1"/>
  <c r="O8" i="1" s="1"/>
  <c r="P8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I19" i="86" l="1"/>
  <c r="K43" i="86"/>
  <c r="O36" i="86"/>
  <c r="K44" i="86"/>
  <c r="K19" i="86"/>
  <c r="K28" i="86"/>
  <c r="S31" i="86" s="1"/>
  <c r="O39" i="86"/>
  <c r="M43" i="86"/>
  <c r="O43" i="86"/>
  <c r="I34" i="86"/>
  <c r="I42" i="86"/>
  <c r="I18" i="86"/>
  <c r="I20" i="86"/>
  <c r="I27" i="86"/>
  <c r="S30" i="86" s="1"/>
  <c r="M27" i="86"/>
  <c r="M38" i="86"/>
  <c r="T39" i="86" s="1"/>
  <c r="O40" i="86"/>
  <c r="K42" i="86"/>
  <c r="M44" i="86"/>
  <c r="V4" i="86"/>
  <c r="K18" i="86"/>
  <c r="K20" i="86"/>
  <c r="K27" i="86"/>
  <c r="O31" i="86"/>
  <c r="O38" i="86"/>
  <c r="M42" i="86"/>
  <c r="O44" i="86"/>
  <c r="K25" i="86"/>
  <c r="O27" i="86"/>
  <c r="O30" i="86"/>
  <c r="T32" i="86" s="1"/>
  <c r="O42" i="86"/>
  <c r="M40" i="86"/>
  <c r="T42" i="86" s="1"/>
  <c r="I35" i="86"/>
  <c r="R7" i="86"/>
  <c r="K35" i="86"/>
  <c r="S35" i="86" s="1"/>
  <c r="I39" i="86"/>
  <c r="K38" i="86"/>
  <c r="S39" i="86" s="1"/>
  <c r="M35" i="86"/>
  <c r="T38" i="86" s="1"/>
  <c r="K39" i="86"/>
  <c r="B20" i="86"/>
  <c r="F20" i="86"/>
  <c r="D28" i="86"/>
  <c r="S40" i="86"/>
  <c r="T34" i="86"/>
  <c r="S32" i="86"/>
  <c r="S33" i="86"/>
  <c r="T33" i="86"/>
  <c r="S38" i="86"/>
  <c r="T35" i="86"/>
  <c r="T36" i="86"/>
  <c r="T37" i="86"/>
  <c r="S43" i="86"/>
  <c r="T43" i="86"/>
  <c r="S44" i="86"/>
  <c r="T44" i="86"/>
  <c r="S45" i="86"/>
  <c r="T45" i="86"/>
  <c r="D20" i="86"/>
  <c r="I22" i="86"/>
  <c r="K22" i="86"/>
  <c r="I23" i="86"/>
  <c r="K23" i="86"/>
  <c r="I24" i="86"/>
  <c r="K24" i="86"/>
  <c r="B27" i="86"/>
  <c r="F27" i="86"/>
  <c r="B31" i="86"/>
  <c r="D31" i="86"/>
  <c r="F31" i="86"/>
  <c r="B35" i="86"/>
  <c r="D35" i="86"/>
  <c r="F35" i="86"/>
  <c r="B39" i="86"/>
  <c r="D39" i="86"/>
  <c r="F39" i="86"/>
  <c r="B43" i="86"/>
  <c r="B44" i="86" s="1"/>
  <c r="D43" i="86"/>
  <c r="D44" i="86" s="1"/>
  <c r="F43" i="86"/>
  <c r="F44" i="86" s="1"/>
  <c r="Q44" i="86"/>
  <c r="P45" i="86"/>
  <c r="T31" i="86" l="1"/>
  <c r="T30" i="86"/>
  <c r="S37" i="86"/>
  <c r="S34" i="86"/>
  <c r="S42" i="86"/>
  <c r="T41" i="86"/>
  <c r="S36" i="86"/>
  <c r="T40" i="86"/>
  <c r="T29" i="86"/>
  <c r="S41" i="86"/>
  <c r="R4" i="86"/>
  <c r="S29" i="86"/>
  <c r="R45" i="86"/>
  <c r="F40" i="86"/>
  <c r="R42" i="86" s="1"/>
  <c r="B40" i="86"/>
  <c r="P42" i="86" s="1"/>
  <c r="F36" i="86"/>
  <c r="R38" i="86" s="1"/>
  <c r="B36" i="86"/>
  <c r="P36" i="86" s="1"/>
  <c r="F32" i="86"/>
  <c r="R34" i="86" s="1"/>
  <c r="B32" i="86"/>
  <c r="B28" i="86"/>
  <c r="P31" i="86" s="1"/>
  <c r="R44" i="86"/>
  <c r="P44" i="86"/>
  <c r="P29" i="86"/>
  <c r="R40" i="86"/>
  <c r="P40" i="86"/>
  <c r="Q29" i="86"/>
  <c r="D40" i="86"/>
  <c r="Q42" i="86" s="1"/>
  <c r="D36" i="86"/>
  <c r="D32" i="86"/>
  <c r="Q34" i="86"/>
  <c r="F28" i="86"/>
  <c r="Q45" i="86"/>
  <c r="R36" i="86"/>
  <c r="Q33" i="86"/>
  <c r="Q30" i="86"/>
  <c r="B11" i="85"/>
  <c r="B10" i="85"/>
  <c r="B9" i="85"/>
  <c r="P34" i="86" l="1"/>
  <c r="Q41" i="86"/>
  <c r="P38" i="86"/>
  <c r="P32" i="86"/>
  <c r="R31" i="86"/>
  <c r="R32" i="86"/>
  <c r="Q38" i="86"/>
  <c r="P30" i="86"/>
  <c r="R5" i="86"/>
  <c r="Q35" i="86"/>
  <c r="Q32" i="86"/>
  <c r="Q39" i="86"/>
  <c r="Q36" i="86"/>
  <c r="Q43" i="86"/>
  <c r="Q40" i="86"/>
  <c r="P35" i="86"/>
  <c r="P33" i="86"/>
  <c r="R35" i="86"/>
  <c r="R33" i="86"/>
  <c r="P39" i="86"/>
  <c r="P37" i="86"/>
  <c r="R39" i="86"/>
  <c r="R37" i="86"/>
  <c r="P43" i="86"/>
  <c r="P41" i="86"/>
  <c r="R43" i="86"/>
  <c r="R41" i="86"/>
  <c r="R29" i="86"/>
  <c r="R30" i="86"/>
  <c r="Q31" i="86"/>
  <c r="R3" i="86"/>
  <c r="Q37" i="86"/>
  <c r="A216" i="4"/>
  <c r="A211" i="4"/>
  <c r="A206" i="4"/>
  <c r="A201" i="4"/>
  <c r="A196" i="4"/>
  <c r="A191" i="4"/>
  <c r="A186" i="4"/>
  <c r="A181" i="4"/>
  <c r="H68" i="4"/>
  <c r="G68" i="4"/>
  <c r="F68" i="4"/>
  <c r="E68" i="4"/>
  <c r="D68" i="4"/>
  <c r="C68" i="4"/>
  <c r="B68" i="4"/>
  <c r="H42" i="4"/>
  <c r="G42" i="4"/>
  <c r="F42" i="4"/>
  <c r="E42" i="4"/>
  <c r="D42" i="4"/>
  <c r="C42" i="4"/>
  <c r="B42" i="4"/>
  <c r="U7" i="86" l="1"/>
  <c r="U6" i="86"/>
  <c r="Q3" i="86"/>
  <c r="Q7" i="86"/>
  <c r="Q6" i="86"/>
  <c r="U5" i="86"/>
  <c r="U4" i="86"/>
  <c r="Q4" i="86"/>
  <c r="V43" i="86" s="1"/>
  <c r="X43" i="86"/>
  <c r="X41" i="86"/>
  <c r="X37" i="86"/>
  <c r="X33" i="86"/>
  <c r="Q5" i="86"/>
  <c r="C294" i="85"/>
  <c r="B294" i="85" s="1"/>
  <c r="C293" i="85"/>
  <c r="B293" i="85" s="1"/>
  <c r="C292" i="85"/>
  <c r="C291" i="85"/>
  <c r="B290" i="85" s="1"/>
  <c r="C289" i="85"/>
  <c r="B289" i="85" s="1"/>
  <c r="C288" i="85"/>
  <c r="C287" i="85"/>
  <c r="C286" i="85"/>
  <c r="C284" i="85"/>
  <c r="C283" i="85"/>
  <c r="C282" i="85"/>
  <c r="C281" i="85"/>
  <c r="A280" i="85"/>
  <c r="C279" i="85"/>
  <c r="C278" i="85"/>
  <c r="C277" i="85"/>
  <c r="C276" i="85"/>
  <c r="A275" i="85"/>
  <c r="A270" i="85"/>
  <c r="C269" i="85"/>
  <c r="C268" i="85"/>
  <c r="C267" i="85"/>
  <c r="C266" i="85"/>
  <c r="A265" i="85"/>
  <c r="C264" i="85"/>
  <c r="C263" i="85"/>
  <c r="C262" i="85"/>
  <c r="C261" i="85"/>
  <c r="A260" i="85"/>
  <c r="C259" i="85"/>
  <c r="C258" i="85"/>
  <c r="C257" i="85"/>
  <c r="C256" i="85"/>
  <c r="A255" i="85"/>
  <c r="C254" i="85"/>
  <c r="C253" i="85"/>
  <c r="C252" i="85"/>
  <c r="C251" i="85"/>
  <c r="A250" i="85"/>
  <c r="C249" i="85"/>
  <c r="C248" i="85"/>
  <c r="C247" i="85"/>
  <c r="C246" i="85"/>
  <c r="C244" i="85"/>
  <c r="C243" i="85"/>
  <c r="C242" i="85"/>
  <c r="C241" i="85"/>
  <c r="C239" i="85"/>
  <c r="C238" i="85"/>
  <c r="C237" i="85"/>
  <c r="C236" i="85"/>
  <c r="C224" i="85"/>
  <c r="C223" i="85"/>
  <c r="C222" i="85"/>
  <c r="C221" i="85"/>
  <c r="C219" i="85"/>
  <c r="C218" i="85"/>
  <c r="C217" i="85"/>
  <c r="C216" i="85"/>
  <c r="D127" i="85"/>
  <c r="D133" i="85" s="1"/>
  <c r="D137" i="85" s="1"/>
  <c r="C127" i="85"/>
  <c r="C133" i="85" s="1"/>
  <c r="D117" i="85"/>
  <c r="C117" i="85"/>
  <c r="D111" i="85"/>
  <c r="C111" i="85"/>
  <c r="D106" i="85"/>
  <c r="C106" i="85"/>
  <c r="D97" i="85"/>
  <c r="C97" i="85"/>
  <c r="D90" i="85"/>
  <c r="C90" i="85"/>
  <c r="D71" i="85"/>
  <c r="D70" i="85"/>
  <c r="D69" i="85"/>
  <c r="D68" i="85"/>
  <c r="D67" i="85"/>
  <c r="D66" i="85"/>
  <c r="C66" i="85"/>
  <c r="D65" i="85"/>
  <c r="C65" i="85"/>
  <c r="D64" i="85"/>
  <c r="E64" i="85" s="1"/>
  <c r="C64" i="85"/>
  <c r="D63" i="85"/>
  <c r="C63" i="85"/>
  <c r="D62" i="85"/>
  <c r="C62" i="85"/>
  <c r="D61" i="85"/>
  <c r="C61" i="85"/>
  <c r="D59" i="85"/>
  <c r="C59" i="85"/>
  <c r="D58" i="85"/>
  <c r="C58" i="85"/>
  <c r="D57" i="85"/>
  <c r="C57" i="85"/>
  <c r="D56" i="85"/>
  <c r="C56" i="85"/>
  <c r="D55" i="85"/>
  <c r="C55" i="85"/>
  <c r="D53" i="85"/>
  <c r="C53" i="85"/>
  <c r="D52" i="85"/>
  <c r="C52" i="85"/>
  <c r="D51" i="85"/>
  <c r="C51" i="85"/>
  <c r="D49" i="85"/>
  <c r="E49" i="85" s="1"/>
  <c r="C49" i="85"/>
  <c r="D45" i="85"/>
  <c r="E45" i="85" s="1"/>
  <c r="D44" i="85"/>
  <c r="E44" i="85" s="1"/>
  <c r="D43" i="85"/>
  <c r="E43" i="85" s="1"/>
  <c r="D42" i="85"/>
  <c r="E42" i="85" s="1"/>
  <c r="D41" i="85"/>
  <c r="E41" i="85" s="1"/>
  <c r="D40" i="85"/>
  <c r="E40" i="85" s="1"/>
  <c r="D39" i="85"/>
  <c r="E39" i="85" s="1"/>
  <c r="D38" i="85"/>
  <c r="E38" i="85" s="1"/>
  <c r="D37" i="85"/>
  <c r="E37" i="85" s="1"/>
  <c r="D36" i="85"/>
  <c r="E36" i="85" s="1"/>
  <c r="D35" i="85"/>
  <c r="D34" i="85"/>
  <c r="D33" i="85"/>
  <c r="D32" i="85"/>
  <c r="D31" i="85"/>
  <c r="D30" i="85"/>
  <c r="D29" i="85"/>
  <c r="D28" i="85"/>
  <c r="D27" i="85"/>
  <c r="D26" i="85"/>
  <c r="D25" i="85"/>
  <c r="D24" i="85"/>
  <c r="D23" i="85"/>
  <c r="D22" i="85"/>
  <c r="D21" i="85"/>
  <c r="D20" i="85"/>
  <c r="D19" i="85"/>
  <c r="D18" i="85"/>
  <c r="D17" i="85"/>
  <c r="B17" i="85"/>
  <c r="D16" i="85"/>
  <c r="D15" i="85"/>
  <c r="D14" i="85"/>
  <c r="D13" i="85"/>
  <c r="D12" i="85"/>
  <c r="D11" i="85"/>
  <c r="D10" i="85"/>
  <c r="D9" i="85"/>
  <c r="D8" i="85"/>
  <c r="D7" i="85"/>
  <c r="D6" i="85"/>
  <c r="X40" i="86" l="1"/>
  <c r="E55" i="85"/>
  <c r="V35" i="86"/>
  <c r="V39" i="86"/>
  <c r="E59" i="85"/>
  <c r="X30" i="86"/>
  <c r="X34" i="86"/>
  <c r="X38" i="86"/>
  <c r="X42" i="86"/>
  <c r="X36" i="86"/>
  <c r="X32" i="86"/>
  <c r="X44" i="86"/>
  <c r="X45" i="86"/>
  <c r="X29" i="86"/>
  <c r="C3" i="86" s="1"/>
  <c r="V45" i="86"/>
  <c r="V29" i="86"/>
  <c r="V31" i="86"/>
  <c r="V40" i="86"/>
  <c r="V30" i="86"/>
  <c r="V34" i="86"/>
  <c r="V38" i="86"/>
  <c r="V42" i="86"/>
  <c r="V36" i="86"/>
  <c r="V32" i="86"/>
  <c r="V44" i="86"/>
  <c r="X35" i="86"/>
  <c r="X39" i="86"/>
  <c r="V33" i="86"/>
  <c r="V37" i="86"/>
  <c r="V41" i="86"/>
  <c r="X31" i="86"/>
  <c r="B13" i="85"/>
  <c r="B23" i="85"/>
  <c r="B24" i="85"/>
  <c r="B7" i="85"/>
  <c r="B28" i="85"/>
  <c r="B29" i="85"/>
  <c r="B257" i="85" s="1"/>
  <c r="B30" i="85"/>
  <c r="B263" i="85" s="1"/>
  <c r="B12" i="85"/>
  <c r="E62" i="85"/>
  <c r="E66" i="85"/>
  <c r="B19" i="85"/>
  <c r="B14" i="85"/>
  <c r="C98" i="85"/>
  <c r="B8" i="85"/>
  <c r="B292" i="85"/>
  <c r="E51" i="85"/>
  <c r="E56" i="85"/>
  <c r="E58" i="85"/>
  <c r="E65" i="85"/>
  <c r="E57" i="85"/>
  <c r="B291" i="85"/>
  <c r="E52" i="85"/>
  <c r="E61" i="85"/>
  <c r="B288" i="85"/>
  <c r="B18" i="85"/>
  <c r="B6" i="85"/>
  <c r="B20" i="85"/>
  <c r="D118" i="85"/>
  <c r="D98" i="85"/>
  <c r="E63" i="85"/>
  <c r="B32" i="85"/>
  <c r="B31" i="85"/>
  <c r="B286" i="85"/>
  <c r="B285" i="85"/>
  <c r="B34" i="85"/>
  <c r="B33" i="85"/>
  <c r="B26" i="85"/>
  <c r="B241" i="85" s="1"/>
  <c r="C137" i="85"/>
  <c r="B16" i="85" s="1"/>
  <c r="B287" i="85"/>
  <c r="C118" i="85"/>
  <c r="E53" i="85"/>
  <c r="B6" i="84"/>
  <c r="B15" i="85" l="1"/>
  <c r="C2" i="86"/>
  <c r="B25" i="84" s="1"/>
  <c r="C119" i="85"/>
  <c r="B21" i="85"/>
  <c r="B219" i="85" s="1"/>
  <c r="B22" i="85"/>
  <c r="D119" i="85"/>
  <c r="B25" i="85"/>
  <c r="B239" i="85" s="1"/>
  <c r="E72" i="85"/>
  <c r="E73" i="85" s="1"/>
  <c r="C271" i="85" s="1"/>
  <c r="B270" i="85" s="1"/>
  <c r="B243" i="85"/>
  <c r="B27" i="85"/>
  <c r="B245" i="85" s="1"/>
  <c r="B259" i="85"/>
  <c r="B250" i="85"/>
  <c r="B252" i="85"/>
  <c r="B254" i="85"/>
  <c r="B260" i="85"/>
  <c r="B264" i="85"/>
  <c r="B262" i="85"/>
  <c r="B275" i="85"/>
  <c r="B278" i="85"/>
  <c r="B276" i="85"/>
  <c r="C35" i="85"/>
  <c r="E35" i="85" s="1"/>
  <c r="B251" i="85"/>
  <c r="B265" i="85"/>
  <c r="B269" i="85"/>
  <c r="B266" i="85"/>
  <c r="B268" i="85"/>
  <c r="B267" i="85"/>
  <c r="B255" i="85"/>
  <c r="B258" i="85"/>
  <c r="B256" i="85"/>
  <c r="B283" i="85"/>
  <c r="B281" i="85"/>
  <c r="B280" i="85"/>
  <c r="B284" i="85"/>
  <c r="B282" i="85"/>
  <c r="B261" i="85"/>
  <c r="B277" i="85"/>
  <c r="B240" i="85"/>
  <c r="B244" i="85"/>
  <c r="B242" i="85"/>
  <c r="B279" i="85"/>
  <c r="B253" i="85"/>
  <c r="B218" i="85" l="1"/>
  <c r="B215" i="85"/>
  <c r="C168" i="85"/>
  <c r="C161" i="85"/>
  <c r="C173" i="85"/>
  <c r="C232" i="85"/>
  <c r="C226" i="85"/>
  <c r="B225" i="85" s="1"/>
  <c r="C149" i="85"/>
  <c r="B149" i="85" s="1"/>
  <c r="B217" i="85"/>
  <c r="B216" i="85"/>
  <c r="C21" i="85" s="1"/>
  <c r="E21" i="85" s="1"/>
  <c r="C209" i="85"/>
  <c r="B209" i="85" s="1"/>
  <c r="C163" i="85"/>
  <c r="C203" i="85"/>
  <c r="C177" i="85"/>
  <c r="C274" i="85"/>
  <c r="B274" i="85" s="1"/>
  <c r="C193" i="85"/>
  <c r="C156" i="85"/>
  <c r="C273" i="85"/>
  <c r="C174" i="85"/>
  <c r="B174" i="85" s="1"/>
  <c r="C212" i="85"/>
  <c r="C188" i="85"/>
  <c r="C153" i="85"/>
  <c r="C202" i="85"/>
  <c r="B202" i="85" s="1"/>
  <c r="C169" i="85"/>
  <c r="B169" i="85" s="1"/>
  <c r="C183" i="85"/>
  <c r="C148" i="85"/>
  <c r="C208" i="85"/>
  <c r="C162" i="85"/>
  <c r="C213" i="85"/>
  <c r="C189" i="85"/>
  <c r="B189" i="85" s="1"/>
  <c r="C196" i="85"/>
  <c r="B195" i="85" s="1"/>
  <c r="C172" i="85"/>
  <c r="C152" i="85"/>
  <c r="C157" i="85"/>
  <c r="C197" i="85"/>
  <c r="C142" i="85"/>
  <c r="C182" i="85"/>
  <c r="C231" i="85"/>
  <c r="B231" i="85" s="1"/>
  <c r="C176" i="85"/>
  <c r="C227" i="85"/>
  <c r="B248" i="85"/>
  <c r="B246" i="85"/>
  <c r="B235" i="85"/>
  <c r="B237" i="85"/>
  <c r="B238" i="85"/>
  <c r="B236" i="85"/>
  <c r="C33" i="85"/>
  <c r="E33" i="85" s="1"/>
  <c r="B212" i="85"/>
  <c r="C214" i="85"/>
  <c r="B214" i="85" s="1"/>
  <c r="C181" i="85"/>
  <c r="B180" i="85" s="1"/>
  <c r="C192" i="85"/>
  <c r="C141" i="85"/>
  <c r="B140" i="85" s="1"/>
  <c r="C234" i="85"/>
  <c r="B234" i="85" s="1"/>
  <c r="C159" i="85"/>
  <c r="B159" i="85" s="1"/>
  <c r="C179" i="85"/>
  <c r="B179" i="85" s="1"/>
  <c r="C199" i="85"/>
  <c r="B199" i="85" s="1"/>
  <c r="C228" i="85"/>
  <c r="C144" i="85"/>
  <c r="B144" i="85" s="1"/>
  <c r="C164" i="85"/>
  <c r="B164" i="85" s="1"/>
  <c r="C184" i="85"/>
  <c r="B184" i="85" s="1"/>
  <c r="C204" i="85"/>
  <c r="B204" i="85" s="1"/>
  <c r="C233" i="85"/>
  <c r="B232" i="85" s="1"/>
  <c r="C158" i="85"/>
  <c r="C178" i="85"/>
  <c r="C198" i="85"/>
  <c r="C229" i="85"/>
  <c r="B229" i="85" s="1"/>
  <c r="C154" i="85"/>
  <c r="B154" i="85" s="1"/>
  <c r="C143" i="85"/>
  <c r="C201" i="85"/>
  <c r="B200" i="85" s="1"/>
  <c r="C194" i="85"/>
  <c r="B194" i="85" s="1"/>
  <c r="C146" i="85"/>
  <c r="C166" i="85"/>
  <c r="C186" i="85"/>
  <c r="B185" i="85" s="1"/>
  <c r="C206" i="85"/>
  <c r="B205" i="85" s="1"/>
  <c r="C272" i="85"/>
  <c r="B272" i="85" s="1"/>
  <c r="C151" i="85"/>
  <c r="C171" i="85"/>
  <c r="B170" i="85" s="1"/>
  <c r="C191" i="85"/>
  <c r="B190" i="85" s="1"/>
  <c r="C211" i="85"/>
  <c r="B211" i="85" s="1"/>
  <c r="C147" i="85"/>
  <c r="C167" i="85"/>
  <c r="C187" i="85"/>
  <c r="B187" i="85" s="1"/>
  <c r="C207" i="85"/>
  <c r="B207" i="85" s="1"/>
  <c r="C28" i="85"/>
  <c r="E28" i="85" s="1"/>
  <c r="C29" i="85"/>
  <c r="E29" i="85" s="1"/>
  <c r="C26" i="85"/>
  <c r="E26" i="85" s="1"/>
  <c r="C34" i="85"/>
  <c r="E34" i="85" s="1"/>
  <c r="B247" i="85"/>
  <c r="B249" i="85"/>
  <c r="C30" i="85"/>
  <c r="E30" i="85" s="1"/>
  <c r="B223" i="85"/>
  <c r="B220" i="85"/>
  <c r="B222" i="85"/>
  <c r="B221" i="85"/>
  <c r="B224" i="85"/>
  <c r="B230" i="85"/>
  <c r="B161" i="85"/>
  <c r="B160" i="85"/>
  <c r="C31" i="85"/>
  <c r="E31" i="85" s="1"/>
  <c r="B156" i="85"/>
  <c r="B155" i="85"/>
  <c r="B273" i="85"/>
  <c r="B177" i="85" l="1"/>
  <c r="B162" i="85"/>
  <c r="B208" i="85"/>
  <c r="B196" i="85"/>
  <c r="B167" i="85"/>
  <c r="B173" i="85"/>
  <c r="B148" i="85"/>
  <c r="B192" i="85"/>
  <c r="B176" i="85"/>
  <c r="B152" i="85"/>
  <c r="B172" i="85"/>
  <c r="B226" i="85"/>
  <c r="B210" i="85"/>
  <c r="B168" i="85"/>
  <c r="B188" i="85"/>
  <c r="B147" i="85"/>
  <c r="B142" i="85"/>
  <c r="B141" i="85"/>
  <c r="B181" i="85"/>
  <c r="B206" i="85"/>
  <c r="C19" i="85" s="1"/>
  <c r="E19" i="85" s="1"/>
  <c r="B158" i="85"/>
  <c r="B182" i="85"/>
  <c r="B233" i="85"/>
  <c r="C24" i="85" s="1"/>
  <c r="E24" i="85" s="1"/>
  <c r="B151" i="85"/>
  <c r="B201" i="85"/>
  <c r="B213" i="85"/>
  <c r="B166" i="85"/>
  <c r="B171" i="85"/>
  <c r="B186" i="85"/>
  <c r="B198" i="85"/>
  <c r="B150" i="85"/>
  <c r="B165" i="85"/>
  <c r="B175" i="85"/>
  <c r="B197" i="85"/>
  <c r="C25" i="85"/>
  <c r="E25" i="85" s="1"/>
  <c r="B183" i="85"/>
  <c r="B146" i="85"/>
  <c r="B153" i="85"/>
  <c r="B145" i="85"/>
  <c r="B157" i="85"/>
  <c r="B163" i="85"/>
  <c r="C10" i="85" s="1"/>
  <c r="E10" i="85" s="1"/>
  <c r="B191" i="85"/>
  <c r="B178" i="85"/>
  <c r="B228" i="85"/>
  <c r="B193" i="85"/>
  <c r="B271" i="85"/>
  <c r="C32" i="85" s="1"/>
  <c r="E32" i="85" s="1"/>
  <c r="B143" i="85"/>
  <c r="B227" i="85"/>
  <c r="B203" i="85"/>
  <c r="C27" i="85"/>
  <c r="E27" i="85" s="1"/>
  <c r="C22" i="85"/>
  <c r="E22" i="85" s="1"/>
  <c r="C17" i="85" l="1"/>
  <c r="E17" i="85" s="1"/>
  <c r="C12" i="85"/>
  <c r="E12" i="85" s="1"/>
  <c r="C11" i="85"/>
  <c r="E11" i="85" s="1"/>
  <c r="C20" i="85"/>
  <c r="E20" i="85" s="1"/>
  <c r="C6" i="85"/>
  <c r="E6" i="85" s="1"/>
  <c r="C18" i="85"/>
  <c r="E18" i="85" s="1"/>
  <c r="C9" i="85"/>
  <c r="E9" i="85" s="1"/>
  <c r="C15" i="85"/>
  <c r="E15" i="85" s="1"/>
  <c r="C8" i="85"/>
  <c r="E8" i="85" s="1"/>
  <c r="C13" i="85"/>
  <c r="E13" i="85" s="1"/>
  <c r="C14" i="85"/>
  <c r="E14" i="85" s="1"/>
  <c r="C16" i="85"/>
  <c r="E16" i="85" s="1"/>
  <c r="C7" i="85"/>
  <c r="E7" i="85" s="1"/>
  <c r="C23" i="85"/>
  <c r="E23" i="85" s="1"/>
  <c r="E46" i="85" l="1"/>
  <c r="E3" i="85" s="1"/>
  <c r="E1" i="85" l="1"/>
  <c r="B8" i="84" s="1"/>
  <c r="B15" i="84" s="1"/>
  <c r="B18" i="84" s="1"/>
  <c r="B41" i="84" l="1"/>
  <c r="B22" i="84"/>
  <c r="B24" i="84" l="1"/>
  <c r="B26" i="84" s="1"/>
  <c r="B30" i="84" s="1"/>
  <c r="C30" i="84" s="1"/>
</calcChain>
</file>

<file path=xl/sharedStrings.xml><?xml version="1.0" encoding="utf-8"?>
<sst xmlns="http://schemas.openxmlformats.org/spreadsheetml/2006/main" count="733" uniqueCount="281">
  <si>
    <t>1 год</t>
  </si>
  <si>
    <t>2 года</t>
  </si>
  <si>
    <t>3 года</t>
  </si>
  <si>
    <t>Рейтинговая категория</t>
  </si>
  <si>
    <t>AAA</t>
  </si>
  <si>
    <t>AA</t>
  </si>
  <si>
    <t>A</t>
  </si>
  <si>
    <t>BB</t>
  </si>
  <si>
    <t>B</t>
  </si>
  <si>
    <t>CCC</t>
  </si>
  <si>
    <t>CC</t>
  </si>
  <si>
    <t>4 года</t>
  </si>
  <si>
    <t>5 лет</t>
  </si>
  <si>
    <t>6 лет</t>
  </si>
  <si>
    <t>7 лет</t>
  </si>
  <si>
    <t>8 лет</t>
  </si>
  <si>
    <t>9 лет</t>
  </si>
  <si>
    <t>10 лет</t>
  </si>
  <si>
    <t>Нематериальные активы</t>
  </si>
  <si>
    <t>Результаты исследований и разработок</t>
  </si>
  <si>
    <t>Нематериальные поисковые активы</t>
  </si>
  <si>
    <t>Материальные поисковые активы</t>
  </si>
  <si>
    <t>Основные средства</t>
  </si>
  <si>
    <t>Финансовые вложения</t>
  </si>
  <si>
    <t>Отложенные налоговые активы</t>
  </si>
  <si>
    <t>Прочие внеоборотные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</si>
  <si>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</si>
  <si>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</si>
  <si>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</si>
  <si>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Денежные средства и денежные эквиваленты</t>
  </si>
  <si>
    <t>Прочие оборотные активы</t>
  </si>
  <si>
    <t>Итого внеоборотные активы</t>
  </si>
  <si>
    <t>Итого оборотные активы</t>
  </si>
  <si>
    <t>Итого активы</t>
  </si>
  <si>
    <t>Собственные акции, выкупленные у акционеров</t>
  </si>
  <si>
    <t>Переоценка внеоборотных активов</t>
  </si>
  <si>
    <t>Добавочный капитал (без переоценки)</t>
  </si>
  <si>
    <t>Резервный капитал</t>
  </si>
  <si>
    <t>Нераспределенная прибыль (непокрытый убыток)</t>
  </si>
  <si>
    <t>Заемные средства</t>
  </si>
  <si>
    <t>Отложенные налоговые обязательства</t>
  </si>
  <si>
    <t>Оценочные обязательства</t>
  </si>
  <si>
    <t>Прочие обязательства</t>
  </si>
  <si>
    <t>Кредиторская задолженность</t>
  </si>
  <si>
    <t>Доходы будущих периодов</t>
  </si>
  <si>
    <t>Активы</t>
  </si>
  <si>
    <t>Обязательства</t>
  </si>
  <si>
    <t>Итого капитал</t>
  </si>
  <si>
    <t>Итого долгосрочные обязательства</t>
  </si>
  <si>
    <t>Итого краткосрочные обязательства</t>
  </si>
  <si>
    <t>Итого обязательства</t>
  </si>
  <si>
    <t>Код</t>
  </si>
  <si>
    <t>Выручка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</si>
  <si>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</si>
  <si>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</si>
  <si>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</si>
  <si>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</si>
  <si>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</si>
  <si>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</si>
  <si>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</si>
  <si>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</si>
  <si>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</si>
  <si>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>Налог на прибыль</t>
  </si>
  <si>
    <t>Прибыль (убыток) от продаж</t>
  </si>
  <si>
    <t>Прибыль (убыток) до налогообложения</t>
  </si>
  <si>
    <t>Чистая прибыль</t>
  </si>
  <si>
    <t>за аналог. период</t>
  </si>
  <si>
    <t>за отч. период</t>
  </si>
  <si>
    <t>Отчет о финансовом результате</t>
  </si>
  <si>
    <t>Отчет о финансовом положении</t>
  </si>
  <si>
    <t>Состояние отрасли</t>
  </si>
  <si>
    <t>Коэффициент текущей ликвидности</t>
  </si>
  <si>
    <t>Оборачиваемость запасов</t>
  </si>
  <si>
    <t>Оборачиваемость текущих активов</t>
  </si>
  <si>
    <t>Рентабельность капитала</t>
  </si>
  <si>
    <t>Уставный капитал</t>
  </si>
  <si>
    <t>Доходные вложения в материальные ценности</t>
  </si>
  <si>
    <t>Коэффициент покрытия долга</t>
  </si>
  <si>
    <t>Проверка</t>
  </si>
  <si>
    <t>Расходы, связанные с поиском, разведкой и оценкой ПИ</t>
  </si>
  <si>
    <t>Прочее</t>
  </si>
  <si>
    <t>Перераспределение налога на прибыль внутри конс.группы</t>
  </si>
  <si>
    <t>Финансовые показатели:</t>
  </si>
  <si>
    <t>Коэффициент абсолютной ликвидности</t>
  </si>
  <si>
    <t>Коэффициент быстрой ликвидности</t>
  </si>
  <si>
    <t>Кол-во кварталов от предш.отч.даты</t>
  </si>
  <si>
    <t>Оборачиваемость дебиторской задолженности</t>
  </si>
  <si>
    <t>Оборачиваемость кредиторской задолженности</t>
  </si>
  <si>
    <t>Оборачиваемость собственного капитала</t>
  </si>
  <si>
    <t>Оборачиваемость инвестиций</t>
  </si>
  <si>
    <t>Оборачиваемость активов</t>
  </si>
  <si>
    <t>Рентабельность продаж (по валовой прибыли)</t>
  </si>
  <si>
    <t>Рентабельность продаж (по прибыли от продаж)</t>
  </si>
  <si>
    <t>Рентабельность задействованного капитала</t>
  </si>
  <si>
    <t>Коэффициент автономии</t>
  </si>
  <si>
    <t>Коэффициент покрытия инвестиций</t>
  </si>
  <si>
    <t>Коэффициент покрытия процентов</t>
  </si>
  <si>
    <t>Границы диапазона</t>
  </si>
  <si>
    <t>Конкурентная позиция</t>
  </si>
  <si>
    <t>очень высокая</t>
  </si>
  <si>
    <t>высокая</t>
  </si>
  <si>
    <t>средняя</t>
  </si>
  <si>
    <t>низкая</t>
  </si>
  <si>
    <t>очень низкая</t>
  </si>
  <si>
    <t>позитивный</t>
  </si>
  <si>
    <t>стабильный</t>
  </si>
  <si>
    <t>негативный</t>
  </si>
  <si>
    <t>Риск в отношении связанных лиц</t>
  </si>
  <si>
    <t>очень низкий</t>
  </si>
  <si>
    <t>низкий</t>
  </si>
  <si>
    <t>средний</t>
  </si>
  <si>
    <t>высокий</t>
  </si>
  <si>
    <t>очень высокий</t>
  </si>
  <si>
    <t>Прогноз развития</t>
  </si>
  <si>
    <t>умеренно позитивный</t>
  </si>
  <si>
    <t>умеренно негативный</t>
  </si>
  <si>
    <t>Кол-во баллов</t>
  </si>
  <si>
    <t>Вес</t>
  </si>
  <si>
    <t>Итого</t>
  </si>
  <si>
    <t>Итого:</t>
  </si>
  <si>
    <t>Итого баллов</t>
  </si>
  <si>
    <t>активно развивается</t>
  </si>
  <si>
    <t>умеренно развивается</t>
  </si>
  <si>
    <t>стабильна</t>
  </si>
  <si>
    <t>в стагнации</t>
  </si>
  <si>
    <t>в кризисе</t>
  </si>
  <si>
    <t>Значение</t>
  </si>
  <si>
    <t>Качественные показатели:</t>
  </si>
  <si>
    <t>Рейтинг</t>
  </si>
  <si>
    <t>№ п/п</t>
  </si>
  <si>
    <t>Max</t>
  </si>
  <si>
    <t>Min</t>
  </si>
  <si>
    <t>BBB</t>
  </si>
  <si>
    <t>C</t>
  </si>
  <si>
    <t>D</t>
  </si>
  <si>
    <t>Мастер-шкала</t>
  </si>
  <si>
    <t>Матрица дефолтов</t>
  </si>
  <si>
    <t>Производство</t>
  </si>
  <si>
    <t>Торговля</t>
  </si>
  <si>
    <t>Финансы</t>
  </si>
  <si>
    <t>Отрасль</t>
  </si>
  <si>
    <t>Финансовые показатели, вес:</t>
  </si>
  <si>
    <t>Финансовые показатели, границы диапазонов:</t>
  </si>
  <si>
    <t>Доля ОС в структуре активов</t>
  </si>
  <si>
    <t>Капитал, динамика</t>
  </si>
  <si>
    <t>Коэффициент автономии, динамика</t>
  </si>
  <si>
    <t>Коэффициент абсолютной ликвидности, динамика</t>
  </si>
  <si>
    <t>Коэффициент быстрой ликвидности, динамика</t>
  </si>
  <si>
    <t>Коэффициент текущей ликвидности, динамика</t>
  </si>
  <si>
    <t>Рентабельность продаж (по EBIT)</t>
  </si>
  <si>
    <t>Коэффициент покрытия инвестиций (долгосрочн.)</t>
  </si>
  <si>
    <t>Качественные показатели, вес:</t>
  </si>
  <si>
    <t>монополист</t>
  </si>
  <si>
    <t>Рентабельность задействованного капитала (долгосрочн.)</t>
  </si>
  <si>
    <t>Рентабельность задействованного капитала (общ.)</t>
  </si>
  <si>
    <t>Коэффициент покрытия долга (краткоср.)</t>
  </si>
  <si>
    <t>Коэффициент покрытия долга (долгоср.)</t>
  </si>
  <si>
    <t>Коэффициент покрытия процентных выплат</t>
  </si>
  <si>
    <t>Строительство</t>
  </si>
  <si>
    <t>Сельское хозяйство</t>
  </si>
  <si>
    <t>ЖКХ и Энергетика</t>
  </si>
  <si>
    <t>Отношение капитала к заемным средствам</t>
  </si>
  <si>
    <t>Отношение капитала к заемным средствам, динамика</t>
  </si>
  <si>
    <t>Масштаб бизнеса:</t>
  </si>
  <si>
    <t>Географическая диверсификация</t>
  </si>
  <si>
    <t>Эластичность продаж:</t>
  </si>
  <si>
    <t>Волатильность цен реализации</t>
  </si>
  <si>
    <t>Эластичность спроса</t>
  </si>
  <si>
    <t>Зависимость от покупателей</t>
  </si>
  <si>
    <t>Диверсификация продуктовой линейки</t>
  </si>
  <si>
    <t>Уровень хеджирования продаж</t>
  </si>
  <si>
    <t>Эластичность поставок:</t>
  </si>
  <si>
    <t>Диверсификация поставщиков</t>
  </si>
  <si>
    <t>Волатильность закупочных цен</t>
  </si>
  <si>
    <t>Эластичность предложения</t>
  </si>
  <si>
    <t>Уровень хеджирования закупок</t>
  </si>
  <si>
    <t>экспортёр</t>
  </si>
  <si>
    <t>волатильность цен реализации/закупок; эластичность спроса/предложения; зависимость от покупателей</t>
  </si>
  <si>
    <t>состояние отрасли</t>
  </si>
  <si>
    <t>риск в отношении связанных лиц</t>
  </si>
  <si>
    <t>прогноз развития</t>
  </si>
  <si>
    <t>конкурентная позиция; географическая диверсификация</t>
  </si>
  <si>
    <t>уровень хеджирования поставок/продаж</t>
  </si>
  <si>
    <t>государственная поддержка; диверсификация поставщиков/продуктовой линейки</t>
  </si>
  <si>
    <t>Государственная поддержка</t>
  </si>
  <si>
    <t>Итоговый качественный коэффициент</t>
  </si>
  <si>
    <t>Экспертная корректировка</t>
  </si>
  <si>
    <t>Рейтинг на дату признания</t>
  </si>
  <si>
    <t>Дней просрочки</t>
  </si>
  <si>
    <t>Стадия</t>
  </si>
  <si>
    <t>Ухудшение рейтинга с момента признания</t>
  </si>
  <si>
    <t>Итоговый рейтинг по результатам анализа</t>
  </si>
  <si>
    <t>Первичный рейтинг по результатам анализа</t>
  </si>
  <si>
    <t>Дата оценки</t>
  </si>
  <si>
    <t>Дата признания</t>
  </si>
  <si>
    <t>Дата погашения</t>
  </si>
  <si>
    <t>Вероятность дефолта для Стадии:</t>
  </si>
  <si>
    <t>нет</t>
  </si>
  <si>
    <t>Имеют место обстоятельства, не позволяющие присвоить рейтинг выше CCC*</t>
  </si>
  <si>
    <t>Имеют место обстоятельства, не позволяющие присвоить рейтинг выше CC**</t>
  </si>
  <si>
    <t>Имеют место обстоятельства, не позволяющие присвоить рейтинг выше C***</t>
  </si>
  <si>
    <t>* Обстоятельства, не позволяющие присвоить рейтинг выше CCC:</t>
  </si>
  <si>
    <t>** Обстоятельства, не позволяющие присвоить рейтинг выше CC:</t>
  </si>
  <si>
    <t>*** Обстоятельства, не позволяющие присвоить рейтинг выше C:</t>
  </si>
  <si>
    <t>Срок до погашения, дней</t>
  </si>
  <si>
    <t>Приобретенный или созданный кредитно-обесцененный финансовый актив</t>
  </si>
  <si>
    <t>Макрофактор</t>
  </si>
  <si>
    <t>- в отношении заемщика продолжается процедура банкротства, стадии "внешнее управление" или "конкурсное производство";
- имела место вынужденная реструктуризация, которая привела к существенному – более 1% – изменению дисконтированной стоимости будущих денежных потоков;
- финансовый актив является созданным кредитно-обесцененным финансовым активом;
- расчетный резерв на возможные потери по ссудной задолженности в соответствии с требованиями Положения Банка России №590-П составляет 100%.</t>
  </si>
  <si>
    <t>С момента выхода из состояния дефолта прошло не менее 90 дней</t>
  </si>
  <si>
    <t>Дополнительные факторы, влияющие на итоговый рейтинг:</t>
  </si>
  <si>
    <t>Факторы, учитываемые для определения стадии:</t>
  </si>
  <si>
    <t>Вероятность дефолта:</t>
  </si>
  <si>
    <t>Вероятность дефолта (в соответствии с рейтингом и стадией)</t>
  </si>
  <si>
    <t>Вероятность дефолта, скорр. на макрофактор</t>
  </si>
  <si>
    <t>С устранения признаков стадии 2 прошло не менее 90 дней</t>
  </si>
  <si>
    <t>EAD</t>
  </si>
  <si>
    <t>LGD</t>
  </si>
  <si>
    <t>ECL = EAD x PD x LGD</t>
  </si>
  <si>
    <t>Портфель 1. Вес параметров</t>
  </si>
  <si>
    <t>Портфель 2. Вес параметров</t>
  </si>
  <si>
    <t>Портфель 1</t>
  </si>
  <si>
    <t>параметр</t>
  </si>
  <si>
    <t>вес</t>
  </si>
  <si>
    <t>корреляция</t>
  </si>
  <si>
    <t>Портфель 2</t>
  </si>
  <si>
    <t>GDP</t>
  </si>
  <si>
    <t>RDI</t>
  </si>
  <si>
    <t>Вес сценариев</t>
  </si>
  <si>
    <t>CPI</t>
  </si>
  <si>
    <t>Базовый</t>
  </si>
  <si>
    <t>Urals</t>
  </si>
  <si>
    <t>Консерв.</t>
  </si>
  <si>
    <t>USD/RUB</t>
  </si>
  <si>
    <t>Данные</t>
  </si>
  <si>
    <t>ВВП</t>
  </si>
  <si>
    <t>Реальные распол. доходы</t>
  </si>
  <si>
    <t>Индекс потреб.цен</t>
  </si>
  <si>
    <t>Нефть Urals</t>
  </si>
  <si>
    <t>Курс USD/RUB</t>
  </si>
  <si>
    <t>ВВП (GDP)</t>
  </si>
  <si>
    <t>Реальн. Распол. Доходы (RDI)</t>
  </si>
  <si>
    <t>Индекс потреб. цен(CPI)</t>
  </si>
  <si>
    <t>DR</t>
  </si>
  <si>
    <t>Итого, макрофактор, %</t>
  </si>
  <si>
    <t>базов.</t>
  </si>
  <si>
    <t>консерв.</t>
  </si>
  <si>
    <t>номинал</t>
  </si>
  <si>
    <t>прирост</t>
  </si>
  <si>
    <t>https://raexpert.ru/about/disclosure/matrix_defaults_01.07.2021.pdf</t>
  </si>
  <si>
    <t>Rating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</si>
  <si>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</si>
  <si>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</si>
  <si>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</si>
  <si>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</si>
  <si>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</si>
  <si>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</si>
  <si>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</si>
  <si>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</si>
  <si>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</si>
  <si>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</si>
  <si>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</si>
  <si>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</si>
  <si>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</si>
  <si>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</si>
  <si>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</si>
  <si>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CCC/C</t>
  </si>
  <si>
    <t>S&amp;P - Global Corporate Average Cumulative Default Rates (1981-2020) (%)</t>
  </si>
  <si>
    <t>Источник:</t>
  </si>
  <si>
    <t>11 лет</t>
  </si>
  <si>
    <t>12 лет</t>
  </si>
  <si>
    <t>13 лет</t>
  </si>
  <si>
    <t>14 лет</t>
  </si>
  <si>
    <t>15 лет</t>
  </si>
  <si>
    <t>- несущественная реструктуризация – изменение срока погашения (при условии отсутствия у заемщика возможности погасить долг за счет собственных операционных денежных потоков), которое не привело к существенному – более 1% – изменению дисконтированной стоимости будущих денежных потоков;
- наличие признаков отсутствия реальной деятельности в соответствии с требованиями Положения Банка России №590-П.
- клиент не предоставляет необходимые для анализа документы в течение 1 квартала
- в отношении заемщика подано заявление в суд о признании его банкротом, но судебное решение о начале процедуры банкротства не принято.</t>
  </si>
  <si>
    <t>- расчетный резерв на возможные потери по ссудной задолженности в соответствии с требованиями Положения Банка России №590-П составляет не менее 51%;
- неоднократная несущественная реструктуризация – изменение срока погашения (при условии отсутствия у заемщика возможности погасить долг за счет собственных операционных денежных потоков), которое не привело к существенному – более 1% – изменению дисконтированной стоимости будущих денежных потоков;
- клиент не предоставляет необходимые для анализа документы на протяжении не менее 2-х кварталов;
- в отношении заемщика начата процедура банкротства, стадии "наблюдение" или "финансовое оздоровление (санация)";</t>
  </si>
  <si>
    <t>ООО "ЭСВ"</t>
  </si>
  <si>
    <t>Кредитный договор №351/КЛ от 21.06.2021г.</t>
  </si>
  <si>
    <t>строительство</t>
  </si>
  <si>
    <t>Вероятность дефолта для Стадии 2 на дату признания</t>
  </si>
  <si>
    <t>Кол-во недефолтных кредитов на начало квартала</t>
  </si>
  <si>
    <t>Кол-во дефолтов в течение квартала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</si>
</sst>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,###,###;\ \(###,###,###\);\ \-"/>
    <numFmt numFmtId="165" formatCode="0.000"/>
    <numFmt numFmtId="166" formatCode="0.0000"/>
    <numFmt numFmtId="167" formatCode="0.0"/>
    <numFmt numFmtId="168" formatCode="0.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rgb="FF203277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6" fillId="0" borderId="0"/>
    <xf numFmtId="0" fontId="8" fillId="0" borderId="0"/>
    <xf numFmtId="0" fontId="17" fillId="0" borderId="0" applyNumberFormat="0" applyFill="0" applyBorder="0" applyAlignment="0" applyProtection="0"/>
  </cellStyleXfs>
  <cellXfs count="216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0" fontId="0" fillId="3" borderId="0" xfId="0" applyFill="1"/>
    <xf numFmtId="0" fontId="11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wrapText="1"/>
    </xf>
    <xf numFmtId="164" fontId="11" fillId="0" borderId="1" xfId="0" applyNumberFormat="1" applyFont="1" applyBorder="1"/>
    <xf numFmtId="0" fontId="11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horizontal="left" vertical="top" wrapText="1"/>
    </xf>
    <xf numFmtId="0" fontId="9" fillId="0" borderId="1" xfId="0" applyFont="1" applyBorder="1"/>
    <xf numFmtId="0" fontId="7" fillId="0" borderId="1" xfId="0" applyFont="1" applyBorder="1"/>
    <xf numFmtId="0" fontId="12" fillId="0" borderId="0" xfId="0" applyFont="1"/>
    <xf numFmtId="164" fontId="12" fillId="0" borderId="0" xfId="0" applyNumberFormat="1" applyFont="1"/>
    <xf numFmtId="0" fontId="7" fillId="0" borderId="0" xfId="0" applyFont="1"/>
    <xf numFmtId="1" fontId="11" fillId="0" borderId="5" xfId="0" applyNumberFormat="1" applyFont="1" applyBorder="1"/>
    <xf numFmtId="0" fontId="11" fillId="0" borderId="1" xfId="0" applyFont="1" applyBorder="1"/>
    <xf numFmtId="1" fontId="11" fillId="0" borderId="7" xfId="0" applyNumberFormat="1" applyFont="1" applyBorder="1"/>
    <xf numFmtId="0" fontId="11" fillId="0" borderId="9" xfId="0" applyFont="1" applyBorder="1"/>
    <xf numFmtId="1" fontId="11" fillId="0" borderId="10" xfId="0" applyNumberFormat="1" applyFont="1" applyBorder="1"/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1" fillId="0" borderId="7" xfId="0" applyFont="1" applyBorder="1"/>
    <xf numFmtId="0" fontId="11" fillId="0" borderId="10" xfId="0" applyFont="1" applyBorder="1"/>
    <xf numFmtId="0" fontId="14" fillId="0" borderId="4" xfId="0" applyFont="1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9" fillId="0" borderId="16" xfId="0" applyFont="1" applyBorder="1"/>
    <xf numFmtId="0" fontId="9" fillId="0" borderId="17" xfId="0" applyFont="1" applyBorder="1"/>
    <xf numFmtId="0" fontId="9" fillId="0" borderId="2" xfId="0" applyFont="1" applyBorder="1"/>
    <xf numFmtId="0" fontId="9" fillId="0" borderId="12" xfId="0" applyFont="1" applyBorder="1"/>
    <xf numFmtId="0" fontId="9" fillId="0" borderId="8" xfId="0" applyFont="1" applyFill="1" applyBorder="1"/>
    <xf numFmtId="0" fontId="9" fillId="0" borderId="10" xfId="0" applyFont="1" applyBorder="1"/>
    <xf numFmtId="0" fontId="0" fillId="3" borderId="1" xfId="0" applyFill="1" applyBorder="1"/>
    <xf numFmtId="0" fontId="9" fillId="0" borderId="0" xfId="0" applyFont="1" applyFill="1"/>
    <xf numFmtId="0" fontId="9" fillId="0" borderId="0" xfId="0" applyFont="1"/>
    <xf numFmtId="0" fontId="7" fillId="4" borderId="1" xfId="0" applyFont="1" applyFill="1" applyBorder="1"/>
    <xf numFmtId="164" fontId="10" fillId="3" borderId="1" xfId="0" applyNumberFormat="1" applyFont="1" applyFill="1" applyBorder="1" applyAlignment="1">
      <alignment horizontal="right"/>
    </xf>
    <xf numFmtId="164" fontId="11" fillId="3" borderId="1" xfId="0" applyNumberFormat="1" applyFont="1" applyFill="1" applyBorder="1" applyAlignment="1">
      <alignment horizontal="right"/>
    </xf>
    <xf numFmtId="0" fontId="10" fillId="3" borderId="1" xfId="0" applyNumberFormat="1" applyFont="1" applyFill="1" applyBorder="1" applyAlignment="1">
      <alignment horizontal="left" vertical="center" wrapText="1"/>
    </xf>
    <xf numFmtId="1" fontId="11" fillId="3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/>
    </xf>
    <xf numFmtId="0" fontId="11" fillId="5" borderId="1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top" wrapText="1"/>
    </xf>
    <xf numFmtId="0" fontId="10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 wrapText="1"/>
    </xf>
    <xf numFmtId="0" fontId="9" fillId="0" borderId="4" xfId="0" applyFont="1" applyBorder="1"/>
    <xf numFmtId="0" fontId="0" fillId="0" borderId="19" xfId="0" applyBorder="1"/>
    <xf numFmtId="0" fontId="9" fillId="0" borderId="3" xfId="0" applyFont="1" applyBorder="1"/>
    <xf numFmtId="0" fontId="9" fillId="0" borderId="9" xfId="0" applyFont="1" applyBorder="1"/>
    <xf numFmtId="0" fontId="9" fillId="0" borderId="20" xfId="0" applyFont="1" applyBorder="1"/>
    <xf numFmtId="0" fontId="0" fillId="0" borderId="15" xfId="0" applyBorder="1"/>
    <xf numFmtId="0" fontId="6" fillId="0" borderId="0" xfId="2" applyBorder="1"/>
    <xf numFmtId="0" fontId="0" fillId="0" borderId="0" xfId="0" applyFill="1" applyBorder="1"/>
    <xf numFmtId="0" fontId="6" fillId="0" borderId="0" xfId="2" applyFill="1" applyBorder="1"/>
    <xf numFmtId="0" fontId="7" fillId="0" borderId="1" xfId="0" applyFont="1" applyFill="1" applyBorder="1"/>
    <xf numFmtId="0" fontId="0" fillId="0" borderId="22" xfId="0" applyBorder="1"/>
    <xf numFmtId="0" fontId="0" fillId="0" borderId="23" xfId="0" applyBorder="1"/>
    <xf numFmtId="0" fontId="9" fillId="0" borderId="21" xfId="0" applyFont="1" applyBorder="1"/>
    <xf numFmtId="0" fontId="7" fillId="6" borderId="1" xfId="0" applyFont="1" applyFill="1" applyBorder="1"/>
    <xf numFmtId="0" fontId="13" fillId="7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7" fillId="8" borderId="1" xfId="0" applyFont="1" applyFill="1" applyBorder="1"/>
    <xf numFmtId="0" fontId="7" fillId="9" borderId="1" xfId="0" applyFont="1" applyFill="1" applyBorder="1"/>
    <xf numFmtId="0" fontId="13" fillId="10" borderId="1" xfId="0" applyFont="1" applyFill="1" applyBorder="1" applyAlignment="1">
      <alignment horizontal="left" vertical="center"/>
    </xf>
    <xf numFmtId="0" fontId="7" fillId="10" borderId="1" xfId="0" applyFont="1" applyFill="1" applyBorder="1"/>
    <xf numFmtId="0" fontId="15" fillId="8" borderId="1" xfId="0" applyFont="1" applyFill="1" applyBorder="1"/>
    <xf numFmtId="0" fontId="15" fillId="7" borderId="1" xfId="0" applyFont="1" applyFill="1" applyBorder="1"/>
    <xf numFmtId="0" fontId="15" fillId="10" borderId="1" xfId="0" applyFont="1" applyFill="1" applyBorder="1"/>
    <xf numFmtId="0" fontId="15" fillId="6" borderId="1" xfId="0" applyFont="1" applyFill="1" applyBorder="1"/>
    <xf numFmtId="0" fontId="15" fillId="9" borderId="1" xfId="0" applyFont="1" applyFill="1" applyBorder="1"/>
    <xf numFmtId="0" fontId="15" fillId="4" borderId="1" xfId="0" applyFont="1" applyFill="1" applyBorder="1"/>
    <xf numFmtId="164" fontId="0" fillId="0" borderId="7" xfId="0" applyNumberFormat="1" applyBorder="1"/>
    <xf numFmtId="164" fontId="0" fillId="0" borderId="19" xfId="0" applyNumberFormat="1" applyBorder="1"/>
    <xf numFmtId="0" fontId="9" fillId="0" borderId="15" xfId="0" applyFont="1" applyBorder="1" applyAlignment="1"/>
    <xf numFmtId="0" fontId="9" fillId="0" borderId="1" xfId="0" applyFont="1" applyBorder="1" applyAlignment="1"/>
    <xf numFmtId="0" fontId="7" fillId="0" borderId="1" xfId="0" applyFont="1" applyBorder="1" applyAlignment="1"/>
    <xf numFmtId="0" fontId="4" fillId="0" borderId="1" xfId="0" applyFont="1" applyBorder="1" applyAlignment="1"/>
    <xf numFmtId="0" fontId="5" fillId="0" borderId="18" xfId="0" applyFont="1" applyBorder="1" applyAlignment="1"/>
    <xf numFmtId="0" fontId="4" fillId="0" borderId="18" xfId="0" applyFont="1" applyBorder="1" applyAlignment="1"/>
    <xf numFmtId="0" fontId="7" fillId="6" borderId="1" xfId="0" applyFont="1" applyFill="1" applyBorder="1" applyAlignment="1"/>
    <xf numFmtId="0" fontId="3" fillId="8" borderId="1" xfId="0" applyFont="1" applyFill="1" applyBorder="1" applyAlignment="1"/>
    <xf numFmtId="0" fontId="7" fillId="8" borderId="1" xfId="0" applyFont="1" applyFill="1" applyBorder="1" applyAlignment="1"/>
    <xf numFmtId="0" fontId="3" fillId="10" borderId="1" xfId="0" applyFont="1" applyFill="1" applyBorder="1" applyAlignment="1"/>
    <xf numFmtId="0" fontId="7" fillId="9" borderId="1" xfId="0" applyFont="1" applyFill="1" applyBorder="1" applyAlignment="1"/>
    <xf numFmtId="0" fontId="7" fillId="4" borderId="1" xfId="0" applyFont="1" applyFill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7" fillId="0" borderId="0" xfId="0" applyFont="1" applyAlignment="1"/>
    <xf numFmtId="0" fontId="7" fillId="0" borderId="1" xfId="0" applyFont="1" applyFill="1" applyBorder="1" applyAlignment="1"/>
    <xf numFmtId="0" fontId="13" fillId="0" borderId="1" xfId="0" applyFont="1" applyFill="1" applyBorder="1" applyAlignment="1">
      <alignment horizontal="left"/>
    </xf>
    <xf numFmtId="0" fontId="2" fillId="8" borderId="1" xfId="0" applyFont="1" applyFill="1" applyBorder="1" applyAlignment="1"/>
    <xf numFmtId="0" fontId="2" fillId="0" borderId="1" xfId="0" applyFont="1" applyBorder="1" applyAlignment="1"/>
    <xf numFmtId="10" fontId="0" fillId="0" borderId="1" xfId="0" applyNumberFormat="1" applyBorder="1"/>
    <xf numFmtId="10" fontId="0" fillId="0" borderId="1" xfId="1" applyNumberFormat="1" applyFont="1" applyBorder="1"/>
    <xf numFmtId="0" fontId="1" fillId="0" borderId="1" xfId="0" applyFont="1" applyBorder="1" applyAlignment="1"/>
    <xf numFmtId="0" fontId="1" fillId="0" borderId="18" xfId="0" applyFont="1" applyBorder="1" applyAlignment="1"/>
    <xf numFmtId="0" fontId="1" fillId="0" borderId="18" xfId="0" applyFont="1" applyBorder="1"/>
    <xf numFmtId="0" fontId="1" fillId="0" borderId="1" xfId="0" applyFont="1" applyBorder="1"/>
    <xf numFmtId="0" fontId="1" fillId="8" borderId="1" xfId="0" applyFont="1" applyFill="1" applyBorder="1"/>
    <xf numFmtId="0" fontId="1" fillId="7" borderId="1" xfId="0" applyFont="1" applyFill="1" applyBorder="1"/>
    <xf numFmtId="0" fontId="1" fillId="0" borderId="22" xfId="0" applyFont="1" applyBorder="1"/>
    <xf numFmtId="0" fontId="1" fillId="10" borderId="1" xfId="0" applyFont="1" applyFill="1" applyBorder="1"/>
    <xf numFmtId="0" fontId="0" fillId="3" borderId="22" xfId="0" applyFill="1" applyBorder="1"/>
    <xf numFmtId="10" fontId="0" fillId="3" borderId="4" xfId="1" applyNumberFormat="1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5" xfId="0" applyFill="1" applyBorder="1"/>
    <xf numFmtId="0" fontId="0" fillId="0" borderId="25" xfId="0" applyBorder="1"/>
    <xf numFmtId="0" fontId="0" fillId="3" borderId="4" xfId="0" applyFill="1" applyBorder="1"/>
    <xf numFmtId="2" fontId="0" fillId="0" borderId="24" xfId="1" applyNumberFormat="1" applyFont="1" applyFill="1" applyBorder="1"/>
    <xf numFmtId="0" fontId="0" fillId="2" borderId="15" xfId="0" applyFill="1" applyBorder="1"/>
    <xf numFmtId="0" fontId="0" fillId="2" borderId="17" xfId="0" applyFill="1" applyBorder="1"/>
    <xf numFmtId="0" fontId="0" fillId="2" borderId="26" xfId="0" applyFill="1" applyBorder="1"/>
    <xf numFmtId="0" fontId="0" fillId="0" borderId="1" xfId="0" applyBorder="1" applyAlignment="1"/>
    <xf numFmtId="4" fontId="0" fillId="0" borderId="4" xfId="0" applyNumberFormat="1" applyBorder="1"/>
    <xf numFmtId="165" fontId="0" fillId="0" borderId="1" xfId="0" applyNumberFormat="1" applyBorder="1"/>
    <xf numFmtId="1" fontId="0" fillId="0" borderId="1" xfId="0" applyNumberFormat="1" applyFill="1" applyBorder="1"/>
    <xf numFmtId="166" fontId="0" fillId="0" borderId="1" xfId="0" applyNumberFormat="1" applyFill="1" applyBorder="1"/>
    <xf numFmtId="1" fontId="0" fillId="0" borderId="1" xfId="0" applyNumberFormat="1" applyBorder="1"/>
    <xf numFmtId="0" fontId="0" fillId="11" borderId="1" xfId="0" applyFill="1" applyBorder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0" fontId="0" fillId="11" borderId="1" xfId="0" applyFill="1" applyBorder="1"/>
    <xf numFmtId="14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 vertical="center"/>
    </xf>
    <xf numFmtId="4" fontId="0" fillId="0" borderId="1" xfId="0" applyNumberFormat="1" applyBorder="1"/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/>
    <xf numFmtId="165" fontId="0" fillId="2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Border="1"/>
    <xf numFmtId="14" fontId="0" fillId="11" borderId="1" xfId="0" applyNumberFormat="1" applyFill="1" applyBorder="1"/>
    <xf numFmtId="4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11" borderId="1" xfId="0" applyNumberFormat="1" applyFill="1" applyBorder="1"/>
    <xf numFmtId="167" fontId="1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66" fontId="0" fillId="0" borderId="0" xfId="0" applyNumberFormat="1" applyFill="1" applyBorder="1"/>
    <xf numFmtId="0" fontId="17" fillId="0" borderId="0" xfId="4"/>
    <xf numFmtId="49" fontId="0" fillId="0" borderId="1" xfId="0" applyNumberFormat="1" applyBorder="1"/>
    <xf numFmtId="0" fontId="17" fillId="0" borderId="0" xfId="4" applyFill="1" applyBorder="1"/>
    <xf numFmtId="0" fontId="0" fillId="0" borderId="0" xfId="0" applyAlignment="1">
      <alignment horizontal="right"/>
    </xf>
    <xf numFmtId="2" fontId="0" fillId="0" borderId="1" xfId="0" applyNumberFormat="1" applyBorder="1"/>
    <xf numFmtId="10" fontId="0" fillId="0" borderId="0" xfId="1" applyNumberFormat="1" applyFont="1" applyFill="1"/>
    <xf numFmtId="0" fontId="18" fillId="0" borderId="0" xfId="0" applyFont="1"/>
    <xf numFmtId="0" fontId="0" fillId="12" borderId="1" xfId="0" applyFill="1" applyBorder="1" applyAlignment="1">
      <alignment horizontal="right"/>
    </xf>
    <xf numFmtId="14" fontId="0" fillId="12" borderId="1" xfId="0" applyNumberFormat="1" applyFill="1" applyBorder="1"/>
    <xf numFmtId="0" fontId="0" fillId="12" borderId="25" xfId="0" applyFill="1" applyBorder="1" applyAlignment="1">
      <alignment horizontal="left"/>
    </xf>
    <xf numFmtId="0" fontId="0" fillId="12" borderId="22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0" fillId="12" borderId="22" xfId="0" applyFill="1" applyBorder="1" applyAlignment="1">
      <alignment horizontal="left"/>
    </xf>
    <xf numFmtId="10" fontId="0" fillId="12" borderId="4" xfId="0" applyNumberFormat="1" applyFill="1" applyBorder="1"/>
    <xf numFmtId="4" fontId="0" fillId="12" borderId="4" xfId="0" applyNumberFormat="1" applyFill="1" applyBorder="1"/>
    <xf numFmtId="168" fontId="20" fillId="0" borderId="4" xfId="1" applyNumberFormat="1" applyFont="1" applyBorder="1"/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14" fontId="7" fillId="5" borderId="1" xfId="0" applyNumberFormat="1" applyFont="1" applyFill="1" applyBorder="1"/>
    <xf numFmtId="0" fontId="1" fillId="12" borderId="1" xfId="0" applyFont="1" applyFill="1" applyBorder="1" applyAlignment="1">
      <alignment horizontal="right"/>
    </xf>
    <xf numFmtId="0" fontId="7" fillId="12" borderId="1" xfId="0" applyFont="1" applyFill="1" applyBorder="1"/>
    <xf numFmtId="164" fontId="11" fillId="12" borderId="1" xfId="0" applyNumberFormat="1" applyFont="1" applyFill="1" applyBorder="1" applyAlignment="1">
      <alignment horizontal="right"/>
    </xf>
    <xf numFmtId="0" fontId="1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/>
    <xf numFmtId="0" fontId="13" fillId="13" borderId="1" xfId="0" applyFont="1" applyFill="1" applyBorder="1" applyAlignment="1">
      <alignment horizontal="left" vertical="center"/>
    </xf>
    <xf numFmtId="0" fontId="7" fillId="13" borderId="1" xfId="0" applyFont="1" applyFill="1" applyBorder="1"/>
    <xf numFmtId="0" fontId="2" fillId="13" borderId="1" xfId="0" applyFont="1" applyFill="1" applyBorder="1" applyAlignment="1"/>
    <xf numFmtId="0" fontId="13" fillId="7" borderId="1" xfId="0" applyFont="1" applyFill="1" applyBorder="1" applyAlignment="1">
      <alignment horizontal="left"/>
    </xf>
    <xf numFmtId="10" fontId="18" fillId="0" borderId="1" xfId="1" applyNumberFormat="1" applyFont="1" applyBorder="1"/>
    <xf numFmtId="0" fontId="0" fillId="0" borderId="1" xfId="0" applyFill="1" applyBorder="1" applyAlignment="1"/>
    <xf numFmtId="0" fontId="1" fillId="0" borderId="1" xfId="2" applyFont="1" applyBorder="1"/>
    <xf numFmtId="0" fontId="19" fillId="3" borderId="1" xfId="0" applyFont="1" applyFill="1" applyBorder="1"/>
    <xf numFmtId="0" fontId="0" fillId="0" borderId="0" xfId="0" applyAlignment="1">
      <alignment horizontal="left" vertical="top" wrapText="1"/>
    </xf>
    <xf numFmtId="0" fontId="0" fillId="12" borderId="15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/>
    </xf>
    <xf numFmtId="0" fontId="9" fillId="11" borderId="17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</cellXfs>
  <cellStyles count="5">
    <cellStyle name="Гиперссылка" xfId="4" builtinId="8"/>
    <cellStyle name="Обычный" xfId="0" builtinId="0"/>
    <cellStyle name="Обычный 2" xfId="2"/>
    <cellStyle name="Обычный 3" xfId="3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raexpert.ru/about/disclosure/matrix_defaults_01.07.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12" sqref="B12"/>
    </sheetView>
  </sheetViews>
  <sheetFormatPr defaultRowHeight="15" x14ac:dyDescent="0.25"/>
  <cols>
    <col min="1" max="1" width="72.85546875" customWidth="1"/>
    <col min="2" max="2" width="13.5703125" bestFit="1" customWidth="1"/>
  </cols>
  <sheetData>
    <row r="1" spans="1:2" x14ac:dyDescent="0.25">
      <c r="A1" s="185" t="s">
        <v>275</v>
      </c>
      <c r="B1" s="186"/>
    </row>
    <row r="2" spans="1:2" x14ac:dyDescent="0.25">
      <c r="A2" s="158" t="s">
        <v>276</v>
      </c>
      <c r="B2" s="159">
        <v>44368</v>
      </c>
    </row>
    <row r="3" spans="1:2" x14ac:dyDescent="0.25">
      <c r="A3" s="30" t="s">
        <v>194</v>
      </c>
      <c r="B3" s="159">
        <v>44372</v>
      </c>
    </row>
    <row r="4" spans="1:2" x14ac:dyDescent="0.25">
      <c r="A4" s="30" t="s">
        <v>195</v>
      </c>
      <c r="B4" s="159">
        <v>45103</v>
      </c>
    </row>
    <row r="5" spans="1:2" x14ac:dyDescent="0.25">
      <c r="A5" s="30" t="s">
        <v>193</v>
      </c>
      <c r="B5" s="159">
        <v>44469</v>
      </c>
    </row>
    <row r="6" spans="1:2" x14ac:dyDescent="0.25">
      <c r="A6" s="30" t="s">
        <v>204</v>
      </c>
      <c r="B6" s="40">
        <f>B4-B5</f>
        <v>634</v>
      </c>
    </row>
    <row r="8" spans="1:2" x14ac:dyDescent="0.25">
      <c r="A8" s="64" t="s">
        <v>192</v>
      </c>
      <c r="B8" s="111" t="e">
        <f>Рейтинг!E1</f>
        <v>#N/A</v>
      </c>
    </row>
    <row r="9" spans="1:2" x14ac:dyDescent="0.25">
      <c r="A9" s="119" t="s">
        <v>209</v>
      </c>
      <c r="B9" s="120"/>
    </row>
    <row r="10" spans="1:2" x14ac:dyDescent="0.25">
      <c r="A10" s="116" t="s">
        <v>186</v>
      </c>
      <c r="B10" s="160">
        <v>0</v>
      </c>
    </row>
    <row r="11" spans="1:2" ht="30" x14ac:dyDescent="0.25">
      <c r="A11" s="113" t="s">
        <v>198</v>
      </c>
      <c r="B11" s="163" t="s">
        <v>197</v>
      </c>
    </row>
    <row r="12" spans="1:2" ht="30" x14ac:dyDescent="0.25">
      <c r="A12" s="113" t="s">
        <v>199</v>
      </c>
      <c r="B12" s="163" t="s">
        <v>197</v>
      </c>
    </row>
    <row r="13" spans="1:2" ht="30" x14ac:dyDescent="0.25">
      <c r="A13" s="113" t="s">
        <v>200</v>
      </c>
      <c r="B13" s="163" t="s">
        <v>197</v>
      </c>
    </row>
    <row r="14" spans="1:2" ht="15.75" thickBot="1" x14ac:dyDescent="0.3">
      <c r="A14" s="30" t="s">
        <v>188</v>
      </c>
      <c r="B14" s="161">
        <v>0</v>
      </c>
    </row>
    <row r="15" spans="1:2" ht="15.75" thickBot="1" x14ac:dyDescent="0.3">
      <c r="A15" s="59" t="s">
        <v>191</v>
      </c>
      <c r="B15" s="117" t="e">
        <f>IF(B14&gt;90,"D",IF(B13="да","C",IF(B12="да","CC",(IF(B11="да","CCC",VLOOKUP(MATCH(B8,Матрица!B16:B25,0)-B10,Матрица!A16:B25,2,0))))))</f>
        <v>#N/A</v>
      </c>
    </row>
    <row r="16" spans="1:2" x14ac:dyDescent="0.25">
      <c r="A16" s="119" t="s">
        <v>210</v>
      </c>
      <c r="B16" s="121"/>
    </row>
    <row r="17" spans="1:3" x14ac:dyDescent="0.25">
      <c r="A17" s="30" t="s">
        <v>187</v>
      </c>
      <c r="B17" s="162" t="s">
        <v>132</v>
      </c>
    </row>
    <row r="18" spans="1:3" x14ac:dyDescent="0.25">
      <c r="A18" s="30" t="s">
        <v>190</v>
      </c>
      <c r="B18" s="183" t="str">
        <f>IF(B42&gt;B45,"да","нет")</f>
        <v>нет</v>
      </c>
    </row>
    <row r="19" spans="1:3" x14ac:dyDescent="0.25">
      <c r="A19" s="122" t="s">
        <v>205</v>
      </c>
      <c r="B19" s="163" t="s">
        <v>197</v>
      </c>
    </row>
    <row r="20" spans="1:3" x14ac:dyDescent="0.25">
      <c r="A20" s="113" t="s">
        <v>214</v>
      </c>
      <c r="B20" s="164"/>
    </row>
    <row r="21" spans="1:3" ht="15.75" thickBot="1" x14ac:dyDescent="0.3">
      <c r="A21" s="113" t="s">
        <v>208</v>
      </c>
      <c r="B21" s="164"/>
    </row>
    <row r="22" spans="1:3" ht="15.75" thickBot="1" x14ac:dyDescent="0.3">
      <c r="A22" s="59" t="s">
        <v>189</v>
      </c>
      <c r="B22" s="117" t="e">
        <f>IF(OR(B15="D",B15="C",B21="нет"),3,IF(OR((B18="да"),(B19="да"),(B14&gt;30),B20="нет"),2,1))</f>
        <v>#N/A</v>
      </c>
    </row>
    <row r="23" spans="1:3" ht="15.75" thickBot="1" x14ac:dyDescent="0.3">
      <c r="A23" s="119" t="s">
        <v>211</v>
      </c>
      <c r="B23" s="121"/>
    </row>
    <row r="24" spans="1:3" ht="15.75" thickBot="1" x14ac:dyDescent="0.3">
      <c r="A24" s="65" t="s">
        <v>212</v>
      </c>
      <c r="B24" s="112" t="e">
        <f>VLOOKUP(B22,A41:B43,2,0)</f>
        <v>#N/A</v>
      </c>
    </row>
    <row r="25" spans="1:3" ht="15.75" thickBot="1" x14ac:dyDescent="0.3">
      <c r="A25" s="114" t="s">
        <v>206</v>
      </c>
      <c r="B25" s="118">
        <f>'Приложение 3'!C2/100</f>
        <v>0.98219273117659356</v>
      </c>
    </row>
    <row r="26" spans="1:3" ht="15.75" thickBot="1" x14ac:dyDescent="0.3">
      <c r="A26" s="115" t="s">
        <v>213</v>
      </c>
      <c r="B26" s="112" t="e">
        <f>B24*B25</f>
        <v>#N/A</v>
      </c>
    </row>
    <row r="27" spans="1:3" ht="15.75" thickBot="1" x14ac:dyDescent="0.3"/>
    <row r="28" spans="1:3" ht="15.75" thickBot="1" x14ac:dyDescent="0.3">
      <c r="A28" s="59" t="s">
        <v>215</v>
      </c>
      <c r="B28" s="166">
        <v>107984357.99427946</v>
      </c>
    </row>
    <row r="29" spans="1:3" ht="15.75" thickBot="1" x14ac:dyDescent="0.3">
      <c r="A29" s="59" t="s">
        <v>216</v>
      </c>
      <c r="B29" s="165">
        <v>0.59660000000000002</v>
      </c>
    </row>
    <row r="30" spans="1:3" ht="15.75" thickBot="1" x14ac:dyDescent="0.3">
      <c r="A30" s="59" t="s">
        <v>217</v>
      </c>
      <c r="B30" s="123" t="e">
        <f>B28*B26*B29</f>
        <v>#N/A</v>
      </c>
      <c r="C30" s="167" t="e">
        <f>B30/B28</f>
        <v>#N/A</v>
      </c>
    </row>
    <row r="32" spans="1:3" x14ac:dyDescent="0.25">
      <c r="A32" s="42" t="s">
        <v>201</v>
      </c>
    </row>
    <row r="33" spans="1:16" s="157" customFormat="1" ht="114" customHeight="1" x14ac:dyDescent="0.25">
      <c r="A33" s="184" t="s">
        <v>273</v>
      </c>
      <c r="B33" s="184"/>
      <c r="C33" s="184"/>
      <c r="D33" s="184"/>
      <c r="E33" s="184"/>
      <c r="F33" s="184"/>
      <c r="G33" s="184"/>
      <c r="H33" s="169"/>
      <c r="I33" s="169"/>
      <c r="J33" s="169"/>
      <c r="K33" s="169"/>
      <c r="L33" s="169"/>
      <c r="M33" s="169"/>
      <c r="N33" s="169"/>
      <c r="O33" s="169"/>
      <c r="P33" s="169"/>
    </row>
    <row r="34" spans="1:16" x14ac:dyDescent="0.25">
      <c r="A34" s="42" t="s">
        <v>202</v>
      </c>
    </row>
    <row r="35" spans="1:16" ht="75" customHeight="1" x14ac:dyDescent="0.25">
      <c r="A35" s="184" t="s">
        <v>274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</row>
    <row r="36" spans="1:16" x14ac:dyDescent="0.25">
      <c r="A36" s="42" t="s">
        <v>203</v>
      </c>
    </row>
    <row r="37" spans="1:16" ht="98.25" customHeight="1" x14ac:dyDescent="0.25">
      <c r="A37" s="184" t="s">
        <v>207</v>
      </c>
      <c r="B37" s="184"/>
      <c r="C37" s="184"/>
      <c r="D37" s="184"/>
      <c r="E37" s="184"/>
      <c r="F37" s="184"/>
      <c r="G37" s="184"/>
      <c r="H37" s="168"/>
      <c r="I37" s="168"/>
      <c r="J37" s="168"/>
      <c r="K37" s="168"/>
      <c r="L37" s="168"/>
      <c r="M37" s="168"/>
      <c r="N37" s="168"/>
      <c r="O37" s="168"/>
      <c r="P37" s="168"/>
    </row>
    <row r="40" spans="1:16" x14ac:dyDescent="0.25">
      <c r="A40" s="30" t="s">
        <v>196</v>
      </c>
      <c r="B40" s="30"/>
    </row>
    <row r="41" spans="1:16" x14ac:dyDescent="0.25">
      <c r="A41" s="30">
        <v>1</v>
      </c>
      <c r="B41" s="101" t="e">
        <f>VLOOKUP(B15,Матрица!A3:B12,2,0)</f>
        <v>#N/A</v>
      </c>
    </row>
    <row r="42" spans="1:16" x14ac:dyDescent="0.25">
      <c r="A42" s="30">
        <v>2</v>
      </c>
      <c r="B42" s="102">
        <v>5.0299999999999997E-2</v>
      </c>
    </row>
    <row r="43" spans="1:16" x14ac:dyDescent="0.25">
      <c r="A43" s="30">
        <v>3</v>
      </c>
      <c r="B43" s="101">
        <v>1</v>
      </c>
    </row>
    <row r="45" spans="1:16" x14ac:dyDescent="0.25">
      <c r="A45" s="30" t="s">
        <v>278</v>
      </c>
      <c r="B45" s="180">
        <v>8.2900000000000001E-2</v>
      </c>
    </row>
  </sheetData>
  <mergeCells count="6">
    <mergeCell ref="O35:P35"/>
    <mergeCell ref="A37:G37"/>
    <mergeCell ref="A1:B1"/>
    <mergeCell ref="A33:G33"/>
    <mergeCell ref="A35:G35"/>
    <mergeCell ref="H35:N35"/>
  </mergeCells>
  <dataValidations count="2">
    <dataValidation type="list" allowBlank="1" showInputMessage="1" showErrorMessage="1" sqref="B17">
      <formula1>"AAA,AA,A,BBB,BB,B,CCC,CC"</formula1>
    </dataValidation>
    <dataValidation type="list" allowBlank="1" showInputMessage="1" showErrorMessage="1" sqref="B11:B13 B19:B21">
      <formula1>"да,нет"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abSelected="1" topLeftCell="A103" workbookViewId="0">
      <selection activeCell="C123" sqref="C123"/>
    </sheetView>
  </sheetViews>
  <sheetFormatPr defaultColWidth="9.140625" defaultRowHeight="15" x14ac:dyDescent="0.25"/>
  <cols>
    <col min="1" max="1" width="45.5703125" style="96" customWidth="1"/>
    <col min="2" max="2" width="14.28515625" style="16" bestFit="1" customWidth="1"/>
    <col min="3" max="3" width="17" style="16" bestFit="1" customWidth="1"/>
    <col min="4" max="4" width="22.85546875" style="16" bestFit="1" customWidth="1"/>
    <col min="5" max="5" width="9.140625" style="16"/>
    <col min="6" max="6" width="43.85546875" style="16" bestFit="1" customWidth="1"/>
    <col min="7" max="7" width="22.140625" style="16" bestFit="1" customWidth="1"/>
    <col min="8" max="16384" width="9.140625" style="16"/>
  </cols>
  <sheetData>
    <row r="1" spans="1:5" x14ac:dyDescent="0.25">
      <c r="A1" s="82" t="s">
        <v>128</v>
      </c>
      <c r="B1" s="34"/>
      <c r="C1" s="34"/>
      <c r="D1" s="35"/>
      <c r="E1" s="12" t="e">
        <f>VLOOKUP(SUMIFS(Матрица!A16:A25,Матрица!C16:C25,"&gt;="&amp;E3,Матрица!D16:D25,"&lt;"&amp;E3),Матрица!A16:B25,2,0)</f>
        <v>#N/A</v>
      </c>
    </row>
    <row r="3" spans="1:5" x14ac:dyDescent="0.25">
      <c r="A3" s="82" t="s">
        <v>120</v>
      </c>
      <c r="B3" s="34"/>
      <c r="C3" s="34"/>
      <c r="D3" s="35"/>
      <c r="E3" s="12" t="e">
        <f>E46+E72</f>
        <v>#N/A</v>
      </c>
    </row>
    <row r="5" spans="1:5" x14ac:dyDescent="0.25">
      <c r="A5" s="83" t="s">
        <v>82</v>
      </c>
      <c r="B5" s="12" t="s">
        <v>126</v>
      </c>
      <c r="C5" s="12" t="s">
        <v>116</v>
      </c>
      <c r="D5" s="12" t="s">
        <v>117</v>
      </c>
      <c r="E5" s="12" t="s">
        <v>118</v>
      </c>
    </row>
    <row r="6" spans="1:5" x14ac:dyDescent="0.25">
      <c r="A6" s="84" t="s">
        <v>83</v>
      </c>
      <c r="B6" s="13" t="e">
        <f>(C95+C94)/C117</f>
        <v>#DIV/0!</v>
      </c>
      <c r="C6" s="13" t="e">
        <f>VLOOKUP(TRUE,B140:D144,3,0)</f>
        <v>#N/A</v>
      </c>
      <c r="D6" s="13">
        <f>HLOOKUP($B$76,Переменные!$B$1:$H$20,2,0)</f>
        <v>6</v>
      </c>
      <c r="E6" s="13" t="e">
        <f>C6*D6/100</f>
        <v>#N/A</v>
      </c>
    </row>
    <row r="7" spans="1:5" x14ac:dyDescent="0.25">
      <c r="A7" s="84" t="s">
        <v>84</v>
      </c>
      <c r="B7" s="13" t="e">
        <f>(C95+C94+C93)/C117</f>
        <v>#DIV/0!</v>
      </c>
      <c r="C7" s="13" t="e">
        <f>VLOOKUP(TRUE,B145:D149,3,0)</f>
        <v>#N/A</v>
      </c>
      <c r="D7" s="13">
        <f>HLOOKUP($B$76,Переменные!$B$1:$H$20,3,0)</f>
        <v>12</v>
      </c>
      <c r="E7" s="13" t="e">
        <f t="shared" ref="E7:E45" si="0">C7*D7/100</f>
        <v>#N/A</v>
      </c>
    </row>
    <row r="8" spans="1:5" x14ac:dyDescent="0.25">
      <c r="A8" s="84" t="s">
        <v>71</v>
      </c>
      <c r="B8" s="13" t="e">
        <f>C97/C117</f>
        <v>#DIV/0!</v>
      </c>
      <c r="C8" s="13" t="e">
        <f>VLOOKUP(TRUE,B150:D154,3,0)</f>
        <v>#N/A</v>
      </c>
      <c r="D8" s="13">
        <f>HLOOKUP($B$76,Переменные!$B$1:$H$20,4,0)</f>
        <v>3</v>
      </c>
      <c r="E8" s="13" t="e">
        <f t="shared" si="0"/>
        <v>#N/A</v>
      </c>
    </row>
    <row r="9" spans="1:5" x14ac:dyDescent="0.25">
      <c r="A9" s="84" t="s">
        <v>72</v>
      </c>
      <c r="B9" s="13">
        <f>4/B77*C121/AVERAGE(C91+0.001,D91+0.001)</f>
        <v>0</v>
      </c>
      <c r="C9" s="13">
        <f>VLOOKUP(TRUE,B155:D159,3,0)</f>
        <v>0</v>
      </c>
      <c r="D9" s="13">
        <f>HLOOKUP($B$76,Переменные!$B$1:$H$20,5,0)</f>
        <v>0</v>
      </c>
      <c r="E9" s="13">
        <f t="shared" si="0"/>
        <v>0</v>
      </c>
    </row>
    <row r="10" spans="1:5" x14ac:dyDescent="0.25">
      <c r="A10" s="84" t="s">
        <v>86</v>
      </c>
      <c r="B10" s="13">
        <f>4/B77*C121/AVERAGE(C93+0.001,D93+0.001)</f>
        <v>0</v>
      </c>
      <c r="C10" s="13">
        <f>VLOOKUP(TRUE,B160:D164,3,0)</f>
        <v>0</v>
      </c>
      <c r="D10" s="13">
        <f>HLOOKUP($B$76,Переменные!$B$1:$H$20,6,0)</f>
        <v>0</v>
      </c>
      <c r="E10" s="13">
        <f t="shared" si="0"/>
        <v>0</v>
      </c>
    </row>
    <row r="11" spans="1:5" x14ac:dyDescent="0.25">
      <c r="A11" s="84" t="s">
        <v>87</v>
      </c>
      <c r="B11" s="13">
        <f>4/B77*C121/AVERAGE(C113+0.001,D113+0.001)</f>
        <v>0</v>
      </c>
      <c r="C11" s="13">
        <f>VLOOKUP(TRUE,B165:D169,3,0)</f>
        <v>0</v>
      </c>
      <c r="D11" s="13">
        <f>HLOOKUP($B$76,Переменные!$B$1:$H$20,7,0)</f>
        <v>0</v>
      </c>
      <c r="E11" s="13">
        <f t="shared" si="0"/>
        <v>0</v>
      </c>
    </row>
    <row r="12" spans="1:5" x14ac:dyDescent="0.25">
      <c r="A12" s="84" t="s">
        <v>73</v>
      </c>
      <c r="B12" s="13">
        <f>4/B77*C121/AVERAGE(C97+0.001,D97+0.001)</f>
        <v>0</v>
      </c>
      <c r="C12" s="13">
        <f>VLOOKUP(TRUE,B170:D174,3,0)</f>
        <v>0</v>
      </c>
      <c r="D12" s="13">
        <f>HLOOKUP($B$76,Переменные!$B$1:$H$20,8,0)</f>
        <v>0</v>
      </c>
      <c r="E12" s="13">
        <f t="shared" si="0"/>
        <v>0</v>
      </c>
    </row>
    <row r="13" spans="1:5" x14ac:dyDescent="0.25">
      <c r="A13" s="84" t="s">
        <v>88</v>
      </c>
      <c r="B13" s="13">
        <f>4/B77*C121/AVERAGE(C106+0.001,D106+0.001)</f>
        <v>0</v>
      </c>
      <c r="C13" s="13">
        <f>VLOOKUP(TRUE,B175:D179,3,0)</f>
        <v>0</v>
      </c>
      <c r="D13" s="13">
        <f>HLOOKUP($B$76,Переменные!$B$1:$H$20,9,0)</f>
        <v>0</v>
      </c>
      <c r="E13" s="13">
        <f t="shared" si="0"/>
        <v>0</v>
      </c>
    </row>
    <row r="14" spans="1:5" x14ac:dyDescent="0.25">
      <c r="A14" s="84" t="s">
        <v>89</v>
      </c>
      <c r="B14" s="13" t="e">
        <f>4/B77*C121/AVERAGE(C106+C107,D106+D107)</f>
        <v>#DIV/0!</v>
      </c>
      <c r="C14" s="13" t="e">
        <f>VLOOKUP(TRUE,B180:D184,3,0)</f>
        <v>#N/A</v>
      </c>
      <c r="D14" s="13">
        <f>HLOOKUP($B$76,Переменные!$B$1:$H$20,10,0)</f>
        <v>0</v>
      </c>
      <c r="E14" s="13" t="e">
        <f t="shared" si="0"/>
        <v>#N/A</v>
      </c>
    </row>
    <row r="15" spans="1:5" x14ac:dyDescent="0.25">
      <c r="A15" s="84" t="s">
        <v>90</v>
      </c>
      <c r="B15" s="13" t="e">
        <f>4/B77*C121/AVERAGE(C98,D98)</f>
        <v>#DIV/0!</v>
      </c>
      <c r="C15" s="13" t="e">
        <f>VLOOKUP(TRUE,B185:D189,3,0)</f>
        <v>#N/A</v>
      </c>
      <c r="D15" s="13">
        <f>HLOOKUP($B$76,Переменные!$B$1:$H$20,11,0)</f>
        <v>0</v>
      </c>
      <c r="E15" s="13" t="e">
        <f t="shared" si="0"/>
        <v>#N/A</v>
      </c>
    </row>
    <row r="16" spans="1:5" x14ac:dyDescent="0.25">
      <c r="A16" s="84" t="s">
        <v>74</v>
      </c>
      <c r="B16" s="13" t="e">
        <f>4/B77*C137/AVERAGE(C106,D106)</f>
        <v>#DIV/0!</v>
      </c>
      <c r="C16" s="13" t="e">
        <f>VLOOKUP(TRUE,B190:D194,3,0)</f>
        <v>#N/A</v>
      </c>
      <c r="D16" s="13">
        <f>HLOOKUP($B$76,Переменные!$B$1:$H$20,12,0)</f>
        <v>0</v>
      </c>
      <c r="E16" s="13" t="e">
        <f t="shared" si="0"/>
        <v>#N/A</v>
      </c>
    </row>
    <row r="17" spans="1:5" x14ac:dyDescent="0.25">
      <c r="A17" s="84" t="s">
        <v>91</v>
      </c>
      <c r="B17" s="13" t="e">
        <f>4/B77*C123/C121</f>
        <v>#DIV/0!</v>
      </c>
      <c r="C17" s="13" t="e">
        <f>VLOOKUP(TRUE,B195:D199,3,0)</f>
        <v>#N/A</v>
      </c>
      <c r="D17" s="13">
        <f>HLOOKUP($B$76,Переменные!$B$1:$H$20,13,0)</f>
        <v>0</v>
      </c>
      <c r="E17" s="13" t="e">
        <f t="shared" si="0"/>
        <v>#N/A</v>
      </c>
    </row>
    <row r="18" spans="1:5" x14ac:dyDescent="0.25">
      <c r="A18" s="84" t="s">
        <v>92</v>
      </c>
      <c r="B18" s="13" t="e">
        <f>4/B77*C127/C121</f>
        <v>#DIV/0!</v>
      </c>
      <c r="C18" s="13" t="e">
        <f>VLOOKUP(TRUE,B200:D204,3,0)</f>
        <v>#N/A</v>
      </c>
      <c r="D18" s="13">
        <f>HLOOKUP($B$76,Переменные!$B$1:$H$20,14,0)</f>
        <v>12</v>
      </c>
      <c r="E18" s="13" t="e">
        <f t="shared" si="0"/>
        <v>#N/A</v>
      </c>
    </row>
    <row r="19" spans="1:5" x14ac:dyDescent="0.25">
      <c r="A19" s="85" t="s">
        <v>149</v>
      </c>
      <c r="B19" s="13" t="e">
        <f>4/B77*C133/C121</f>
        <v>#DIV/0!</v>
      </c>
      <c r="C19" s="13" t="e">
        <f>VLOOKUP(TRUE,B205:D209,3,0)</f>
        <v>#N/A</v>
      </c>
      <c r="D19" s="13">
        <f>HLOOKUP($B$76,Переменные!$B$1:$H$20,15,0)</f>
        <v>7</v>
      </c>
      <c r="E19" s="13" t="e">
        <f t="shared" si="0"/>
        <v>#N/A</v>
      </c>
    </row>
    <row r="20" spans="1:5" x14ac:dyDescent="0.25">
      <c r="A20" s="100" t="s">
        <v>153</v>
      </c>
      <c r="B20" s="13" t="e">
        <f>4/B77*C133/AVERAGE(C106+C107,D106+D107)</f>
        <v>#DIV/0!</v>
      </c>
      <c r="C20" s="13" t="e">
        <f>VLOOKUP(TRUE,B210:D214,3,0)</f>
        <v>#N/A</v>
      </c>
      <c r="D20" s="13">
        <f>HLOOKUP($B$76,Переменные!$B$1:$H$20,16,0)</f>
        <v>0</v>
      </c>
      <c r="E20" s="13" t="e">
        <f t="shared" si="0"/>
        <v>#N/A</v>
      </c>
    </row>
    <row r="21" spans="1:5" x14ac:dyDescent="0.25">
      <c r="A21" s="84" t="s">
        <v>94</v>
      </c>
      <c r="B21" s="13" t="e">
        <f>C106/C98</f>
        <v>#DIV/0!</v>
      </c>
      <c r="C21" s="13" t="e">
        <f>VLOOKUP(TRUE,B215:D219,3,0)</f>
        <v>#N/A</v>
      </c>
      <c r="D21" s="13">
        <f>HLOOKUP($B$76,Переменные!$B$1:$H$20,17,0)</f>
        <v>0</v>
      </c>
      <c r="E21" s="13" t="e">
        <f t="shared" si="0"/>
        <v>#N/A</v>
      </c>
    </row>
    <row r="22" spans="1:5" x14ac:dyDescent="0.25">
      <c r="A22" s="85" t="s">
        <v>150</v>
      </c>
      <c r="B22" s="13" t="e">
        <f>AVERAGE(C106+C107,D106+D107)/AVERAGE(C98,D98)</f>
        <v>#DIV/0!</v>
      </c>
      <c r="C22" s="13" t="e">
        <f>VLOOKUP(TRUE,B220:D224,3,0)</f>
        <v>#N/A</v>
      </c>
      <c r="D22" s="13">
        <f>HLOOKUP($B$76,Переменные!$B$1:$H$20,18,0)</f>
        <v>0</v>
      </c>
      <c r="E22" s="13" t="e">
        <f t="shared" si="0"/>
        <v>#N/A</v>
      </c>
    </row>
    <row r="23" spans="1:5" x14ac:dyDescent="0.25">
      <c r="A23" s="85" t="s">
        <v>155</v>
      </c>
      <c r="B23" s="13">
        <f>4/B77*C133/(C112+0.001)</f>
        <v>0</v>
      </c>
      <c r="C23" s="13">
        <f>VLOOKUP(TRUE,B225:D229,3,0)</f>
        <v>0</v>
      </c>
      <c r="D23" s="13">
        <f>HLOOKUP($B$76,Переменные!$B$1:$H$20,19,0)</f>
        <v>0</v>
      </c>
      <c r="E23" s="13">
        <f t="shared" si="0"/>
        <v>0</v>
      </c>
    </row>
    <row r="24" spans="1:5" x14ac:dyDescent="0.25">
      <c r="A24" s="85" t="s">
        <v>157</v>
      </c>
      <c r="B24" s="13">
        <f>-4/B77*(C133-C130)/(C130+0.001)</f>
        <v>0</v>
      </c>
      <c r="C24" s="13">
        <f>VLOOKUP(TRUE,B230:D234,3,0)</f>
        <v>0</v>
      </c>
      <c r="D24" s="13">
        <f>HLOOKUP($B$76,Переменные!$B$1:$H$20,20,0)</f>
        <v>0</v>
      </c>
      <c r="E24" s="13">
        <f t="shared" si="0"/>
        <v>0</v>
      </c>
    </row>
    <row r="25" spans="1:5" x14ac:dyDescent="0.25">
      <c r="A25" s="86" t="s">
        <v>143</v>
      </c>
      <c r="B25" s="13" t="e">
        <f>AVERAGE(C85,D85)/AVERAGE(C98,D98)</f>
        <v>#DIV/0!</v>
      </c>
      <c r="C25" s="13" t="e">
        <f>VLOOKUP(TRUE,B235:D239,3,0)</f>
        <v>#N/A</v>
      </c>
      <c r="D25" s="13">
        <f>HLOOKUP($B$76,Переменные!$B$1:$H$23,21,0)</f>
        <v>4</v>
      </c>
      <c r="E25" s="13" t="e">
        <f t="shared" si="0"/>
        <v>#N/A</v>
      </c>
    </row>
    <row r="26" spans="1:5" x14ac:dyDescent="0.25">
      <c r="A26" s="86" t="s">
        <v>144</v>
      </c>
      <c r="B26" s="13" t="e">
        <f>C106/D106</f>
        <v>#DIV/0!</v>
      </c>
      <c r="C26" s="13" t="e">
        <f>VLOOKUP(TRUE,B240:D244,3,0)</f>
        <v>#N/A</v>
      </c>
      <c r="D26" s="13">
        <f>HLOOKUP($B$76,Переменные!$B$1:$H$43,22,0)</f>
        <v>0</v>
      </c>
      <c r="E26" s="13" t="e">
        <f t="shared" si="0"/>
        <v>#N/A</v>
      </c>
    </row>
    <row r="27" spans="1:5" x14ac:dyDescent="0.25">
      <c r="A27" s="87" t="s">
        <v>145</v>
      </c>
      <c r="B27" s="13" t="e">
        <f>(C106/C118)/(D106/D118)</f>
        <v>#DIV/0!</v>
      </c>
      <c r="C27" s="13" t="e">
        <f>VLOOKUP(TRUE,B245:D249,3,0)</f>
        <v>#N/A</v>
      </c>
      <c r="D27" s="13">
        <f>HLOOKUP($B$76,Переменные!$B$1:$H$43,23,0)</f>
        <v>0</v>
      </c>
      <c r="E27" s="13" t="e">
        <f t="shared" si="0"/>
        <v>#N/A</v>
      </c>
    </row>
    <row r="28" spans="1:5" x14ac:dyDescent="0.25">
      <c r="A28" s="85" t="s">
        <v>146</v>
      </c>
      <c r="B28" s="13" t="e">
        <f>((C95+C94)/C117)/((D95+D94)/D117+0.00000001)</f>
        <v>#DIV/0!</v>
      </c>
      <c r="C28" s="13" t="e">
        <f>VLOOKUP(TRUE,B250:D254,3,0)</f>
        <v>#N/A</v>
      </c>
      <c r="D28" s="13">
        <f>HLOOKUP($B$76,Переменные!$B$1:$H$43,24,0)</f>
        <v>0</v>
      </c>
      <c r="E28" s="13" t="e">
        <f t="shared" si="0"/>
        <v>#N/A</v>
      </c>
    </row>
    <row r="29" spans="1:5" x14ac:dyDescent="0.25">
      <c r="A29" s="85" t="s">
        <v>147</v>
      </c>
      <c r="B29" s="13" t="e">
        <f>((C95+C94+C93)/C117)/((D95+D94+D93)/D117+0.00000001)</f>
        <v>#DIV/0!</v>
      </c>
      <c r="C29" s="13" t="e">
        <f>VLOOKUP(TRUE,B255:D259,3,0)</f>
        <v>#N/A</v>
      </c>
      <c r="D29" s="13">
        <f>HLOOKUP($B$76,Переменные!$B$1:$H$43,25,0)</f>
        <v>0</v>
      </c>
      <c r="E29" s="13" t="e">
        <f t="shared" si="0"/>
        <v>#N/A</v>
      </c>
    </row>
    <row r="30" spans="1:5" x14ac:dyDescent="0.25">
      <c r="A30" s="85" t="s">
        <v>148</v>
      </c>
      <c r="B30" s="13" t="e">
        <f>(C97/C117)/(D97/D117+0.00000001)</f>
        <v>#DIV/0!</v>
      </c>
      <c r="C30" s="13" t="e">
        <f>VLOOKUP(TRUE,B260:D264,3,0)</f>
        <v>#N/A</v>
      </c>
      <c r="D30" s="13">
        <f>HLOOKUP($B$76,Переменные!$B$1:$H$43,26,0)</f>
        <v>0</v>
      </c>
      <c r="E30" s="13" t="e">
        <f t="shared" si="0"/>
        <v>#N/A</v>
      </c>
    </row>
    <row r="31" spans="1:5" x14ac:dyDescent="0.25">
      <c r="A31" s="85" t="s">
        <v>154</v>
      </c>
      <c r="B31" s="13" t="e">
        <f>4/B77*C133/AVERAGE(C106+C107+C112,D106+D107+D112)</f>
        <v>#DIV/0!</v>
      </c>
      <c r="C31" s="13" t="e">
        <f>VLOOKUP(TRUE,B265:D269,3,0)</f>
        <v>#N/A</v>
      </c>
      <c r="D31" s="13">
        <f>HLOOKUP($B$76,Переменные!$B$1:$H$43,27,0)</f>
        <v>0</v>
      </c>
      <c r="E31" s="13" t="e">
        <f t="shared" si="0"/>
        <v>#N/A</v>
      </c>
    </row>
    <row r="32" spans="1:5" x14ac:dyDescent="0.25">
      <c r="A32" s="85" t="s">
        <v>156</v>
      </c>
      <c r="B32" s="13" t="e">
        <f>4/B77*C133/(C112+C107)</f>
        <v>#DIV/0!</v>
      </c>
      <c r="C32" s="13" t="e">
        <f>VLOOKUP(TRUE,B270:D274,3,0)</f>
        <v>#N/A</v>
      </c>
      <c r="D32" s="13">
        <f>HLOOKUP($B$76,Переменные!$B$1:$H$43,28,0)</f>
        <v>4</v>
      </c>
      <c r="E32" s="13" t="e">
        <f t="shared" si="0"/>
        <v>#N/A</v>
      </c>
    </row>
    <row r="33" spans="1:5" x14ac:dyDescent="0.25">
      <c r="A33" s="85" t="s">
        <v>161</v>
      </c>
      <c r="B33" s="13" t="e">
        <f>C106/(C107+C112)</f>
        <v>#DIV/0!</v>
      </c>
      <c r="C33" s="13" t="e">
        <f>VLOOKUP(TRUE,B275:D279,3,0)</f>
        <v>#N/A</v>
      </c>
      <c r="D33" s="13">
        <f>HLOOKUP($B$76,Переменные!$B$1:$H$43,29,0)</f>
        <v>12</v>
      </c>
      <c r="E33" s="13" t="e">
        <f t="shared" si="0"/>
        <v>#N/A</v>
      </c>
    </row>
    <row r="34" spans="1:5" x14ac:dyDescent="0.25">
      <c r="A34" s="85" t="s">
        <v>162</v>
      </c>
      <c r="B34" s="13" t="e">
        <f>(C106/(C107+C112))/(D106/(D107+D112))</f>
        <v>#DIV/0!</v>
      </c>
      <c r="C34" s="13" t="e">
        <f>VLOOKUP(TRUE,B280:D284,3,0)</f>
        <v>#N/A</v>
      </c>
      <c r="D34" s="13">
        <f>HLOOKUP($B$76,Переменные!$B$1:$H$43,30,0)</f>
        <v>0</v>
      </c>
      <c r="E34" s="13" t="e">
        <f t="shared" si="0"/>
        <v>#N/A</v>
      </c>
    </row>
    <row r="35" spans="1:5" x14ac:dyDescent="0.25">
      <c r="A35" s="85"/>
      <c r="B35" s="13"/>
      <c r="C35" s="13">
        <f>VLOOKUP(TRUE,B285:D289,3,0)</f>
        <v>0</v>
      </c>
      <c r="D35" s="13">
        <f>HLOOKUP($B$76,Переменные!$B$1:$H$43,31,0)</f>
        <v>0</v>
      </c>
      <c r="E35" s="13">
        <f t="shared" si="0"/>
        <v>0</v>
      </c>
    </row>
    <row r="36" spans="1:5" x14ac:dyDescent="0.25">
      <c r="A36" s="85"/>
      <c r="B36" s="13"/>
      <c r="C36" s="13"/>
      <c r="D36" s="13">
        <f>HLOOKUP($B$76,Переменные!$B$1:$H$43,32,0)</f>
        <v>0</v>
      </c>
      <c r="E36" s="13">
        <f t="shared" si="0"/>
        <v>0</v>
      </c>
    </row>
    <row r="37" spans="1:5" x14ac:dyDescent="0.25">
      <c r="A37" s="85"/>
      <c r="B37" s="13"/>
      <c r="C37" s="13"/>
      <c r="D37" s="13">
        <f>HLOOKUP($B$76,Переменные!$B$1:$H$43,33,0)</f>
        <v>0</v>
      </c>
      <c r="E37" s="13">
        <f t="shared" si="0"/>
        <v>0</v>
      </c>
    </row>
    <row r="38" spans="1:5" x14ac:dyDescent="0.25">
      <c r="A38" s="85"/>
      <c r="B38" s="13"/>
      <c r="C38" s="13"/>
      <c r="D38" s="13">
        <f>HLOOKUP($B$76,Переменные!$B$1:$H$43,34,0)</f>
        <v>0</v>
      </c>
      <c r="E38" s="13">
        <f t="shared" si="0"/>
        <v>0</v>
      </c>
    </row>
    <row r="39" spans="1:5" x14ac:dyDescent="0.25">
      <c r="A39" s="85"/>
      <c r="B39" s="13"/>
      <c r="C39" s="13"/>
      <c r="D39" s="13">
        <f>HLOOKUP($B$76,Переменные!$B$1:$H$43,35,0)</f>
        <v>0</v>
      </c>
      <c r="E39" s="13">
        <f t="shared" si="0"/>
        <v>0</v>
      </c>
    </row>
    <row r="40" spans="1:5" x14ac:dyDescent="0.25">
      <c r="A40" s="85"/>
      <c r="B40" s="13"/>
      <c r="C40" s="13"/>
      <c r="D40" s="13">
        <f>HLOOKUP($B$76,Переменные!$B$1:$H$43,36,0)</f>
        <v>0</v>
      </c>
      <c r="E40" s="13">
        <f t="shared" si="0"/>
        <v>0</v>
      </c>
    </row>
    <row r="41" spans="1:5" x14ac:dyDescent="0.25">
      <c r="A41" s="85"/>
      <c r="B41" s="13"/>
      <c r="C41" s="13"/>
      <c r="D41" s="13">
        <f>HLOOKUP($B$76,Переменные!$B$1:$H$43,37,0)</f>
        <v>0</v>
      </c>
      <c r="E41" s="13">
        <f t="shared" si="0"/>
        <v>0</v>
      </c>
    </row>
    <row r="42" spans="1:5" x14ac:dyDescent="0.25">
      <c r="A42" s="85"/>
      <c r="B42" s="13"/>
      <c r="C42" s="13"/>
      <c r="D42" s="13">
        <f>HLOOKUP($B$76,Переменные!$B$1:$H$43,38,0)</f>
        <v>0</v>
      </c>
      <c r="E42" s="13">
        <f t="shared" si="0"/>
        <v>0</v>
      </c>
    </row>
    <row r="43" spans="1:5" x14ac:dyDescent="0.25">
      <c r="A43" s="85"/>
      <c r="B43" s="13"/>
      <c r="C43" s="13"/>
      <c r="D43" s="13">
        <f>HLOOKUP($B$76,Переменные!$B$1:$H$43,39,0)</f>
        <v>0</v>
      </c>
      <c r="E43" s="13">
        <f t="shared" si="0"/>
        <v>0</v>
      </c>
    </row>
    <row r="44" spans="1:5" x14ac:dyDescent="0.25">
      <c r="A44" s="85"/>
      <c r="B44" s="13"/>
      <c r="C44" s="13"/>
      <c r="D44" s="13">
        <f>HLOOKUP($B$76,Переменные!$B$1:$H$43,40,0)</f>
        <v>0</v>
      </c>
      <c r="E44" s="13">
        <f t="shared" si="0"/>
        <v>0</v>
      </c>
    </row>
    <row r="45" spans="1:5" x14ac:dyDescent="0.25">
      <c r="A45" s="85"/>
      <c r="B45" s="13"/>
      <c r="C45" s="13"/>
      <c r="D45" s="13">
        <f>HLOOKUP($B$76,Переменные!$B$1:$H$43,41,0)</f>
        <v>0</v>
      </c>
      <c r="E45" s="13">
        <f t="shared" si="0"/>
        <v>0</v>
      </c>
    </row>
    <row r="46" spans="1:5" x14ac:dyDescent="0.25">
      <c r="A46" s="82" t="s">
        <v>120</v>
      </c>
      <c r="B46" s="34"/>
      <c r="C46" s="34"/>
      <c r="D46" s="35"/>
      <c r="E46" s="12" t="e">
        <f>SUM(E6:E45)</f>
        <v>#N/A</v>
      </c>
    </row>
    <row r="48" spans="1:5" x14ac:dyDescent="0.25">
      <c r="A48" s="83" t="s">
        <v>127</v>
      </c>
      <c r="B48" s="12" t="s">
        <v>126</v>
      </c>
      <c r="C48" s="12" t="s">
        <v>116</v>
      </c>
      <c r="D48" s="12" t="s">
        <v>117</v>
      </c>
      <c r="E48" s="12" t="s">
        <v>118</v>
      </c>
    </row>
    <row r="49" spans="1:5" x14ac:dyDescent="0.25">
      <c r="A49" s="88" t="s">
        <v>70</v>
      </c>
      <c r="B49" s="174" t="s">
        <v>122</v>
      </c>
      <c r="C49" s="67">
        <f>VLOOKUP(B49,G140:H144,2,0)</f>
        <v>0.8</v>
      </c>
      <c r="D49" s="67">
        <f>HLOOKUP(B76,Переменные!B44:H67,2,0)</f>
        <v>2</v>
      </c>
      <c r="E49" s="67">
        <f>C49*D49</f>
        <v>1.6</v>
      </c>
    </row>
    <row r="50" spans="1:5" x14ac:dyDescent="0.25">
      <c r="A50" s="89" t="s">
        <v>163</v>
      </c>
      <c r="B50" s="69"/>
      <c r="C50" s="70"/>
      <c r="D50" s="70"/>
      <c r="E50" s="70"/>
    </row>
    <row r="51" spans="1:5" x14ac:dyDescent="0.25">
      <c r="A51" s="89" t="s">
        <v>164</v>
      </c>
      <c r="B51" s="68" t="s">
        <v>101</v>
      </c>
      <c r="C51" s="70">
        <f>VLOOKUP(B51,G145:H150,2,0)</f>
        <v>0.4</v>
      </c>
      <c r="D51" s="70">
        <f>HLOOKUP(B76,Переменные!B44:H67,4,0)</f>
        <v>8</v>
      </c>
      <c r="E51" s="70">
        <f t="shared" ref="E51:E66" si="1">C51*D51</f>
        <v>3.2</v>
      </c>
    </row>
    <row r="52" spans="1:5" x14ac:dyDescent="0.25">
      <c r="A52" s="90" t="s">
        <v>98</v>
      </c>
      <c r="B52" s="68" t="s">
        <v>101</v>
      </c>
      <c r="C52" s="70">
        <f>VLOOKUP(B52,G145:H150,2,0)</f>
        <v>0.4</v>
      </c>
      <c r="D52" s="70">
        <f>HLOOKUP(B76,Переменные!B44:H67,5,0)</f>
        <v>5</v>
      </c>
      <c r="E52" s="70">
        <f t="shared" si="1"/>
        <v>2</v>
      </c>
    </row>
    <row r="53" spans="1:5" x14ac:dyDescent="0.25">
      <c r="A53" s="99" t="s">
        <v>184</v>
      </c>
      <c r="B53" s="68" t="s">
        <v>102</v>
      </c>
      <c r="C53" s="70">
        <f>VLOOKUP(B53,G156:H160,2,0)</f>
        <v>0.4</v>
      </c>
      <c r="D53" s="70">
        <f>HLOOKUP(B76,Переменные!B44:H67,6,0)</f>
        <v>5</v>
      </c>
      <c r="E53" s="70">
        <f t="shared" si="1"/>
        <v>2</v>
      </c>
    </row>
    <row r="54" spans="1:5" x14ac:dyDescent="0.25">
      <c r="A54" s="175" t="s">
        <v>165</v>
      </c>
      <c r="B54" s="176"/>
      <c r="C54" s="177"/>
      <c r="D54" s="177"/>
      <c r="E54" s="177"/>
    </row>
    <row r="55" spans="1:5" x14ac:dyDescent="0.25">
      <c r="A55" s="175" t="s">
        <v>169</v>
      </c>
      <c r="B55" s="68" t="s">
        <v>101</v>
      </c>
      <c r="C55" s="177">
        <f>VLOOKUP(B55,G156:H160,2,0)</f>
        <v>0.6</v>
      </c>
      <c r="D55" s="177">
        <f>HLOOKUP(B76,Переменные!B44:H67,8,0)</f>
        <v>2</v>
      </c>
      <c r="E55" s="177">
        <f t="shared" si="1"/>
        <v>1.2</v>
      </c>
    </row>
    <row r="56" spans="1:5" x14ac:dyDescent="0.25">
      <c r="A56" s="178" t="s">
        <v>166</v>
      </c>
      <c r="B56" s="68" t="s">
        <v>101</v>
      </c>
      <c r="C56" s="177">
        <f>VLOOKUP(B56,G151:H155,2,0)</f>
        <v>0.6</v>
      </c>
      <c r="D56" s="177">
        <f>HLOOKUP(B76,Переменные!B44:H67,9,0)</f>
        <v>1</v>
      </c>
      <c r="E56" s="177">
        <f t="shared" si="1"/>
        <v>0.6</v>
      </c>
    </row>
    <row r="57" spans="1:5" x14ac:dyDescent="0.25">
      <c r="A57" s="175" t="s">
        <v>167</v>
      </c>
      <c r="B57" s="68" t="s">
        <v>101</v>
      </c>
      <c r="C57" s="177">
        <f>VLOOKUP(B57,G151:H155,2,0)</f>
        <v>0.6</v>
      </c>
      <c r="D57" s="177">
        <f>HLOOKUP(B76,Переменные!B44:H67,10,0)</f>
        <v>3</v>
      </c>
      <c r="E57" s="177">
        <f t="shared" si="1"/>
        <v>1.7999999999999998</v>
      </c>
    </row>
    <row r="58" spans="1:5" x14ac:dyDescent="0.25">
      <c r="A58" s="175" t="s">
        <v>168</v>
      </c>
      <c r="B58" s="68" t="s">
        <v>101</v>
      </c>
      <c r="C58" s="177">
        <f>VLOOKUP(B58,G151:H155,2,0)</f>
        <v>0.6</v>
      </c>
      <c r="D58" s="177">
        <f>HLOOKUP(B76,Переменные!B44:H67,11,0)</f>
        <v>2</v>
      </c>
      <c r="E58" s="177">
        <f t="shared" si="1"/>
        <v>1.2</v>
      </c>
    </row>
    <row r="59" spans="1:5" x14ac:dyDescent="0.25">
      <c r="A59" s="175" t="s">
        <v>170</v>
      </c>
      <c r="B59" s="68" t="s">
        <v>110</v>
      </c>
      <c r="C59" s="177">
        <f>VLOOKUP(B59,G171:H175,2,0)</f>
        <v>0.6</v>
      </c>
      <c r="D59" s="177">
        <f>HLOOKUP(B76,Переменные!B44:H67,12,0)</f>
        <v>2</v>
      </c>
      <c r="E59" s="177">
        <f t="shared" si="1"/>
        <v>1.2</v>
      </c>
    </row>
    <row r="60" spans="1:5" x14ac:dyDescent="0.25">
      <c r="A60" s="91" t="s">
        <v>171</v>
      </c>
      <c r="B60" s="72"/>
      <c r="C60" s="73"/>
      <c r="D60" s="73"/>
      <c r="E60" s="73"/>
    </row>
    <row r="61" spans="1:5" x14ac:dyDescent="0.25">
      <c r="A61" s="91" t="s">
        <v>172</v>
      </c>
      <c r="B61" s="68" t="s">
        <v>101</v>
      </c>
      <c r="C61" s="73">
        <f>VLOOKUP(B61,G156:H160,2,0)</f>
        <v>0.6</v>
      </c>
      <c r="D61" s="73">
        <f>HLOOKUP(B76,Переменные!B44:H67,14,0)</f>
        <v>2</v>
      </c>
      <c r="E61" s="73">
        <f t="shared" si="1"/>
        <v>1.2</v>
      </c>
    </row>
    <row r="62" spans="1:5" x14ac:dyDescent="0.25">
      <c r="A62" s="91" t="s">
        <v>173</v>
      </c>
      <c r="B62" s="68" t="s">
        <v>101</v>
      </c>
      <c r="C62" s="73">
        <f>VLOOKUP(B62,G151:H155,2,0)</f>
        <v>0.6</v>
      </c>
      <c r="D62" s="73">
        <f>HLOOKUP(B76,Переменные!B44:H67,15,0)</f>
        <v>1</v>
      </c>
      <c r="E62" s="73">
        <f t="shared" si="1"/>
        <v>0.6</v>
      </c>
    </row>
    <row r="63" spans="1:5" x14ac:dyDescent="0.25">
      <c r="A63" s="91" t="s">
        <v>174</v>
      </c>
      <c r="B63" s="68" t="s">
        <v>101</v>
      </c>
      <c r="C63" s="73">
        <f>VLOOKUP(B63,G151:H155,2,0)</f>
        <v>0.6</v>
      </c>
      <c r="D63" s="73">
        <f>HLOOKUP(B76,Переменные!B44:H67,16,0)</f>
        <v>3</v>
      </c>
      <c r="E63" s="73">
        <f t="shared" si="1"/>
        <v>1.7999999999999998</v>
      </c>
    </row>
    <row r="64" spans="1:5" x14ac:dyDescent="0.25">
      <c r="A64" s="91" t="s">
        <v>175</v>
      </c>
      <c r="B64" s="68" t="s">
        <v>110</v>
      </c>
      <c r="C64" s="73">
        <f>VLOOKUP(B64,G171:H175,2,0)</f>
        <v>0.6</v>
      </c>
      <c r="D64" s="73">
        <f>HLOOKUP(B76,Переменные!B44:H67,17,0)</f>
        <v>2</v>
      </c>
      <c r="E64" s="73">
        <f t="shared" si="1"/>
        <v>1.2</v>
      </c>
    </row>
    <row r="65" spans="1:5" x14ac:dyDescent="0.25">
      <c r="A65" s="92" t="s">
        <v>107</v>
      </c>
      <c r="B65" s="68" t="s">
        <v>109</v>
      </c>
      <c r="C65" s="71">
        <f>VLOOKUP(B65,G161:H165,2,0)</f>
        <v>0.8</v>
      </c>
      <c r="D65" s="71">
        <f>HLOOKUP(B76,Переменные!B44:H67,18,0)</f>
        <v>1</v>
      </c>
      <c r="E65" s="71">
        <f t="shared" si="1"/>
        <v>0.8</v>
      </c>
    </row>
    <row r="66" spans="1:5" x14ac:dyDescent="0.25">
      <c r="A66" s="93" t="s">
        <v>113</v>
      </c>
      <c r="B66" s="179" t="s">
        <v>114</v>
      </c>
      <c r="C66" s="43">
        <f>VLOOKUP(B66,G166:H170,2,0)</f>
        <v>0.8</v>
      </c>
      <c r="D66" s="43">
        <f>HLOOKUP(B76,Переменные!B44:H67,19,0)</f>
        <v>1</v>
      </c>
      <c r="E66" s="43">
        <f t="shared" si="1"/>
        <v>0.8</v>
      </c>
    </row>
    <row r="67" spans="1:5" x14ac:dyDescent="0.25">
      <c r="A67" s="97"/>
      <c r="B67" s="98"/>
      <c r="C67" s="63"/>
      <c r="D67" s="63">
        <f>HLOOKUP(B76,Переменные!B44:H67,20,0)</f>
        <v>0</v>
      </c>
      <c r="E67" s="63"/>
    </row>
    <row r="68" spans="1:5" x14ac:dyDescent="0.25">
      <c r="A68" s="97"/>
      <c r="B68" s="98"/>
      <c r="C68" s="63"/>
      <c r="D68" s="63">
        <f>HLOOKUP(B76,Переменные!B44:H67,20,0)</f>
        <v>0</v>
      </c>
      <c r="E68" s="63"/>
    </row>
    <row r="69" spans="1:5" x14ac:dyDescent="0.25">
      <c r="A69" s="97"/>
      <c r="B69" s="98"/>
      <c r="C69" s="63"/>
      <c r="D69" s="63">
        <f>HLOOKUP(B76,Переменные!B44:H67,21,0)</f>
        <v>0</v>
      </c>
      <c r="E69" s="63"/>
    </row>
    <row r="70" spans="1:5" x14ac:dyDescent="0.25">
      <c r="A70" s="97"/>
      <c r="B70" s="98"/>
      <c r="C70" s="63"/>
      <c r="D70" s="63">
        <f>HLOOKUP(B76,Переменные!B44:H67,22,0)</f>
        <v>0</v>
      </c>
      <c r="E70" s="63"/>
    </row>
    <row r="71" spans="1:5" x14ac:dyDescent="0.25">
      <c r="A71" s="97"/>
      <c r="B71" s="98"/>
      <c r="C71" s="63"/>
      <c r="D71" s="63">
        <f>HLOOKUP(B76,Переменные!B44:H67,23,0)</f>
        <v>0</v>
      </c>
      <c r="E71" s="63"/>
    </row>
    <row r="72" spans="1:5" x14ac:dyDescent="0.25">
      <c r="A72" s="82" t="s">
        <v>120</v>
      </c>
      <c r="B72" s="34"/>
      <c r="C72" s="34"/>
      <c r="D72" s="35"/>
      <c r="E72" s="12">
        <f>SUM(E49:E71)</f>
        <v>21.2</v>
      </c>
    </row>
    <row r="73" spans="1:5" x14ac:dyDescent="0.25">
      <c r="A73" s="82" t="s">
        <v>185</v>
      </c>
      <c r="B73" s="34"/>
      <c r="C73" s="34"/>
      <c r="D73" s="35"/>
      <c r="E73" s="12">
        <f>E72/SUM(D49:D71)</f>
        <v>0.53</v>
      </c>
    </row>
    <row r="74" spans="1:5" x14ac:dyDescent="0.25">
      <c r="A74" s="94"/>
    </row>
    <row r="76" spans="1:5" x14ac:dyDescent="0.25">
      <c r="A76" s="95" t="s">
        <v>140</v>
      </c>
      <c r="B76" s="171" t="s">
        <v>277</v>
      </c>
    </row>
    <row r="77" spans="1:5" x14ac:dyDescent="0.25">
      <c r="A77" s="84" t="s">
        <v>85</v>
      </c>
      <c r="B77" s="172">
        <v>2</v>
      </c>
    </row>
    <row r="79" spans="1:5" x14ac:dyDescent="0.25">
      <c r="A79" s="49" t="s">
        <v>69</v>
      </c>
      <c r="B79" s="50" t="s">
        <v>51</v>
      </c>
      <c r="C79" s="170">
        <v>44377</v>
      </c>
      <c r="D79" s="170">
        <v>44197</v>
      </c>
    </row>
    <row r="80" spans="1:5" x14ac:dyDescent="0.25">
      <c r="A80" s="51" t="s">
        <v>45</v>
      </c>
      <c r="B80" s="13"/>
      <c r="C80" s="13"/>
      <c r="D80" s="13"/>
    </row>
    <row r="81" spans="1:4" x14ac:dyDescent="0.25">
      <c r="A81" s="4" t="s">
        <v>18</v>
      </c>
      <c r="B81" s="5">
        <v>1110</v>
      </c>
      <c r="C81" s="173">
        <v>0</v>
      </c>
      <c r="D81" s="173">
        <v>0</v>
      </c>
    </row>
    <row r="82" spans="1:4" x14ac:dyDescent="0.25">
      <c r="A82" s="4" t="s">
        <v>19</v>
      </c>
      <c r="B82" s="6">
        <v>1120</v>
      </c>
      <c r="C82" s="173">
        <v>0</v>
      </c>
      <c r="D82" s="173">
        <v>0</v>
      </c>
    </row>
    <row r="83" spans="1:4" x14ac:dyDescent="0.25">
      <c r="A83" s="4" t="s">
        <v>20</v>
      </c>
      <c r="B83" s="6">
        <v>1130</v>
      </c>
      <c r="C83" s="173">
        <v>0</v>
      </c>
      <c r="D83" s="173">
        <v>0</v>
      </c>
    </row>
    <row r="84" spans="1:4" x14ac:dyDescent="0.25">
      <c r="A84" s="4" t="s">
        <v>21</v>
      </c>
      <c r="B84" s="6">
        <v>1140</v>
      </c>
      <c r="C84" s="173">
        <v>0</v>
      </c>
      <c r="D84" s="173">
        <v>0</v>
      </c>
    </row>
    <row r="85" spans="1:4" x14ac:dyDescent="0.25">
      <c r="A85" s="4" t="s">
        <v>22</v>
      </c>
      <c r="B85" s="6">
        <v>1150</v>
      </c>
      <c r="C85" s="173">
        <v>0</v>
      </c>
      <c r="D85" s="173">
        <v>0</v>
      </c>
    </row>
    <row r="86" spans="1:4" ht="30" x14ac:dyDescent="0.25">
      <c r="A86" s="4" t="s">
        <v>76</v>
      </c>
      <c r="B86" s="6">
        <v>1160</v>
      </c>
      <c r="C86" s="173">
        <v>0</v>
      </c>
      <c r="D86" s="173">
        <v>0</v>
      </c>
    </row>
    <row r="87" spans="1:4" x14ac:dyDescent="0.25">
      <c r="A87" s="4" t="s">
        <v>23</v>
      </c>
      <c r="B87" s="6">
        <v>1170</v>
      </c>
      <c r="C87" s="173">
        <v>0</v>
      </c>
      <c r="D87" s="173">
        <v>0</v>
      </c>
    </row>
    <row r="88" spans="1:4" x14ac:dyDescent="0.25">
      <c r="A88" s="4" t="s">
        <v>24</v>
      </c>
      <c r="B88" s="6">
        <v>1180</v>
      </c>
      <c r="C88" s="173">
        <v>0</v>
      </c>
      <c r="D88" s="173">
        <v>0</v>
      </c>
    </row>
    <row r="89" spans="1:4" x14ac:dyDescent="0.25">
      <c r="A89" s="4" t="s">
        <v>25</v>
      </c>
      <c r="B89" s="6">
        <v>1190</v>
      </c>
      <c r="C89" s="173">
        <v>0</v>
      </c>
      <c r="D89" s="173">
        <v>0</v>
      </c>
    </row>
    <row r="90" spans="1:4" x14ac:dyDescent="0.25">
      <c r="A90" s="46" t="s">
        <v>31</v>
      </c>
      <c r="B90" s="47">
        <v>1100</v>
      </c>
      <c r="C90" s="44">
        <f>SUM(C81:C89)</f>
        <v>0</v>
      </c>
      <c r="D90" s="44">
        <f>SUM(D81:D89)</f>
        <v>0</v>
      </c>
    </row>
    <row r="91" spans="1:4" x14ac:dyDescent="0.25">
      <c r="A91" s="4" t="s">
        <v>26</v>
      </c>
      <c r="B91" s="6">
        <v>1210</v>
      </c>
      <c r="C91" s="173">
        <v>0</v>
      </c>
      <c r="D91" s="173">
        <v>0</v>
      </c>
    </row>
    <row r="92" spans="1:4" ht="30" x14ac:dyDescent="0.25">
      <c r="A92" s="8" t="s">
        <v>27</v>
      </c>
      <c r="B92" s="6">
        <v>1220</v>
      </c>
      <c r="C92" s="173">
        <v>0</v>
      </c>
      <c r="D92" s="173">
        <v>0</v>
      </c>
    </row>
    <row r="93" spans="1:4" x14ac:dyDescent="0.25">
      <c r="A93" s="8" t="s">
        <v>28</v>
      </c>
      <c r="B93" s="6">
        <v>1230</v>
      </c>
      <c r="C93" s="173">
        <v>0</v>
      </c>
      <c r="D93" s="173">
        <v>0</v>
      </c>
    </row>
    <row r="94" spans="1:4" x14ac:dyDescent="0.25">
      <c r="A94" s="8" t="s">
        <v>23</v>
      </c>
      <c r="B94" s="6">
        <v>1240</v>
      </c>
      <c r="C94" s="173">
        <v>0</v>
      </c>
      <c r="D94" s="173">
        <v>0</v>
      </c>
    </row>
    <row r="95" spans="1:4" x14ac:dyDescent="0.25">
      <c r="A95" s="8" t="s">
        <v>29</v>
      </c>
      <c r="B95" s="6">
        <v>1250</v>
      </c>
      <c r="C95" s="173">
        <v>0</v>
      </c>
      <c r="D95" s="173">
        <v>0</v>
      </c>
    </row>
    <row r="96" spans="1:4" x14ac:dyDescent="0.25">
      <c r="A96" s="8" t="s">
        <v>30</v>
      </c>
      <c r="B96" s="6">
        <v>1260</v>
      </c>
      <c r="C96" s="173">
        <v>0</v>
      </c>
      <c r="D96" s="173">
        <v>0</v>
      </c>
    </row>
    <row r="97" spans="1:4" x14ac:dyDescent="0.25">
      <c r="A97" s="48" t="s">
        <v>32</v>
      </c>
      <c r="B97" s="47">
        <v>1200</v>
      </c>
      <c r="C97" s="44">
        <f>SUM(C91:C96)</f>
        <v>0</v>
      </c>
      <c r="D97" s="44">
        <f>SUM(D91:D96)</f>
        <v>0</v>
      </c>
    </row>
    <row r="98" spans="1:4" x14ac:dyDescent="0.25">
      <c r="A98" s="48" t="s">
        <v>33</v>
      </c>
      <c r="B98" s="47">
        <v>1600</v>
      </c>
      <c r="C98" s="44">
        <f>C90+C97</f>
        <v>0</v>
      </c>
      <c r="D98" s="44">
        <f>D90+D97</f>
        <v>0</v>
      </c>
    </row>
    <row r="99" spans="1:4" x14ac:dyDescent="0.25">
      <c r="A99" s="51" t="s">
        <v>46</v>
      </c>
      <c r="B99" s="7"/>
      <c r="C99" s="9"/>
      <c r="D99" s="9"/>
    </row>
    <row r="100" spans="1:4" x14ac:dyDescent="0.25">
      <c r="A100" s="4" t="s">
        <v>75</v>
      </c>
      <c r="B100" s="6">
        <v>1310</v>
      </c>
      <c r="C100" s="173">
        <v>0</v>
      </c>
      <c r="D100" s="173">
        <v>0</v>
      </c>
    </row>
    <row r="101" spans="1:4" ht="30" x14ac:dyDescent="0.25">
      <c r="A101" s="4" t="s">
        <v>34</v>
      </c>
      <c r="B101" s="6">
        <v>1320</v>
      </c>
      <c r="C101" s="173">
        <v>0</v>
      </c>
      <c r="D101" s="173">
        <v>0</v>
      </c>
    </row>
    <row r="102" spans="1:4" x14ac:dyDescent="0.25">
      <c r="A102" s="4" t="s">
        <v>35</v>
      </c>
      <c r="B102" s="6">
        <v>1340</v>
      </c>
      <c r="C102" s="173">
        <v>0</v>
      </c>
      <c r="D102" s="173">
        <v>0</v>
      </c>
    </row>
    <row r="103" spans="1:4" x14ac:dyDescent="0.25">
      <c r="A103" s="4" t="s">
        <v>36</v>
      </c>
      <c r="B103" s="6">
        <v>1350</v>
      </c>
      <c r="C103" s="173">
        <v>0</v>
      </c>
      <c r="D103" s="173">
        <v>0</v>
      </c>
    </row>
    <row r="104" spans="1:4" x14ac:dyDescent="0.25">
      <c r="A104" s="4" t="s">
        <v>37</v>
      </c>
      <c r="B104" s="6">
        <v>1360</v>
      </c>
      <c r="C104" s="173">
        <v>0</v>
      </c>
      <c r="D104" s="173">
        <v>0</v>
      </c>
    </row>
    <row r="105" spans="1:4" ht="30" x14ac:dyDescent="0.25">
      <c r="A105" s="4" t="s">
        <v>38</v>
      </c>
      <c r="B105" s="6">
        <v>1370</v>
      </c>
      <c r="C105" s="173">
        <v>0</v>
      </c>
      <c r="D105" s="173">
        <v>0</v>
      </c>
    </row>
    <row r="106" spans="1:4" x14ac:dyDescent="0.25">
      <c r="A106" s="48" t="s">
        <v>47</v>
      </c>
      <c r="B106" s="47">
        <v>1300</v>
      </c>
      <c r="C106" s="44">
        <f>SUM(C100:C105)</f>
        <v>0</v>
      </c>
      <c r="D106" s="44">
        <f>SUM(D100:D105)</f>
        <v>0</v>
      </c>
    </row>
    <row r="107" spans="1:4" x14ac:dyDescent="0.25">
      <c r="A107" s="4" t="s">
        <v>39</v>
      </c>
      <c r="B107" s="6">
        <v>1410</v>
      </c>
      <c r="C107" s="173">
        <v>0</v>
      </c>
      <c r="D107" s="173">
        <v>0</v>
      </c>
    </row>
    <row r="108" spans="1:4" x14ac:dyDescent="0.25">
      <c r="A108" s="10" t="s">
        <v>40</v>
      </c>
      <c r="B108" s="6">
        <v>1420</v>
      </c>
      <c r="C108" s="173">
        <v>0</v>
      </c>
      <c r="D108" s="173">
        <v>0</v>
      </c>
    </row>
    <row r="109" spans="1:4" x14ac:dyDescent="0.25">
      <c r="A109" s="10" t="s">
        <v>41</v>
      </c>
      <c r="B109" s="6">
        <v>1430</v>
      </c>
      <c r="C109" s="173">
        <v>0</v>
      </c>
      <c r="D109" s="173">
        <v>0</v>
      </c>
    </row>
    <row r="110" spans="1:4" x14ac:dyDescent="0.25">
      <c r="A110" s="10" t="s">
        <v>42</v>
      </c>
      <c r="B110" s="6">
        <v>1450</v>
      </c>
      <c r="C110" s="173">
        <v>0</v>
      </c>
      <c r="D110" s="173">
        <v>0</v>
      </c>
    </row>
    <row r="111" spans="1:4" x14ac:dyDescent="0.25">
      <c r="A111" s="48" t="s">
        <v>48</v>
      </c>
      <c r="B111" s="47">
        <v>1400</v>
      </c>
      <c r="C111" s="44">
        <f>SUM(C107:C110)</f>
        <v>0</v>
      </c>
      <c r="D111" s="44">
        <f>SUM(D107:D110)</f>
        <v>0</v>
      </c>
    </row>
    <row r="112" spans="1:4" x14ac:dyDescent="0.25">
      <c r="A112" s="10" t="s">
        <v>39</v>
      </c>
      <c r="B112" s="6">
        <v>1510</v>
      </c>
      <c r="C112" s="173">
        <v>0</v>
      </c>
      <c r="D112" s="173">
        <v>0</v>
      </c>
    </row>
    <row r="113" spans="1:4" x14ac:dyDescent="0.25">
      <c r="A113" s="10" t="s">
        <v>43</v>
      </c>
      <c r="B113" s="6">
        <v>1520</v>
      </c>
      <c r="C113" s="173">
        <v>0</v>
      </c>
      <c r="D113" s="173">
        <v>0</v>
      </c>
    </row>
    <row r="114" spans="1:4" x14ac:dyDescent="0.25">
      <c r="A114" s="10" t="s">
        <v>44</v>
      </c>
      <c r="B114" s="6">
        <v>1530</v>
      </c>
      <c r="C114" s="173">
        <v>0</v>
      </c>
      <c r="D114" s="173">
        <v>0</v>
      </c>
    </row>
    <row r="115" spans="1:4" x14ac:dyDescent="0.25">
      <c r="A115" s="10" t="s">
        <v>41</v>
      </c>
      <c r="B115" s="6">
        <v>1540</v>
      </c>
      <c r="C115" s="173">
        <v>0</v>
      </c>
      <c r="D115" s="173">
        <v>0</v>
      </c>
    </row>
    <row r="116" spans="1:4" x14ac:dyDescent="0.25">
      <c r="A116" s="10" t="s">
        <v>42</v>
      </c>
      <c r="B116" s="6">
        <v>1550</v>
      </c>
      <c r="C116" s="173">
        <v>0</v>
      </c>
      <c r="D116" s="173"/>
    </row>
    <row r="117" spans="1:4" x14ac:dyDescent="0.25">
      <c r="A117" s="48" t="s">
        <v>49</v>
      </c>
      <c r="B117" s="47">
        <v>1500</v>
      </c>
      <c r="C117" s="44">
        <f>SUM(C112:C116)</f>
        <v>0</v>
      </c>
      <c r="D117" s="44">
        <f>SUM(D112:D116)</f>
        <v>0</v>
      </c>
    </row>
    <row r="118" spans="1:4" x14ac:dyDescent="0.25">
      <c r="A118" s="48" t="s">
        <v>50</v>
      </c>
      <c r="B118" s="47">
        <v>1700</v>
      </c>
      <c r="C118" s="44">
        <f>C117+C111+C106</f>
        <v>0</v>
      </c>
      <c r="D118" s="44">
        <f>D117+D111+D106</f>
        <v>0</v>
      </c>
    </row>
    <row r="119" spans="1:4" x14ac:dyDescent="0.25">
      <c r="A119" s="14" t="s">
        <v>78</v>
      </c>
      <c r="B119" s="14"/>
      <c r="C119" s="15">
        <f>C118-C98</f>
        <v>0</v>
      </c>
      <c r="D119" s="15">
        <f>D118-D98</f>
        <v>0</v>
      </c>
    </row>
    <row r="120" spans="1:4" x14ac:dyDescent="0.25">
      <c r="A120" s="52" t="s">
        <v>68</v>
      </c>
      <c r="B120" s="50" t="s">
        <v>51</v>
      </c>
      <c r="C120" s="53" t="s">
        <v>67</v>
      </c>
      <c r="D120" s="53" t="s">
        <v>66</v>
      </c>
    </row>
    <row r="121" spans="1:4" x14ac:dyDescent="0.25">
      <c r="A121" s="11" t="s">
        <v>52</v>
      </c>
      <c r="B121" s="6">
        <v>2110</v>
      </c>
      <c r="C121" s="173">
        <v>0</v>
      </c>
      <c r="D121" s="45">
        <v>0</v>
      </c>
    </row>
    <row r="122" spans="1:4" x14ac:dyDescent="0.25">
      <c r="A122" s="4" t="s">
        <v>53</v>
      </c>
      <c r="B122" s="6">
        <v>2120</v>
      </c>
      <c r="C122" s="173">
        <v>0</v>
      </c>
      <c r="D122" s="45">
        <v>0</v>
      </c>
    </row>
    <row r="123" spans="1:4" x14ac:dyDescent="0.25">
      <c r="A123" s="46" t="s">
        <v>54</v>
      </c>
      <c r="B123" s="47">
        <v>2100</v>
      </c>
      <c r="C123" s="44">
        <f>C121-C122</f>
        <v>0</v>
      </c>
      <c r="D123" s="44">
        <f>D121-D122</f>
        <v>0</v>
      </c>
    </row>
    <row r="124" spans="1:4" x14ac:dyDescent="0.25">
      <c r="A124" s="4" t="s">
        <v>55</v>
      </c>
      <c r="B124" s="6">
        <v>2210</v>
      </c>
      <c r="C124" s="173">
        <v>0</v>
      </c>
      <c r="D124" s="45">
        <v>0</v>
      </c>
    </row>
    <row r="125" spans="1:4" x14ac:dyDescent="0.25">
      <c r="A125" s="4" t="s">
        <v>56</v>
      </c>
      <c r="B125" s="6">
        <v>2220</v>
      </c>
      <c r="C125" s="173">
        <v>0</v>
      </c>
      <c r="D125" s="45">
        <v>0</v>
      </c>
    </row>
    <row r="126" spans="1:4" ht="30" x14ac:dyDescent="0.25">
      <c r="A126" s="4" t="s">
        <v>79</v>
      </c>
      <c r="B126" s="6">
        <v>2230</v>
      </c>
      <c r="C126" s="173">
        <v>0</v>
      </c>
      <c r="D126" s="45">
        <v>0</v>
      </c>
    </row>
    <row r="127" spans="1:4" x14ac:dyDescent="0.25">
      <c r="A127" s="46" t="s">
        <v>63</v>
      </c>
      <c r="B127" s="47">
        <v>2200</v>
      </c>
      <c r="C127" s="44">
        <f>SUM(C123:C126)</f>
        <v>0</v>
      </c>
      <c r="D127" s="44">
        <f>SUM(D123:D126)</f>
        <v>0</v>
      </c>
    </row>
    <row r="128" spans="1:4" x14ac:dyDescent="0.25">
      <c r="A128" s="4" t="s">
        <v>57</v>
      </c>
      <c r="B128" s="6">
        <v>2310</v>
      </c>
      <c r="C128" s="173">
        <v>0</v>
      </c>
      <c r="D128" s="45">
        <v>0</v>
      </c>
    </row>
    <row r="129" spans="1:8" x14ac:dyDescent="0.25">
      <c r="A129" s="4" t="s">
        <v>58</v>
      </c>
      <c r="B129" s="6">
        <v>2320</v>
      </c>
      <c r="C129" s="173">
        <v>0</v>
      </c>
      <c r="D129" s="45">
        <v>0</v>
      </c>
    </row>
    <row r="130" spans="1:8" x14ac:dyDescent="0.25">
      <c r="A130" s="4" t="s">
        <v>59</v>
      </c>
      <c r="B130" s="6">
        <v>2330</v>
      </c>
      <c r="C130" s="173">
        <v>0</v>
      </c>
      <c r="D130" s="45">
        <v>0</v>
      </c>
    </row>
    <row r="131" spans="1:8" x14ac:dyDescent="0.25">
      <c r="A131" s="10" t="s">
        <v>60</v>
      </c>
      <c r="B131" s="6">
        <v>2340</v>
      </c>
      <c r="C131" s="173">
        <v>0</v>
      </c>
      <c r="D131" s="45">
        <v>0</v>
      </c>
    </row>
    <row r="132" spans="1:8" x14ac:dyDescent="0.25">
      <c r="A132" s="4" t="s">
        <v>61</v>
      </c>
      <c r="B132" s="6">
        <v>2350</v>
      </c>
      <c r="C132" s="173">
        <v>0</v>
      </c>
      <c r="D132" s="45">
        <v>0</v>
      </c>
    </row>
    <row r="133" spans="1:8" x14ac:dyDescent="0.25">
      <c r="A133" s="46" t="s">
        <v>64</v>
      </c>
      <c r="B133" s="47">
        <v>2300</v>
      </c>
      <c r="C133" s="44">
        <f>SUM(C127:C132)</f>
        <v>0</v>
      </c>
      <c r="D133" s="44">
        <f>SUM(D127:D132)</f>
        <v>0</v>
      </c>
    </row>
    <row r="134" spans="1:8" x14ac:dyDescent="0.25">
      <c r="A134" s="10" t="s">
        <v>62</v>
      </c>
      <c r="B134" s="6">
        <v>2410</v>
      </c>
      <c r="C134" s="173">
        <v>0</v>
      </c>
      <c r="D134" s="45">
        <v>0</v>
      </c>
    </row>
    <row r="135" spans="1:8" x14ac:dyDescent="0.25">
      <c r="A135" s="10" t="s">
        <v>80</v>
      </c>
      <c r="B135" s="6">
        <v>2460</v>
      </c>
      <c r="C135" s="173">
        <v>0</v>
      </c>
      <c r="D135" s="45">
        <v>0</v>
      </c>
    </row>
    <row r="136" spans="1:8" ht="30" x14ac:dyDescent="0.25">
      <c r="A136" s="10" t="s">
        <v>81</v>
      </c>
      <c r="B136" s="6">
        <v>2465</v>
      </c>
      <c r="C136" s="173">
        <v>0</v>
      </c>
      <c r="D136" s="45">
        <v>0</v>
      </c>
    </row>
    <row r="137" spans="1:8" x14ac:dyDescent="0.25">
      <c r="A137" s="48" t="s">
        <v>65</v>
      </c>
      <c r="B137" s="47">
        <v>2400</v>
      </c>
      <c r="C137" s="44">
        <f>SUM(C133:C136)</f>
        <v>0</v>
      </c>
      <c r="D137" s="44">
        <f>SUM(D133:D136)</f>
        <v>0</v>
      </c>
    </row>
    <row r="139" spans="1:8" ht="15.75" thickBot="1" x14ac:dyDescent="0.3"/>
    <row r="140" spans="1:8" ht="15.75" thickBot="1" x14ac:dyDescent="0.3">
      <c r="A140" s="187" t="s">
        <v>83</v>
      </c>
      <c r="B140" s="22" t="e">
        <f>B6&gt;C141</f>
        <v>#DIV/0!</v>
      </c>
      <c r="C140" s="27" t="s">
        <v>97</v>
      </c>
      <c r="D140" s="17">
        <v>100</v>
      </c>
      <c r="F140" s="190" t="s">
        <v>178</v>
      </c>
      <c r="G140" s="28" t="s">
        <v>121</v>
      </c>
      <c r="H140" s="29">
        <v>1</v>
      </c>
    </row>
    <row r="141" spans="1:8" x14ac:dyDescent="0.25">
      <c r="A141" s="188"/>
      <c r="B141" s="23" t="e">
        <f>IF(AND((C141&gt;=B6),(B6&gt;C142)),TRUE,FALSE)</f>
        <v>#DIV/0!</v>
      </c>
      <c r="C141" s="18">
        <f>HLOOKUP($B$76,Переменные!$B$70:$H$220,3,0)/E73</f>
        <v>0.37735849056603776</v>
      </c>
      <c r="D141" s="19">
        <v>75</v>
      </c>
      <c r="F141" s="191"/>
      <c r="G141" s="30" t="s">
        <v>122</v>
      </c>
      <c r="H141" s="31">
        <v>0.8</v>
      </c>
    </row>
    <row r="142" spans="1:8" ht="15" customHeight="1" x14ac:dyDescent="0.25">
      <c r="A142" s="188"/>
      <c r="B142" s="23" t="e">
        <f>IF(AND((C142&gt;=B6),(B6&gt;C143)),TRUE,FALSE)</f>
        <v>#DIV/0!</v>
      </c>
      <c r="C142" s="18">
        <f>HLOOKUP($B$76,Переменные!$B$70:$H$220,4,0)/E73</f>
        <v>0.18867924528301888</v>
      </c>
      <c r="D142" s="19">
        <v>50</v>
      </c>
      <c r="F142" s="191"/>
      <c r="G142" s="30" t="s">
        <v>123</v>
      </c>
      <c r="H142" s="31">
        <v>0.6</v>
      </c>
    </row>
    <row r="143" spans="1:8" x14ac:dyDescent="0.25">
      <c r="A143" s="188"/>
      <c r="B143" s="23" t="e">
        <f>IF(AND((C143&gt;=B6),(B6&gt;C144)),TRUE,FALSE)</f>
        <v>#DIV/0!</v>
      </c>
      <c r="C143" s="18">
        <f>HLOOKUP($B$76,Переменные!$B$70:$H$220,5,0)/E73</f>
        <v>9.4339622641509441E-2</v>
      </c>
      <c r="D143" s="19">
        <v>25</v>
      </c>
      <c r="F143" s="191"/>
      <c r="G143" s="30" t="s">
        <v>124</v>
      </c>
      <c r="H143" s="31">
        <v>0.4</v>
      </c>
    </row>
    <row r="144" spans="1:8" ht="15.75" thickBot="1" x14ac:dyDescent="0.3">
      <c r="A144" s="189"/>
      <c r="B144" s="24" t="e">
        <f>C144&gt;=B6</f>
        <v>#DIV/0!</v>
      </c>
      <c r="C144" s="18">
        <f>HLOOKUP($B$76,Переменные!$B$70:$H$220,6,0)/E73</f>
        <v>4.716981132075472E-2</v>
      </c>
      <c r="D144" s="21">
        <v>0</v>
      </c>
      <c r="F144" s="192"/>
      <c r="G144" s="32" t="s">
        <v>125</v>
      </c>
      <c r="H144" s="33">
        <v>0.2</v>
      </c>
    </row>
    <row r="145" spans="1:8" ht="15.75" thickBot="1" x14ac:dyDescent="0.3">
      <c r="A145" s="187" t="s">
        <v>84</v>
      </c>
      <c r="B145" s="22" t="e">
        <f>B7&gt;C146</f>
        <v>#DIV/0!</v>
      </c>
      <c r="C145" s="27" t="s">
        <v>97</v>
      </c>
      <c r="D145" s="17">
        <v>100</v>
      </c>
      <c r="F145" s="190" t="s">
        <v>181</v>
      </c>
      <c r="G145" s="28" t="s">
        <v>152</v>
      </c>
      <c r="H145" s="29">
        <v>1</v>
      </c>
    </row>
    <row r="146" spans="1:8" x14ac:dyDescent="0.25">
      <c r="A146" s="188"/>
      <c r="B146" s="23" t="e">
        <f>IF(AND((C146&gt;=B7),(B7&gt;C147)),TRUE,FALSE)</f>
        <v>#DIV/0!</v>
      </c>
      <c r="C146" s="18">
        <f>HLOOKUP($B$76,Переменные!$B$70:$H$220,8,0)/E73</f>
        <v>1.5094339622641511</v>
      </c>
      <c r="D146" s="19">
        <v>75</v>
      </c>
      <c r="F146" s="191"/>
      <c r="G146" s="30" t="s">
        <v>176</v>
      </c>
      <c r="H146" s="31">
        <v>1</v>
      </c>
    </row>
    <row r="147" spans="1:8" ht="15" customHeight="1" x14ac:dyDescent="0.25">
      <c r="A147" s="188"/>
      <c r="B147" s="23" t="e">
        <f>IF(AND((C147&gt;=B7),(B7&gt;C148)),TRUE,FALSE)</f>
        <v>#DIV/0!</v>
      </c>
      <c r="C147" s="18">
        <f>HLOOKUP($B$76,Переменные!$B$70:$H$220,9,0)/E73</f>
        <v>0.75471698113207553</v>
      </c>
      <c r="D147" s="19">
        <v>50</v>
      </c>
      <c r="F147" s="191"/>
      <c r="G147" s="30" t="s">
        <v>99</v>
      </c>
      <c r="H147" s="31">
        <v>0.8</v>
      </c>
    </row>
    <row r="148" spans="1:8" x14ac:dyDescent="0.25">
      <c r="A148" s="188"/>
      <c r="B148" s="23" t="e">
        <f>IF(AND((C148&gt;=B7),(B7&gt;C149)),TRUE,FALSE)</f>
        <v>#DIV/0!</v>
      </c>
      <c r="C148" s="18">
        <f>HLOOKUP($B$76,Переменные!$B$70:$H$220,10,0)/E73</f>
        <v>0.37735849056603776</v>
      </c>
      <c r="D148" s="19">
        <v>25</v>
      </c>
      <c r="F148" s="191"/>
      <c r="G148" s="30" t="s">
        <v>100</v>
      </c>
      <c r="H148" s="31">
        <v>0.6</v>
      </c>
    </row>
    <row r="149" spans="1:8" ht="15.75" thickBot="1" x14ac:dyDescent="0.3">
      <c r="A149" s="189"/>
      <c r="B149" s="24" t="e">
        <f>C149&gt;=B7</f>
        <v>#DIV/0!</v>
      </c>
      <c r="C149" s="18">
        <f>HLOOKUP($B$76,Переменные!$B$70:$H$220,11,0)/E73</f>
        <v>0.18867924528301888</v>
      </c>
      <c r="D149" s="21">
        <v>0</v>
      </c>
      <c r="F149" s="191"/>
      <c r="G149" s="30" t="s">
        <v>101</v>
      </c>
      <c r="H149" s="31">
        <v>0.4</v>
      </c>
    </row>
    <row r="150" spans="1:8" ht="15.75" thickBot="1" x14ac:dyDescent="0.3">
      <c r="A150" s="187" t="s">
        <v>71</v>
      </c>
      <c r="B150" s="22" t="e">
        <f>B8&gt;C151</f>
        <v>#DIV/0!</v>
      </c>
      <c r="C150" s="27" t="s">
        <v>97</v>
      </c>
      <c r="D150" s="17">
        <v>100</v>
      </c>
      <c r="F150" s="192"/>
      <c r="G150" s="32" t="s">
        <v>102</v>
      </c>
      <c r="H150" s="33">
        <v>0.2</v>
      </c>
    </row>
    <row r="151" spans="1:8" x14ac:dyDescent="0.25">
      <c r="A151" s="188"/>
      <c r="B151" s="23" t="e">
        <f>IF(AND((C151&gt;=B8),(B8&gt;C152)),TRUE,FALSE)</f>
        <v>#DIV/0!</v>
      </c>
      <c r="C151" s="18">
        <f>HLOOKUP($B$76,Переменные!$B$70:$H$220,13,0)/E73</f>
        <v>1.8867924528301885</v>
      </c>
      <c r="D151" s="19">
        <v>75</v>
      </c>
      <c r="F151" s="190" t="s">
        <v>177</v>
      </c>
      <c r="G151" s="28" t="s">
        <v>103</v>
      </c>
      <c r="H151" s="29">
        <v>1</v>
      </c>
    </row>
    <row r="152" spans="1:8" x14ac:dyDescent="0.25">
      <c r="A152" s="188"/>
      <c r="B152" s="23" t="e">
        <f>IF(AND((C152&gt;=B8),(B8&gt;C153)),TRUE,FALSE)</f>
        <v>#DIV/0!</v>
      </c>
      <c r="C152" s="18">
        <f>HLOOKUP($B$76,Переменные!$B$70:$H$220,14,0)/E73</f>
        <v>0.94339622641509424</v>
      </c>
      <c r="D152" s="19">
        <v>50</v>
      </c>
      <c r="F152" s="191"/>
      <c r="G152" s="30" t="s">
        <v>102</v>
      </c>
      <c r="H152" s="31">
        <v>0.8</v>
      </c>
    </row>
    <row r="153" spans="1:8" x14ac:dyDescent="0.25">
      <c r="A153" s="188"/>
      <c r="B153" s="23" t="e">
        <f>IF(AND((C153&gt;=B8),(B8&gt;C154)),TRUE,FALSE)</f>
        <v>#DIV/0!</v>
      </c>
      <c r="C153" s="18">
        <f>HLOOKUP($B$76,Переменные!$B$70:$H$220,15,0)/E73</f>
        <v>0.47169811320754712</v>
      </c>
      <c r="D153" s="19">
        <v>25</v>
      </c>
      <c r="F153" s="191"/>
      <c r="G153" s="30" t="s">
        <v>101</v>
      </c>
      <c r="H153" s="31">
        <v>0.6</v>
      </c>
    </row>
    <row r="154" spans="1:8" ht="15.75" thickBot="1" x14ac:dyDescent="0.3">
      <c r="A154" s="189"/>
      <c r="B154" s="24" t="e">
        <f>C154&gt;=B8</f>
        <v>#DIV/0!</v>
      </c>
      <c r="C154" s="18">
        <f>HLOOKUP($B$76,Переменные!$B$70:$H$220,16,0)/E73</f>
        <v>0.23584905660377356</v>
      </c>
      <c r="D154" s="21">
        <v>0</v>
      </c>
      <c r="F154" s="191"/>
      <c r="G154" s="30" t="s">
        <v>100</v>
      </c>
      <c r="H154" s="31">
        <v>0.4</v>
      </c>
    </row>
    <row r="155" spans="1:8" ht="15.75" thickBot="1" x14ac:dyDescent="0.3">
      <c r="A155" s="187" t="s">
        <v>72</v>
      </c>
      <c r="B155" s="22" t="b">
        <f>B9&gt;C156</f>
        <v>0</v>
      </c>
      <c r="C155" s="27" t="s">
        <v>97</v>
      </c>
      <c r="D155" s="17">
        <v>100</v>
      </c>
      <c r="F155" s="192"/>
      <c r="G155" s="32" t="s">
        <v>99</v>
      </c>
      <c r="H155" s="33">
        <v>0.2</v>
      </c>
    </row>
    <row r="156" spans="1:8" x14ac:dyDescent="0.25">
      <c r="A156" s="188"/>
      <c r="B156" s="23" t="b">
        <f>IF(AND((C156&gt;=B9),(B9&gt;C157)),TRUE,FALSE)</f>
        <v>0</v>
      </c>
      <c r="C156" s="18">
        <f>HLOOKUP($B$76,Переменные!$B$70:$H$220,18,0)/E73</f>
        <v>94.339622641509436</v>
      </c>
      <c r="D156" s="19">
        <v>75</v>
      </c>
      <c r="F156" s="190" t="s">
        <v>183</v>
      </c>
      <c r="G156" s="28" t="s">
        <v>99</v>
      </c>
      <c r="H156" s="29">
        <v>1</v>
      </c>
    </row>
    <row r="157" spans="1:8" x14ac:dyDescent="0.25">
      <c r="A157" s="188"/>
      <c r="B157" s="23" t="b">
        <f>IF(AND((C157&gt;=B9),(B9&gt;C158)),TRUE,FALSE)</f>
        <v>0</v>
      </c>
      <c r="C157" s="18">
        <f>HLOOKUP($B$76,Переменные!$B$70:$H$220,19,0)/E73</f>
        <v>28.30188679245283</v>
      </c>
      <c r="D157" s="19">
        <v>50</v>
      </c>
      <c r="F157" s="191"/>
      <c r="G157" s="30" t="s">
        <v>100</v>
      </c>
      <c r="H157" s="31">
        <v>0.8</v>
      </c>
    </row>
    <row r="158" spans="1:8" x14ac:dyDescent="0.25">
      <c r="A158" s="188"/>
      <c r="B158" s="23" t="b">
        <f>IF(AND((C158&gt;=B9),(B9&gt;C159)),TRUE,FALSE)</f>
        <v>0</v>
      </c>
      <c r="C158" s="18">
        <f>HLOOKUP($B$76,Переменные!$B$70:$H$220,20,0)/E73</f>
        <v>9.4339622641509422</v>
      </c>
      <c r="D158" s="19">
        <v>25</v>
      </c>
      <c r="F158" s="191"/>
      <c r="G158" s="30" t="s">
        <v>101</v>
      </c>
      <c r="H158" s="31">
        <v>0.6</v>
      </c>
    </row>
    <row r="159" spans="1:8" ht="15.75" thickBot="1" x14ac:dyDescent="0.3">
      <c r="A159" s="189"/>
      <c r="B159" s="24" t="b">
        <f>C159&gt;=B9</f>
        <v>1</v>
      </c>
      <c r="C159" s="18">
        <f>HLOOKUP($B$76,Переменные!$B$70:$H$220,21,0)/E73</f>
        <v>3.773584905660377</v>
      </c>
      <c r="D159" s="21">
        <v>0</v>
      </c>
      <c r="F159" s="191"/>
      <c r="G159" s="30" t="s">
        <v>102</v>
      </c>
      <c r="H159" s="31">
        <v>0.4</v>
      </c>
    </row>
    <row r="160" spans="1:8" ht="15.75" thickBot="1" x14ac:dyDescent="0.3">
      <c r="A160" s="187" t="s">
        <v>86</v>
      </c>
      <c r="B160" s="22" t="b">
        <f>B10&gt;C161</f>
        <v>0</v>
      </c>
      <c r="C160" s="27" t="s">
        <v>97</v>
      </c>
      <c r="D160" s="17">
        <v>100</v>
      </c>
      <c r="F160" s="192"/>
      <c r="G160" s="32" t="s">
        <v>103</v>
      </c>
      <c r="H160" s="33">
        <v>0.2</v>
      </c>
    </row>
    <row r="161" spans="1:8" x14ac:dyDescent="0.25">
      <c r="A161" s="188"/>
      <c r="B161" s="23" t="b">
        <f>IF(AND((C161&gt;=B10),(B10&gt;C162)),TRUE,FALSE)</f>
        <v>0</v>
      </c>
      <c r="C161" s="18">
        <f>HLOOKUP($B$76,Переменные!$B$70:$H$220,23,0)/E73</f>
        <v>37.735849056603769</v>
      </c>
      <c r="D161" s="19">
        <v>75</v>
      </c>
      <c r="F161" s="190" t="s">
        <v>179</v>
      </c>
      <c r="G161" s="28" t="s">
        <v>108</v>
      </c>
      <c r="H161" s="29">
        <v>1</v>
      </c>
    </row>
    <row r="162" spans="1:8" x14ac:dyDescent="0.25">
      <c r="A162" s="188"/>
      <c r="B162" s="23" t="b">
        <f>IF(AND((C162&gt;=B10),(B10&gt;C163)),TRUE,FALSE)</f>
        <v>0</v>
      </c>
      <c r="C162" s="18">
        <f>HLOOKUP($B$76,Переменные!$B$70:$H$220,24,0)/E73</f>
        <v>18.867924528301884</v>
      </c>
      <c r="D162" s="19">
        <v>50</v>
      </c>
      <c r="F162" s="191"/>
      <c r="G162" s="30" t="s">
        <v>109</v>
      </c>
      <c r="H162" s="31">
        <v>0.8</v>
      </c>
    </row>
    <row r="163" spans="1:8" x14ac:dyDescent="0.25">
      <c r="A163" s="188"/>
      <c r="B163" s="23" t="b">
        <f>IF(AND((C163&gt;=B10),(B10&gt;C164)),TRUE,FALSE)</f>
        <v>0</v>
      </c>
      <c r="C163" s="18">
        <f>HLOOKUP($B$76,Переменные!$B$70:$H$220,25,0)/E73</f>
        <v>9.4339622641509422</v>
      </c>
      <c r="D163" s="19">
        <v>25</v>
      </c>
      <c r="F163" s="191"/>
      <c r="G163" s="30" t="s">
        <v>110</v>
      </c>
      <c r="H163" s="31">
        <v>0.6</v>
      </c>
    </row>
    <row r="164" spans="1:8" ht="15.75" thickBot="1" x14ac:dyDescent="0.3">
      <c r="A164" s="189"/>
      <c r="B164" s="24" t="b">
        <f>C164&gt;=B10</f>
        <v>1</v>
      </c>
      <c r="C164" s="18">
        <f>HLOOKUP($B$76,Переменные!$B$70:$H$220,26,0)/E73</f>
        <v>3.773584905660377</v>
      </c>
      <c r="D164" s="21">
        <v>0</v>
      </c>
      <c r="F164" s="191"/>
      <c r="G164" s="30" t="s">
        <v>111</v>
      </c>
      <c r="H164" s="31">
        <v>0.4</v>
      </c>
    </row>
    <row r="165" spans="1:8" ht="15.75" thickBot="1" x14ac:dyDescent="0.3">
      <c r="A165" s="187" t="s">
        <v>87</v>
      </c>
      <c r="B165" s="22" t="b">
        <f>B11&gt;C166</f>
        <v>0</v>
      </c>
      <c r="C165" s="27" t="s">
        <v>97</v>
      </c>
      <c r="D165" s="17">
        <v>100</v>
      </c>
      <c r="F165" s="192"/>
      <c r="G165" s="32" t="s">
        <v>112</v>
      </c>
      <c r="H165" s="33">
        <v>0.2</v>
      </c>
    </row>
    <row r="166" spans="1:8" x14ac:dyDescent="0.25">
      <c r="A166" s="188"/>
      <c r="B166" s="23" t="b">
        <f>IF(AND((C166&gt;=B11),(B11&gt;C167)),TRUE,FALSE)</f>
        <v>0</v>
      </c>
      <c r="C166" s="18">
        <f>HLOOKUP($B$76,Переменные!$B$70:$H$220,28,0)/E73</f>
        <v>37.735849056603769</v>
      </c>
      <c r="D166" s="19">
        <v>75</v>
      </c>
      <c r="F166" s="190" t="s">
        <v>180</v>
      </c>
      <c r="G166" s="28" t="s">
        <v>104</v>
      </c>
      <c r="H166" s="29">
        <v>1</v>
      </c>
    </row>
    <row r="167" spans="1:8" x14ac:dyDescent="0.25">
      <c r="A167" s="188"/>
      <c r="B167" s="23" t="b">
        <f>IF(AND((C167&gt;=B11),(B11&gt;C168)),TRUE,FALSE)</f>
        <v>0</v>
      </c>
      <c r="C167" s="18">
        <f>HLOOKUP($B$76,Переменные!$B$70:$H$220,29,0)/E73</f>
        <v>18.867924528301884</v>
      </c>
      <c r="D167" s="19">
        <v>50</v>
      </c>
      <c r="F167" s="191"/>
      <c r="G167" s="30" t="s">
        <v>114</v>
      </c>
      <c r="H167" s="31">
        <v>0.8</v>
      </c>
    </row>
    <row r="168" spans="1:8" x14ac:dyDescent="0.25">
      <c r="A168" s="188"/>
      <c r="B168" s="23" t="b">
        <f>IF(AND((C168&gt;=B11),(B11&gt;C169)),TRUE,FALSE)</f>
        <v>0</v>
      </c>
      <c r="C168" s="18">
        <f>HLOOKUP($B$76,Переменные!$B$70:$H$220,30,0)/E73</f>
        <v>9.4339622641509422</v>
      </c>
      <c r="D168" s="19">
        <v>25</v>
      </c>
      <c r="F168" s="191"/>
      <c r="G168" s="30" t="s">
        <v>105</v>
      </c>
      <c r="H168" s="31">
        <v>0.6</v>
      </c>
    </row>
    <row r="169" spans="1:8" ht="15.75" thickBot="1" x14ac:dyDescent="0.3">
      <c r="A169" s="189"/>
      <c r="B169" s="24" t="b">
        <f>C169&gt;=B11</f>
        <v>1</v>
      </c>
      <c r="C169" s="18">
        <f>HLOOKUP($B$76,Переменные!$B$70:$H$220,31,0)/E73</f>
        <v>3.773584905660377</v>
      </c>
      <c r="D169" s="21">
        <v>0</v>
      </c>
      <c r="F169" s="191"/>
      <c r="G169" s="30" t="s">
        <v>115</v>
      </c>
      <c r="H169" s="31">
        <v>0.4</v>
      </c>
    </row>
    <row r="170" spans="1:8" ht="15.75" thickBot="1" x14ac:dyDescent="0.3">
      <c r="A170" s="187" t="s">
        <v>73</v>
      </c>
      <c r="B170" s="22" t="b">
        <f>B12&gt;C171</f>
        <v>0</v>
      </c>
      <c r="C170" s="27" t="s">
        <v>97</v>
      </c>
      <c r="D170" s="17">
        <v>100</v>
      </c>
      <c r="F170" s="192"/>
      <c r="G170" s="32" t="s">
        <v>106</v>
      </c>
      <c r="H170" s="33">
        <v>0.2</v>
      </c>
    </row>
    <row r="171" spans="1:8" x14ac:dyDescent="0.25">
      <c r="A171" s="188"/>
      <c r="B171" s="23" t="b">
        <f>IF(AND((C171&gt;=B12),(B12&gt;C172)),TRUE,FALSE)</f>
        <v>0</v>
      </c>
      <c r="C171" s="18">
        <f>HLOOKUP($B$76,Переменные!$B$70:$H$220,33,0)/E73</f>
        <v>1.8867924528301885</v>
      </c>
      <c r="D171" s="19">
        <v>75</v>
      </c>
      <c r="F171" s="190" t="s">
        <v>182</v>
      </c>
      <c r="G171" s="28" t="s">
        <v>112</v>
      </c>
      <c r="H171" s="29">
        <v>1</v>
      </c>
    </row>
    <row r="172" spans="1:8" x14ac:dyDescent="0.25">
      <c r="A172" s="188"/>
      <c r="B172" s="23" t="b">
        <f>IF(AND((C172&gt;=B12),(B12&gt;C173)),TRUE,FALSE)</f>
        <v>0</v>
      </c>
      <c r="C172" s="18">
        <f>HLOOKUP($B$76,Переменные!$B$70:$H$220,34,0)/E73</f>
        <v>1.320754716981132</v>
      </c>
      <c r="D172" s="19">
        <v>50</v>
      </c>
      <c r="F172" s="191"/>
      <c r="G172" s="30" t="s">
        <v>111</v>
      </c>
      <c r="H172" s="31">
        <v>0.8</v>
      </c>
    </row>
    <row r="173" spans="1:8" x14ac:dyDescent="0.25">
      <c r="A173" s="188"/>
      <c r="B173" s="23" t="b">
        <f>IF(AND((C173&gt;=B12),(B12&gt;C174)),TRUE,FALSE)</f>
        <v>0</v>
      </c>
      <c r="C173" s="18">
        <f>HLOOKUP($B$76,Переменные!$B$70:$H$220,35,0)/E73</f>
        <v>0.94339622641509424</v>
      </c>
      <c r="D173" s="19">
        <v>25</v>
      </c>
      <c r="F173" s="191"/>
      <c r="G173" s="30" t="s">
        <v>110</v>
      </c>
      <c r="H173" s="31">
        <v>0.6</v>
      </c>
    </row>
    <row r="174" spans="1:8" ht="15.75" thickBot="1" x14ac:dyDescent="0.3">
      <c r="A174" s="189"/>
      <c r="B174" s="24" t="b">
        <f>C174&gt;=B12</f>
        <v>1</v>
      </c>
      <c r="C174" s="18">
        <f>HLOOKUP($B$76,Переменные!$B$70:$H$220,36,0)/E73</f>
        <v>0.660377358490566</v>
      </c>
      <c r="D174" s="21">
        <v>0</v>
      </c>
      <c r="F174" s="191"/>
      <c r="G174" s="30" t="s">
        <v>109</v>
      </c>
      <c r="H174" s="31">
        <v>0.4</v>
      </c>
    </row>
    <row r="175" spans="1:8" ht="15.75" thickBot="1" x14ac:dyDescent="0.3">
      <c r="A175" s="187" t="s">
        <v>88</v>
      </c>
      <c r="B175" s="22" t="b">
        <f>B13&gt;C176</f>
        <v>0</v>
      </c>
      <c r="C175" s="27" t="s">
        <v>97</v>
      </c>
      <c r="D175" s="17">
        <v>100</v>
      </c>
      <c r="F175" s="192"/>
      <c r="G175" s="32" t="s">
        <v>108</v>
      </c>
      <c r="H175" s="33">
        <v>0.2</v>
      </c>
    </row>
    <row r="176" spans="1:8" x14ac:dyDescent="0.25">
      <c r="A176" s="188"/>
      <c r="B176" s="23" t="b">
        <f>IF(AND((C176&gt;=B13),(B13&gt;C177)),TRUE,FALSE)</f>
        <v>0</v>
      </c>
      <c r="C176" s="18">
        <f>HLOOKUP($B$76,Переменные!$B$70:$H$220,38,0)/E73</f>
        <v>37.735849056603769</v>
      </c>
      <c r="D176" s="19">
        <v>75</v>
      </c>
    </row>
    <row r="177" spans="1:4" x14ac:dyDescent="0.25">
      <c r="A177" s="188"/>
      <c r="B177" s="23" t="b">
        <f>IF(AND((C177&gt;=B13),(B13&gt;C178)),TRUE,FALSE)</f>
        <v>0</v>
      </c>
      <c r="C177" s="18">
        <f>HLOOKUP($B$76,Переменные!$B$70:$H$220,39,0)/E73</f>
        <v>18.867924528301884</v>
      </c>
      <c r="D177" s="19">
        <v>50</v>
      </c>
    </row>
    <row r="178" spans="1:4" x14ac:dyDescent="0.25">
      <c r="A178" s="188"/>
      <c r="B178" s="23" t="b">
        <f>IF(AND((C178&gt;=B13),(B13&gt;C179)),TRUE,FALSE)</f>
        <v>0</v>
      </c>
      <c r="C178" s="18">
        <f>HLOOKUP($B$76,Переменные!$B$70:$H$220,40,0)/E73</f>
        <v>9.4339622641509422</v>
      </c>
      <c r="D178" s="19">
        <v>25</v>
      </c>
    </row>
    <row r="179" spans="1:4" ht="15.75" thickBot="1" x14ac:dyDescent="0.3">
      <c r="A179" s="189"/>
      <c r="B179" s="24" t="b">
        <f>C179&gt;=B13</f>
        <v>1</v>
      </c>
      <c r="C179" s="18">
        <f>HLOOKUP($B$76,Переменные!$B$70:$H$220,41,0)/E73</f>
        <v>3.773584905660377</v>
      </c>
      <c r="D179" s="21">
        <v>0</v>
      </c>
    </row>
    <row r="180" spans="1:4" ht="15.75" thickBot="1" x14ac:dyDescent="0.3">
      <c r="A180" s="187" t="s">
        <v>89</v>
      </c>
      <c r="B180" s="22" t="e">
        <f>B14&gt;C181</f>
        <v>#DIV/0!</v>
      </c>
      <c r="C180" s="27" t="s">
        <v>97</v>
      </c>
      <c r="D180" s="17">
        <v>100</v>
      </c>
    </row>
    <row r="181" spans="1:4" x14ac:dyDescent="0.25">
      <c r="A181" s="188"/>
      <c r="B181" s="23" t="e">
        <f>IF(AND((C181&gt;=B14),(B14&gt;C182)),TRUE,FALSE)</f>
        <v>#DIV/0!</v>
      </c>
      <c r="C181" s="18">
        <f>HLOOKUP($B$76,Переменные!$B$70:$H$220,43,0)/E73</f>
        <v>18.867924528301884</v>
      </c>
      <c r="D181" s="19">
        <v>75</v>
      </c>
    </row>
    <row r="182" spans="1:4" x14ac:dyDescent="0.25">
      <c r="A182" s="188"/>
      <c r="B182" s="23" t="e">
        <f>IF(AND((C182&gt;=B14),(B14&gt;C183)),TRUE,FALSE)</f>
        <v>#DIV/0!</v>
      </c>
      <c r="C182" s="18">
        <f>HLOOKUP($B$76,Переменные!$B$70:$H$220,44,0)/E73</f>
        <v>9.4339622641509422</v>
      </c>
      <c r="D182" s="19">
        <v>50</v>
      </c>
    </row>
    <row r="183" spans="1:4" x14ac:dyDescent="0.25">
      <c r="A183" s="188"/>
      <c r="B183" s="23" t="e">
        <f>IF(AND((C183&gt;=B14),(B14&gt;C184)),TRUE,FALSE)</f>
        <v>#DIV/0!</v>
      </c>
      <c r="C183" s="18">
        <f>HLOOKUP($B$76,Переменные!$B$70:$H$220,45,0)/E73</f>
        <v>3.773584905660377</v>
      </c>
      <c r="D183" s="19">
        <v>25</v>
      </c>
    </row>
    <row r="184" spans="1:4" ht="15.75" thickBot="1" x14ac:dyDescent="0.3">
      <c r="A184" s="189"/>
      <c r="B184" s="24" t="e">
        <f>C184&gt;=B14</f>
        <v>#DIV/0!</v>
      </c>
      <c r="C184" s="18">
        <f>HLOOKUP($B$76,Переменные!$B$70:$H$220,46,0)/E73</f>
        <v>1.8867924528301885</v>
      </c>
      <c r="D184" s="21">
        <v>0</v>
      </c>
    </row>
    <row r="185" spans="1:4" ht="15.75" thickBot="1" x14ac:dyDescent="0.3">
      <c r="A185" s="187" t="s">
        <v>90</v>
      </c>
      <c r="B185" s="22" t="e">
        <f>B15&gt;C186</f>
        <v>#DIV/0!</v>
      </c>
      <c r="C185" s="27" t="s">
        <v>97</v>
      </c>
      <c r="D185" s="17">
        <v>100</v>
      </c>
    </row>
    <row r="186" spans="1:4" x14ac:dyDescent="0.25">
      <c r="A186" s="188"/>
      <c r="B186" s="23" t="e">
        <f>IF(AND((C186&gt;=B15),(B15&gt;C187)),TRUE,FALSE)</f>
        <v>#DIV/0!</v>
      </c>
      <c r="C186" s="18">
        <f>HLOOKUP($B$76,Переменные!$B$70:$H$220,48,0)/E73</f>
        <v>18.867924528301884</v>
      </c>
      <c r="D186" s="19">
        <v>75</v>
      </c>
    </row>
    <row r="187" spans="1:4" x14ac:dyDescent="0.25">
      <c r="A187" s="188"/>
      <c r="B187" s="23" t="e">
        <f>IF(AND((C187&gt;=B15),(B15&gt;C188)),TRUE,FALSE)</f>
        <v>#DIV/0!</v>
      </c>
      <c r="C187" s="18">
        <f>HLOOKUP($B$76,Переменные!$B$70:$H$220,49,0)/E73</f>
        <v>9.4339622641509422</v>
      </c>
      <c r="D187" s="19">
        <v>50</v>
      </c>
    </row>
    <row r="188" spans="1:4" x14ac:dyDescent="0.25">
      <c r="A188" s="188"/>
      <c r="B188" s="23" t="e">
        <f>IF(AND((C188&gt;=B15),(B15&gt;C189)),TRUE,FALSE)</f>
        <v>#DIV/0!</v>
      </c>
      <c r="C188" s="18">
        <f>HLOOKUP($B$76,Переменные!$B$70:$H$220,50,0)/E73</f>
        <v>3.773584905660377</v>
      </c>
      <c r="D188" s="19">
        <v>25</v>
      </c>
    </row>
    <row r="189" spans="1:4" ht="15.75" thickBot="1" x14ac:dyDescent="0.3">
      <c r="A189" s="189"/>
      <c r="B189" s="24" t="e">
        <f>C189&gt;=B15</f>
        <v>#DIV/0!</v>
      </c>
      <c r="C189" s="18">
        <f>HLOOKUP($B$76,Переменные!$B$70:$H$220,51,0)/E73</f>
        <v>1.8867924528301885</v>
      </c>
      <c r="D189" s="21">
        <v>0</v>
      </c>
    </row>
    <row r="190" spans="1:4" ht="15.75" thickBot="1" x14ac:dyDescent="0.3">
      <c r="A190" s="187" t="s">
        <v>74</v>
      </c>
      <c r="B190" s="22" t="e">
        <f>B16&gt;C191</f>
        <v>#DIV/0!</v>
      </c>
      <c r="C190" s="27" t="s">
        <v>97</v>
      </c>
      <c r="D190" s="17">
        <v>100</v>
      </c>
    </row>
    <row r="191" spans="1:4" x14ac:dyDescent="0.25">
      <c r="A191" s="188"/>
      <c r="B191" s="23" t="e">
        <f>IF(AND((C191&gt;=B16),(B16&gt;C192)),TRUE,FALSE)</f>
        <v>#DIV/0!</v>
      </c>
      <c r="C191" s="18">
        <f>HLOOKUP($B$76,Переменные!$B$70:$H$220,53,0)/E73</f>
        <v>1.8867924528301885</v>
      </c>
      <c r="D191" s="19">
        <v>75</v>
      </c>
    </row>
    <row r="192" spans="1:4" x14ac:dyDescent="0.25">
      <c r="A192" s="188"/>
      <c r="B192" s="23" t="e">
        <f>IF(AND((C192&gt;=B16),(B16&gt;C193)),TRUE,FALSE)</f>
        <v>#DIV/0!</v>
      </c>
      <c r="C192" s="18">
        <f>HLOOKUP($B$76,Переменные!$B$70:$H$220,54,0)/E73</f>
        <v>0.18867924528301888</v>
      </c>
      <c r="D192" s="19">
        <v>50</v>
      </c>
    </row>
    <row r="193" spans="1:4" x14ac:dyDescent="0.25">
      <c r="A193" s="188"/>
      <c r="B193" s="23" t="e">
        <f>IF(AND((C193&gt;=B16),(B16&gt;C194)),TRUE,FALSE)</f>
        <v>#DIV/0!</v>
      </c>
      <c r="C193" s="18">
        <f>HLOOKUP($B$76,Переменные!$B$70:$H$220,55,0)/E73</f>
        <v>1.8867924528301886E-2</v>
      </c>
      <c r="D193" s="19">
        <v>25</v>
      </c>
    </row>
    <row r="194" spans="1:4" ht="15.75" thickBot="1" x14ac:dyDescent="0.3">
      <c r="A194" s="189"/>
      <c r="B194" s="24" t="e">
        <f>C194&gt;=B16</f>
        <v>#DIV/0!</v>
      </c>
      <c r="C194" s="18">
        <f>HLOOKUP($B$76,Переменные!$B$70:$H$220,56,0)/E73</f>
        <v>1.8867924528301887E-3</v>
      </c>
      <c r="D194" s="21">
        <v>0</v>
      </c>
    </row>
    <row r="195" spans="1:4" ht="15.75" thickBot="1" x14ac:dyDescent="0.3">
      <c r="A195" s="187" t="s">
        <v>91</v>
      </c>
      <c r="B195" s="22" t="e">
        <f>B17&gt;C196</f>
        <v>#DIV/0!</v>
      </c>
      <c r="C195" s="27" t="s">
        <v>97</v>
      </c>
      <c r="D195" s="17">
        <v>100</v>
      </c>
    </row>
    <row r="196" spans="1:4" x14ac:dyDescent="0.25">
      <c r="A196" s="188"/>
      <c r="B196" s="23" t="e">
        <f>IF(AND((C196&gt;=B17),(B17&gt;C197)),TRUE,FALSE)</f>
        <v>#DIV/0!</v>
      </c>
      <c r="C196" s="18">
        <f>HLOOKUP($B$76,Переменные!$B$70:$H$220,58,0)/E73</f>
        <v>0.94339622641509424</v>
      </c>
      <c r="D196" s="19">
        <v>75</v>
      </c>
    </row>
    <row r="197" spans="1:4" x14ac:dyDescent="0.25">
      <c r="A197" s="188"/>
      <c r="B197" s="23" t="e">
        <f>IF(AND((C197&gt;=B17),(B17&gt;C198)),TRUE,FALSE)</f>
        <v>#DIV/0!</v>
      </c>
      <c r="C197" s="18">
        <f>HLOOKUP($B$76,Переменные!$B$70:$H$220,59,0)/E73</f>
        <v>0.37735849056603776</v>
      </c>
      <c r="D197" s="19">
        <v>50</v>
      </c>
    </row>
    <row r="198" spans="1:4" x14ac:dyDescent="0.25">
      <c r="A198" s="188"/>
      <c r="B198" s="23" t="e">
        <f>IF(AND((C198&gt;=B17),(B17&gt;C199)),TRUE,FALSE)</f>
        <v>#DIV/0!</v>
      </c>
      <c r="C198" s="18">
        <f>HLOOKUP($B$76,Переменные!$B$70:$H$220,60,0)/E73</f>
        <v>0.18867924528301888</v>
      </c>
      <c r="D198" s="19">
        <v>25</v>
      </c>
    </row>
    <row r="199" spans="1:4" ht="15.75" thickBot="1" x14ac:dyDescent="0.3">
      <c r="A199" s="189"/>
      <c r="B199" s="24" t="e">
        <f>C199&gt;=B17</f>
        <v>#DIV/0!</v>
      </c>
      <c r="C199" s="18">
        <f>HLOOKUP($B$76,Переменные!$B$70:$H$220,61,0)/E73</f>
        <v>9.4339622641509441E-2</v>
      </c>
      <c r="D199" s="21">
        <v>0</v>
      </c>
    </row>
    <row r="200" spans="1:4" ht="15.75" thickBot="1" x14ac:dyDescent="0.3">
      <c r="A200" s="187" t="s">
        <v>92</v>
      </c>
      <c r="B200" s="22" t="e">
        <f>B18&gt;C201</f>
        <v>#DIV/0!</v>
      </c>
      <c r="C200" s="27" t="s">
        <v>97</v>
      </c>
      <c r="D200" s="17">
        <v>100</v>
      </c>
    </row>
    <row r="201" spans="1:4" x14ac:dyDescent="0.25">
      <c r="A201" s="188"/>
      <c r="B201" s="23" t="e">
        <f>IF(AND((C201&gt;=B18),(B18&gt;C202)),TRUE,FALSE)</f>
        <v>#DIV/0!</v>
      </c>
      <c r="C201" s="18">
        <f>HLOOKUP($B$76,Переменные!$B$70:$H$220,63,0)/E73</f>
        <v>0.37735849056603776</v>
      </c>
      <c r="D201" s="19">
        <v>75</v>
      </c>
    </row>
    <row r="202" spans="1:4" x14ac:dyDescent="0.25">
      <c r="A202" s="188"/>
      <c r="B202" s="23" t="e">
        <f>IF(AND((C202&gt;=B18),(B18&gt;C203)),TRUE,FALSE)</f>
        <v>#DIV/0!</v>
      </c>
      <c r="C202" s="18">
        <f>HLOOKUP($B$76,Переменные!$B$70:$H$220,64,0)/E73</f>
        <v>0.18867924528301888</v>
      </c>
      <c r="D202" s="19">
        <v>50</v>
      </c>
    </row>
    <row r="203" spans="1:4" x14ac:dyDescent="0.25">
      <c r="A203" s="188"/>
      <c r="B203" s="23" t="e">
        <f>IF(AND((C203&gt;=B18),(B18&gt;C204)),TRUE,FALSE)</f>
        <v>#DIV/0!</v>
      </c>
      <c r="C203" s="18">
        <f>HLOOKUP($B$76,Переменные!$B$70:$H$220,65,0)/E73</f>
        <v>9.4339622641509441E-2</v>
      </c>
      <c r="D203" s="19">
        <v>25</v>
      </c>
    </row>
    <row r="204" spans="1:4" ht="15.75" thickBot="1" x14ac:dyDescent="0.3">
      <c r="A204" s="189"/>
      <c r="B204" s="24" t="e">
        <f>C204&gt;=B18</f>
        <v>#DIV/0!</v>
      </c>
      <c r="C204" s="18">
        <f>HLOOKUP($B$76,Переменные!$B$70:$H$220,66,0)/E73</f>
        <v>4.716981132075472E-2</v>
      </c>
      <c r="D204" s="21">
        <v>0</v>
      </c>
    </row>
    <row r="205" spans="1:4" ht="15.75" thickBot="1" x14ac:dyDescent="0.3">
      <c r="A205" s="187" t="s">
        <v>149</v>
      </c>
      <c r="B205" s="22" t="e">
        <f>B19&gt;C206</f>
        <v>#DIV/0!</v>
      </c>
      <c r="C205" s="27" t="s">
        <v>97</v>
      </c>
      <c r="D205" s="17">
        <v>100</v>
      </c>
    </row>
    <row r="206" spans="1:4" x14ac:dyDescent="0.25">
      <c r="A206" s="188"/>
      <c r="B206" s="23" t="e">
        <f>IF(AND((C206&gt;=B19),(B19&gt;C207)),TRUE,FALSE)</f>
        <v>#DIV/0!</v>
      </c>
      <c r="C206" s="18">
        <f>HLOOKUP($B$76,Переменные!$B$70:$H$220,68,0)/E73^0.5</f>
        <v>0.13736056394868904</v>
      </c>
      <c r="D206" s="19">
        <v>75</v>
      </c>
    </row>
    <row r="207" spans="1:4" x14ac:dyDescent="0.25">
      <c r="A207" s="188"/>
      <c r="B207" s="23" t="e">
        <f>IF(AND((C207&gt;=B19),(B19&gt;C208)),TRUE,FALSE)</f>
        <v>#DIV/0!</v>
      </c>
      <c r="C207" s="18">
        <f>HLOOKUP($B$76,Переменные!$B$70:$H$220,69,0)/E73^0.5</f>
        <v>5.4944225579475613E-2</v>
      </c>
      <c r="D207" s="19">
        <v>50</v>
      </c>
    </row>
    <row r="208" spans="1:4" x14ac:dyDescent="0.25">
      <c r="A208" s="188"/>
      <c r="B208" s="23" t="e">
        <f>IF(AND((C208&gt;=B19),(B19&gt;C209)),TRUE,FALSE)</f>
        <v>#DIV/0!</v>
      </c>
      <c r="C208" s="18">
        <f>HLOOKUP($B$76,Переменные!$B$70:$H$220,70,0)/E73^0.5</f>
        <v>1.3736056394868903E-2</v>
      </c>
      <c r="D208" s="19">
        <v>25</v>
      </c>
    </row>
    <row r="209" spans="1:4" ht="15.75" thickBot="1" x14ac:dyDescent="0.3">
      <c r="A209" s="189"/>
      <c r="B209" s="24" t="e">
        <f>C209&gt;=B19</f>
        <v>#DIV/0!</v>
      </c>
      <c r="C209" s="18">
        <f>HLOOKUP($B$76,Переменные!$B$70:$H$220,70,0)/E73^0.5</f>
        <v>1.3736056394868903E-2</v>
      </c>
      <c r="D209" s="21">
        <v>0</v>
      </c>
    </row>
    <row r="210" spans="1:4" ht="15.75" thickBot="1" x14ac:dyDescent="0.3">
      <c r="A210" s="187" t="s">
        <v>153</v>
      </c>
      <c r="B210" s="22" t="e">
        <f>B20&gt;C211</f>
        <v>#DIV/0!</v>
      </c>
      <c r="C210" s="27" t="s">
        <v>97</v>
      </c>
      <c r="D210" s="17">
        <v>100</v>
      </c>
    </row>
    <row r="211" spans="1:4" x14ac:dyDescent="0.25">
      <c r="A211" s="188"/>
      <c r="B211" s="23" t="e">
        <f>IF(AND((C211&gt;=B20),(B20&gt;C212)),TRUE,FALSE)</f>
        <v>#DIV/0!</v>
      </c>
      <c r="C211" s="18">
        <f>HLOOKUP($B$76,Переменные!$B$70:$H$220,73,0)/E73</f>
        <v>1.8867924528301885</v>
      </c>
      <c r="D211" s="19">
        <v>75</v>
      </c>
    </row>
    <row r="212" spans="1:4" x14ac:dyDescent="0.25">
      <c r="A212" s="188"/>
      <c r="B212" s="23" t="e">
        <f>IF(AND((C212&gt;=B20),(B20&gt;C213)),TRUE,FALSE)</f>
        <v>#DIV/0!</v>
      </c>
      <c r="C212" s="18">
        <f>HLOOKUP($B$76,Переменные!$B$70:$H$220,74,0)/E73</f>
        <v>0.18867924528301888</v>
      </c>
      <c r="D212" s="19">
        <v>50</v>
      </c>
    </row>
    <row r="213" spans="1:4" x14ac:dyDescent="0.25">
      <c r="A213" s="188"/>
      <c r="B213" s="23" t="e">
        <f>IF(AND((C213&gt;=B20),(B20&gt;C214)),TRUE,FALSE)</f>
        <v>#DIV/0!</v>
      </c>
      <c r="C213" s="18">
        <f>HLOOKUP($B$76,Переменные!$B$70:$H$220,75,0)/E73</f>
        <v>1.8867924528301886E-2</v>
      </c>
      <c r="D213" s="19">
        <v>25</v>
      </c>
    </row>
    <row r="214" spans="1:4" ht="15.75" thickBot="1" x14ac:dyDescent="0.3">
      <c r="A214" s="189"/>
      <c r="B214" s="24" t="e">
        <f>C214&gt;=B20</f>
        <v>#DIV/0!</v>
      </c>
      <c r="C214" s="18">
        <f>HLOOKUP($B$76,Переменные!$B$70:$H$220,76,0)/E73</f>
        <v>1.8867924528301887E-3</v>
      </c>
      <c r="D214" s="21">
        <v>0</v>
      </c>
    </row>
    <row r="215" spans="1:4" ht="15.75" thickBot="1" x14ac:dyDescent="0.3">
      <c r="A215" s="187" t="s">
        <v>94</v>
      </c>
      <c r="B215" s="22" t="e">
        <f>B21&gt;C216</f>
        <v>#DIV/0!</v>
      </c>
      <c r="C215" s="27" t="s">
        <v>97</v>
      </c>
      <c r="D215" s="17">
        <v>100</v>
      </c>
    </row>
    <row r="216" spans="1:4" x14ac:dyDescent="0.25">
      <c r="A216" s="188"/>
      <c r="B216" s="23" t="e">
        <f>IF(AND((C216&gt;=B21),(B21&gt;C217)),TRUE,FALSE)</f>
        <v>#DIV/0!</v>
      </c>
      <c r="C216" s="18">
        <f>HLOOKUP($B$76,Переменные!$B$70:$H$220,78,0)</f>
        <v>0.5</v>
      </c>
      <c r="D216" s="19">
        <v>75</v>
      </c>
    </row>
    <row r="217" spans="1:4" x14ac:dyDescent="0.25">
      <c r="A217" s="188"/>
      <c r="B217" s="23" t="e">
        <f>IF(AND((C217&gt;=B21),(B21&gt;C218)),TRUE,FALSE)</f>
        <v>#DIV/0!</v>
      </c>
      <c r="C217" s="18">
        <f>HLOOKUP($B$76,Переменные!$B$70:$H$220,79,0)</f>
        <v>0.2</v>
      </c>
      <c r="D217" s="19">
        <v>50</v>
      </c>
    </row>
    <row r="218" spans="1:4" x14ac:dyDescent="0.25">
      <c r="A218" s="188"/>
      <c r="B218" s="23" t="e">
        <f>IF(AND((C218&gt;=B21),(B21&gt;C219)),TRUE,FALSE)</f>
        <v>#DIV/0!</v>
      </c>
      <c r="C218" s="18">
        <f>HLOOKUP($B$76,Переменные!$B$70:$H$220,80,0)</f>
        <v>0.08</v>
      </c>
      <c r="D218" s="19">
        <v>25</v>
      </c>
    </row>
    <row r="219" spans="1:4" ht="15.75" thickBot="1" x14ac:dyDescent="0.3">
      <c r="A219" s="189"/>
      <c r="B219" s="24" t="e">
        <f>C219&gt;=B21</f>
        <v>#DIV/0!</v>
      </c>
      <c r="C219" s="18">
        <f>HLOOKUP($B$76,Переменные!$B$70:$H$220,81,0)</f>
        <v>3.2000000000000001E-2</v>
      </c>
      <c r="D219" s="21">
        <v>0</v>
      </c>
    </row>
    <row r="220" spans="1:4" ht="15.75" thickBot="1" x14ac:dyDescent="0.3">
      <c r="A220" s="187" t="s">
        <v>95</v>
      </c>
      <c r="B220" s="22" t="e">
        <f>B22&gt;C221</f>
        <v>#DIV/0!</v>
      </c>
      <c r="C220" s="27" t="s">
        <v>97</v>
      </c>
      <c r="D220" s="17">
        <v>100</v>
      </c>
    </row>
    <row r="221" spans="1:4" x14ac:dyDescent="0.25">
      <c r="A221" s="188"/>
      <c r="B221" s="23" t="e">
        <f>IF(AND((C221&gt;=B22),(B22&gt;C222)),TRUE,FALSE)</f>
        <v>#DIV/0!</v>
      </c>
      <c r="C221" s="18">
        <f>HLOOKUP($B$76,Переменные!$B$70:$H$220,83,0)</f>
        <v>0.75</v>
      </c>
      <c r="D221" s="19">
        <v>75</v>
      </c>
    </row>
    <row r="222" spans="1:4" x14ac:dyDescent="0.25">
      <c r="A222" s="188"/>
      <c r="B222" s="23" t="e">
        <f>IF(AND((C222&gt;=B22),(B22&gt;C223)),TRUE,FALSE)</f>
        <v>#DIV/0!</v>
      </c>
      <c r="C222" s="18">
        <f>HLOOKUP($B$76,Переменные!$B$70:$H$220,84,0)</f>
        <v>0.3</v>
      </c>
      <c r="D222" s="19">
        <v>50</v>
      </c>
    </row>
    <row r="223" spans="1:4" x14ac:dyDescent="0.25">
      <c r="A223" s="188"/>
      <c r="B223" s="23" t="e">
        <f>IF(AND((C223&gt;=B22),(B22&gt;C224)),TRUE,FALSE)</f>
        <v>#DIV/0!</v>
      </c>
      <c r="C223" s="18">
        <f>HLOOKUP($B$76,Переменные!$B$70:$H$220,85,0)</f>
        <v>0.12</v>
      </c>
      <c r="D223" s="19">
        <v>25</v>
      </c>
    </row>
    <row r="224" spans="1:4" ht="15.75" thickBot="1" x14ac:dyDescent="0.3">
      <c r="A224" s="189"/>
      <c r="B224" s="24" t="e">
        <f>C224&gt;=B22</f>
        <v>#DIV/0!</v>
      </c>
      <c r="C224" s="18">
        <f>HLOOKUP($B$76,Переменные!$B$70:$H$220,86,0)</f>
        <v>0.05</v>
      </c>
      <c r="D224" s="21">
        <v>0</v>
      </c>
    </row>
    <row r="225" spans="1:4" ht="15.75" thickBot="1" x14ac:dyDescent="0.3">
      <c r="A225" s="187" t="s">
        <v>77</v>
      </c>
      <c r="B225" s="22" t="b">
        <f>B23&gt;C226</f>
        <v>0</v>
      </c>
      <c r="C225" s="27" t="s">
        <v>97</v>
      </c>
      <c r="D225" s="17">
        <v>100</v>
      </c>
    </row>
    <row r="226" spans="1:4" x14ac:dyDescent="0.25">
      <c r="A226" s="188"/>
      <c r="B226" s="23" t="b">
        <f>IF(AND((C226&gt;=B23),(B23&gt;C227)),TRUE,FALSE)</f>
        <v>0</v>
      </c>
      <c r="C226" s="18">
        <f>HLOOKUP($B$76,Переменные!$B$70:$H$220,88,0)/E73^0.5</f>
        <v>3.7087352266146039</v>
      </c>
      <c r="D226" s="19">
        <v>75</v>
      </c>
    </row>
    <row r="227" spans="1:4" x14ac:dyDescent="0.25">
      <c r="A227" s="188"/>
      <c r="B227" s="23" t="b">
        <f>IF(AND((C227&gt;=B23),(B23&gt;C228)),TRUE,FALSE)</f>
        <v>0</v>
      </c>
      <c r="C227" s="18">
        <f>HLOOKUP($B$76,Переменные!$B$70:$H$220,89,0)/E73^0.5</f>
        <v>2.4724901510764026</v>
      </c>
      <c r="D227" s="19">
        <v>50</v>
      </c>
    </row>
    <row r="228" spans="1:4" x14ac:dyDescent="0.25">
      <c r="A228" s="188"/>
      <c r="B228" s="23" t="b">
        <f>IF(AND((C228&gt;=B23),(B23&gt;C229)),TRUE,FALSE)</f>
        <v>0</v>
      </c>
      <c r="C228" s="18">
        <f>HLOOKUP($B$76,Переменные!$B$70:$H$220,90,0)/E73^0.5</f>
        <v>1.6483267673842683</v>
      </c>
      <c r="D228" s="19">
        <v>25</v>
      </c>
    </row>
    <row r="229" spans="1:4" ht="15.75" thickBot="1" x14ac:dyDescent="0.3">
      <c r="A229" s="189"/>
      <c r="B229" s="24" t="b">
        <f>C229&gt;=B23</f>
        <v>1</v>
      </c>
      <c r="C229" s="18">
        <f>HLOOKUP($B$76,Переменные!$B$70:$H$220,91,0)/E73^0.5</f>
        <v>1.0988845115895123</v>
      </c>
      <c r="D229" s="21">
        <v>0</v>
      </c>
    </row>
    <row r="230" spans="1:4" ht="15.75" thickBot="1" x14ac:dyDescent="0.3">
      <c r="A230" s="187" t="s">
        <v>96</v>
      </c>
      <c r="B230" s="22" t="b">
        <f>B24&gt;C231</f>
        <v>0</v>
      </c>
      <c r="C230" s="27" t="s">
        <v>97</v>
      </c>
      <c r="D230" s="17">
        <v>100</v>
      </c>
    </row>
    <row r="231" spans="1:4" x14ac:dyDescent="0.25">
      <c r="A231" s="188"/>
      <c r="B231" s="23" t="b">
        <f>IF(AND((C231&gt;=B24),(B24&gt;C232)),TRUE,FALSE)</f>
        <v>0</v>
      </c>
      <c r="C231" s="18">
        <f>HLOOKUP($B$76,Переменные!$B$70:$H$220,93,0)/E73^0.5</f>
        <v>4.6702591742554267</v>
      </c>
      <c r="D231" s="19">
        <v>75</v>
      </c>
    </row>
    <row r="232" spans="1:4" x14ac:dyDescent="0.25">
      <c r="A232" s="188"/>
      <c r="B232" s="23" t="b">
        <f>IF(AND((C232&gt;=B24),(B24&gt;C233)),TRUE,FALSE)</f>
        <v>0</v>
      </c>
      <c r="C232" s="18">
        <f>HLOOKUP($B$76,Переменные!$B$70:$H$220,94,0)/E73^0.5</f>
        <v>3.090612688845503</v>
      </c>
      <c r="D232" s="19">
        <v>50</v>
      </c>
    </row>
    <row r="233" spans="1:4" x14ac:dyDescent="0.25">
      <c r="A233" s="188"/>
      <c r="B233" s="23" t="b">
        <f>IF(AND((C233&gt;=B24),(B24&gt;C234)),TRUE,FALSE)</f>
        <v>0</v>
      </c>
      <c r="C233" s="18">
        <f>HLOOKUP($B$76,Переменные!$B$70:$H$220,95,0)/E73^0.5</f>
        <v>2.0604084592303353</v>
      </c>
      <c r="D233" s="19">
        <v>25</v>
      </c>
    </row>
    <row r="234" spans="1:4" ht="15.75" thickBot="1" x14ac:dyDescent="0.3">
      <c r="A234" s="189"/>
      <c r="B234" s="24" t="b">
        <f>C234&gt;=B24</f>
        <v>1</v>
      </c>
      <c r="C234" s="20">
        <f>HLOOKUP($B$76,Переменные!$B$70:$H$220,96,0)/E73^0.5</f>
        <v>1.3736056394868903</v>
      </c>
      <c r="D234" s="21">
        <v>0</v>
      </c>
    </row>
    <row r="235" spans="1:4" ht="15.75" thickBot="1" x14ac:dyDescent="0.3">
      <c r="A235" s="187" t="s">
        <v>143</v>
      </c>
      <c r="B235" s="22" t="e">
        <f>B25&gt;C236</f>
        <v>#DIV/0!</v>
      </c>
      <c r="C235" s="27" t="s">
        <v>97</v>
      </c>
      <c r="D235" s="17">
        <v>100</v>
      </c>
    </row>
    <row r="236" spans="1:4" x14ac:dyDescent="0.25">
      <c r="A236" s="188"/>
      <c r="B236" s="23" t="e">
        <f>IF(AND((C236&gt;=B25),(B25&gt;C237)),TRUE,FALSE)</f>
        <v>#DIV/0!</v>
      </c>
      <c r="C236" s="18">
        <f>HLOOKUP($B$76,Переменные!$B$70:$H$220,98,0)</f>
        <v>0.75</v>
      </c>
      <c r="D236" s="19">
        <v>75</v>
      </c>
    </row>
    <row r="237" spans="1:4" x14ac:dyDescent="0.25">
      <c r="A237" s="188"/>
      <c r="B237" s="23" t="e">
        <f>IF(AND((C237&gt;=B25),(B25&gt;C238)),TRUE,FALSE)</f>
        <v>#DIV/0!</v>
      </c>
      <c r="C237" s="18">
        <f>HLOOKUP($B$76,Переменные!$B$70:$H$220,99,0)</f>
        <v>0.3</v>
      </c>
      <c r="D237" s="19">
        <v>50</v>
      </c>
    </row>
    <row r="238" spans="1:4" x14ac:dyDescent="0.25">
      <c r="A238" s="188"/>
      <c r="B238" s="23" t="e">
        <f>IF(AND((C238&gt;=B25),(B25&gt;C239)),TRUE,FALSE)</f>
        <v>#DIV/0!</v>
      </c>
      <c r="C238" s="18">
        <f>HLOOKUP($B$76,Переменные!$B$70:$H$220,100,0)</f>
        <v>0.12</v>
      </c>
      <c r="D238" s="19">
        <v>25</v>
      </c>
    </row>
    <row r="239" spans="1:4" ht="15.75" thickBot="1" x14ac:dyDescent="0.3">
      <c r="A239" s="189"/>
      <c r="B239" s="24" t="e">
        <f>C239&gt;=B25</f>
        <v>#DIV/0!</v>
      </c>
      <c r="C239" s="18">
        <f>HLOOKUP($B$76,Переменные!$B$70:$H$220,101,0)</f>
        <v>0.05</v>
      </c>
      <c r="D239" s="21">
        <v>0</v>
      </c>
    </row>
    <row r="240" spans="1:4" ht="15.75" thickBot="1" x14ac:dyDescent="0.3">
      <c r="A240" s="187" t="s">
        <v>144</v>
      </c>
      <c r="B240" s="22" t="e">
        <f>B26&gt;C241</f>
        <v>#DIV/0!</v>
      </c>
      <c r="C240" s="27" t="s">
        <v>97</v>
      </c>
      <c r="D240" s="17">
        <v>100</v>
      </c>
    </row>
    <row r="241" spans="1:4" x14ac:dyDescent="0.25">
      <c r="A241" s="188"/>
      <c r="B241" s="23" t="e">
        <f>IF(AND((C241&gt;=B26),(B26&gt;C242)),TRUE,FALSE)</f>
        <v>#DIV/0!</v>
      </c>
      <c r="C241" s="18">
        <f>HLOOKUP($B$76,Переменные!$B$70:$H$220,103,0)</f>
        <v>1.25</v>
      </c>
      <c r="D241" s="19">
        <v>75</v>
      </c>
    </row>
    <row r="242" spans="1:4" x14ac:dyDescent="0.25">
      <c r="A242" s="188"/>
      <c r="B242" s="23" t="e">
        <f>IF(AND((C242&gt;=B26),(B26&gt;C243)),TRUE,FALSE)</f>
        <v>#DIV/0!</v>
      </c>
      <c r="C242" s="18">
        <f>HLOOKUP($B$76,Переменные!$B$70:$H$220,104,0)</f>
        <v>1.1000000000000001</v>
      </c>
      <c r="D242" s="19">
        <v>50</v>
      </c>
    </row>
    <row r="243" spans="1:4" x14ac:dyDescent="0.25">
      <c r="A243" s="188"/>
      <c r="B243" s="23" t="e">
        <f>IF(AND((C243&gt;=B26),(B26&gt;C244)),TRUE,FALSE)</f>
        <v>#DIV/0!</v>
      </c>
      <c r="C243" s="18">
        <f>HLOOKUP($B$76,Переменные!$B$70:$H$220,105,0)</f>
        <v>1</v>
      </c>
      <c r="D243" s="19">
        <v>25</v>
      </c>
    </row>
    <row r="244" spans="1:4" ht="15.75" thickBot="1" x14ac:dyDescent="0.3">
      <c r="A244" s="189"/>
      <c r="B244" s="24" t="e">
        <f>C244&gt;=B26</f>
        <v>#DIV/0!</v>
      </c>
      <c r="C244" s="18">
        <f>HLOOKUP($B$76,Переменные!$B$70:$H$220,106,0)</f>
        <v>0.9</v>
      </c>
      <c r="D244" s="21">
        <v>0</v>
      </c>
    </row>
    <row r="245" spans="1:4" ht="15.75" thickBot="1" x14ac:dyDescent="0.3">
      <c r="A245" s="187" t="s">
        <v>145</v>
      </c>
      <c r="B245" s="22" t="e">
        <f>B27&gt;C246</f>
        <v>#DIV/0!</v>
      </c>
      <c r="C245" s="27" t="s">
        <v>97</v>
      </c>
      <c r="D245" s="17">
        <v>100</v>
      </c>
    </row>
    <row r="246" spans="1:4" x14ac:dyDescent="0.25">
      <c r="A246" s="188"/>
      <c r="B246" s="23" t="e">
        <f>IF(AND((C246&gt;=B27),(B27&gt;C247)),TRUE,FALSE)</f>
        <v>#DIV/0!</v>
      </c>
      <c r="C246" s="18">
        <f>HLOOKUP($B$76,Переменные!$B$70:$H$220,108,0)</f>
        <v>1.25</v>
      </c>
      <c r="D246" s="19">
        <v>75</v>
      </c>
    </row>
    <row r="247" spans="1:4" x14ac:dyDescent="0.25">
      <c r="A247" s="188"/>
      <c r="B247" s="23" t="e">
        <f>IF(AND((C247&gt;=B27),(B27&gt;C248)),TRUE,FALSE)</f>
        <v>#DIV/0!</v>
      </c>
      <c r="C247" s="18">
        <f>HLOOKUP($B$76,Переменные!$B$70:$H$220,109,0)</f>
        <v>1.1000000000000001</v>
      </c>
      <c r="D247" s="19">
        <v>50</v>
      </c>
    </row>
    <row r="248" spans="1:4" x14ac:dyDescent="0.25">
      <c r="A248" s="188"/>
      <c r="B248" s="23" t="e">
        <f>IF(AND((C248&gt;=B27),(B27&gt;C249)),TRUE,FALSE)</f>
        <v>#DIV/0!</v>
      </c>
      <c r="C248" s="18">
        <f>HLOOKUP($B$76,Переменные!$B$70:$H$220,110,0)</f>
        <v>0.9</v>
      </c>
      <c r="D248" s="19">
        <v>25</v>
      </c>
    </row>
    <row r="249" spans="1:4" ht="15.75" thickBot="1" x14ac:dyDescent="0.3">
      <c r="A249" s="189"/>
      <c r="B249" s="24" t="e">
        <f>C249&gt;=B27</f>
        <v>#DIV/0!</v>
      </c>
      <c r="C249" s="20">
        <f>HLOOKUP($B$76,Переменные!$B$70:$H$220,111,0)</f>
        <v>0.75</v>
      </c>
      <c r="D249" s="21">
        <v>0</v>
      </c>
    </row>
    <row r="250" spans="1:4" ht="15.75" thickBot="1" x14ac:dyDescent="0.3">
      <c r="A250" s="187" t="str">
        <f>A28</f>
        <v>Коэффициент абсолютной ликвидности, динамика</v>
      </c>
      <c r="B250" s="22" t="e">
        <f>B28&gt;C251</f>
        <v>#DIV/0!</v>
      </c>
      <c r="C250" s="27" t="s">
        <v>97</v>
      </c>
      <c r="D250" s="17">
        <v>100</v>
      </c>
    </row>
    <row r="251" spans="1:4" x14ac:dyDescent="0.25">
      <c r="A251" s="188"/>
      <c r="B251" s="23" t="e">
        <f>IF(AND((C251&gt;=B28),(B28&gt;C252)),TRUE,FALSE)</f>
        <v>#DIV/0!</v>
      </c>
      <c r="C251" s="18">
        <f>HLOOKUP($B$76,Переменные!$B$70:$H$220,113,0)</f>
        <v>1.25</v>
      </c>
      <c r="D251" s="19">
        <v>75</v>
      </c>
    </row>
    <row r="252" spans="1:4" x14ac:dyDescent="0.25">
      <c r="A252" s="188"/>
      <c r="B252" s="23" t="e">
        <f>IF(AND((C252&gt;=B28),(B28&gt;C253)),TRUE,FALSE)</f>
        <v>#DIV/0!</v>
      </c>
      <c r="C252" s="18">
        <f>HLOOKUP($B$76,Переменные!$B$70:$H$220,114,0)</f>
        <v>1.1000000000000001</v>
      </c>
      <c r="D252" s="19">
        <v>50</v>
      </c>
    </row>
    <row r="253" spans="1:4" x14ac:dyDescent="0.25">
      <c r="A253" s="188"/>
      <c r="B253" s="23" t="e">
        <f>IF(AND((C253&gt;=B28),(B28&gt;C254)),TRUE,FALSE)</f>
        <v>#DIV/0!</v>
      </c>
      <c r="C253" s="18">
        <f>HLOOKUP($B$76,Переменные!$B$70:$H$220,115,0)</f>
        <v>0.9</v>
      </c>
      <c r="D253" s="19">
        <v>25</v>
      </c>
    </row>
    <row r="254" spans="1:4" ht="15.75" thickBot="1" x14ac:dyDescent="0.3">
      <c r="A254" s="189"/>
      <c r="B254" s="24" t="e">
        <f>C254&gt;=B28</f>
        <v>#DIV/0!</v>
      </c>
      <c r="C254" s="18">
        <f>HLOOKUP($B$76,Переменные!$B$70:$H$220,116,0)</f>
        <v>0.75</v>
      </c>
      <c r="D254" s="21">
        <v>0</v>
      </c>
    </row>
    <row r="255" spans="1:4" ht="15.75" thickBot="1" x14ac:dyDescent="0.3">
      <c r="A255" s="187" t="str">
        <f>A29</f>
        <v>Коэффициент быстрой ликвидности, динамика</v>
      </c>
      <c r="B255" s="22" t="e">
        <f>B29&gt;C256</f>
        <v>#DIV/0!</v>
      </c>
      <c r="C255" s="27" t="s">
        <v>97</v>
      </c>
      <c r="D255" s="17">
        <v>100</v>
      </c>
    </row>
    <row r="256" spans="1:4" x14ac:dyDescent="0.25">
      <c r="A256" s="188"/>
      <c r="B256" s="23" t="e">
        <f>IF(AND((C256&gt;=B29),(B29&gt;C257)),TRUE,FALSE)</f>
        <v>#DIV/0!</v>
      </c>
      <c r="C256" s="18">
        <f>HLOOKUP($B$76,Переменные!$B$70:$H$220,118,0)</f>
        <v>1.25</v>
      </c>
      <c r="D256" s="19">
        <v>75</v>
      </c>
    </row>
    <row r="257" spans="1:4" x14ac:dyDescent="0.25">
      <c r="A257" s="188"/>
      <c r="B257" s="23" t="e">
        <f>IF(AND((C257&gt;=B29),(B29&gt;C258)),TRUE,FALSE)</f>
        <v>#DIV/0!</v>
      </c>
      <c r="C257" s="18">
        <f>HLOOKUP($B$76,Переменные!$B$70:$H$220,119,0)</f>
        <v>1.1000000000000001</v>
      </c>
      <c r="D257" s="19">
        <v>50</v>
      </c>
    </row>
    <row r="258" spans="1:4" x14ac:dyDescent="0.25">
      <c r="A258" s="188"/>
      <c r="B258" s="23" t="e">
        <f>IF(AND((C258&gt;=B29),(B29&gt;C259)),TRUE,FALSE)</f>
        <v>#DIV/0!</v>
      </c>
      <c r="C258" s="18">
        <f>HLOOKUP($B$76,Переменные!$B$70:$H$220,120,0)</f>
        <v>0.9</v>
      </c>
      <c r="D258" s="19">
        <v>25</v>
      </c>
    </row>
    <row r="259" spans="1:4" ht="15.75" thickBot="1" x14ac:dyDescent="0.3">
      <c r="A259" s="189"/>
      <c r="B259" s="24" t="e">
        <f>C259&gt;=B29</f>
        <v>#DIV/0!</v>
      </c>
      <c r="C259" s="18">
        <f>HLOOKUP($B$76,Переменные!$B$70:$H$220,121,0)</f>
        <v>0.75</v>
      </c>
      <c r="D259" s="21">
        <v>0</v>
      </c>
    </row>
    <row r="260" spans="1:4" ht="15.75" thickBot="1" x14ac:dyDescent="0.3">
      <c r="A260" s="187" t="str">
        <f>A30</f>
        <v>Коэффициент текущей ликвидности, динамика</v>
      </c>
      <c r="B260" s="22" t="e">
        <f>B30&gt;C261</f>
        <v>#DIV/0!</v>
      </c>
      <c r="C260" s="27" t="s">
        <v>97</v>
      </c>
      <c r="D260" s="17">
        <v>100</v>
      </c>
    </row>
    <row r="261" spans="1:4" x14ac:dyDescent="0.25">
      <c r="A261" s="188"/>
      <c r="B261" s="23" t="e">
        <f>IF(AND((C261&gt;=B30),(B30&gt;C262)),TRUE,FALSE)</f>
        <v>#DIV/0!</v>
      </c>
      <c r="C261" s="18">
        <f>HLOOKUP($B$76,Переменные!$B$70:$H$220,123,0)</f>
        <v>1.25</v>
      </c>
      <c r="D261" s="19">
        <v>75</v>
      </c>
    </row>
    <row r="262" spans="1:4" x14ac:dyDescent="0.25">
      <c r="A262" s="188"/>
      <c r="B262" s="23" t="e">
        <f>IF(AND((C262&gt;=B30),(B30&gt;C263)),TRUE,FALSE)</f>
        <v>#DIV/0!</v>
      </c>
      <c r="C262" s="18">
        <f>HLOOKUP($B$76,Переменные!$B$70:$H$220,124,0)</f>
        <v>1.1000000000000001</v>
      </c>
      <c r="D262" s="19">
        <v>50</v>
      </c>
    </row>
    <row r="263" spans="1:4" x14ac:dyDescent="0.25">
      <c r="A263" s="188"/>
      <c r="B263" s="23" t="e">
        <f>IF(AND((C263&gt;=B30),(B30&gt;C264)),TRUE,FALSE)</f>
        <v>#DIV/0!</v>
      </c>
      <c r="C263" s="18">
        <f>HLOOKUP($B$76,Переменные!$B$70:$H$220,125,0)</f>
        <v>0.9</v>
      </c>
      <c r="D263" s="19">
        <v>25</v>
      </c>
    </row>
    <row r="264" spans="1:4" ht="15.75" thickBot="1" x14ac:dyDescent="0.3">
      <c r="A264" s="189"/>
      <c r="B264" s="24" t="e">
        <f>C264&gt;=B30</f>
        <v>#DIV/0!</v>
      </c>
      <c r="C264" s="20">
        <f>HLOOKUP($B$76,Переменные!$B$70:$H$220,126,0)</f>
        <v>0.75</v>
      </c>
      <c r="D264" s="21">
        <v>0</v>
      </c>
    </row>
    <row r="265" spans="1:4" ht="15.75" thickBot="1" x14ac:dyDescent="0.3">
      <c r="A265" s="187" t="str">
        <f>A31</f>
        <v>Рентабельность задействованного капитала (общ.)</v>
      </c>
      <c r="B265" s="22" t="e">
        <f>B31&gt;C266</f>
        <v>#DIV/0!</v>
      </c>
      <c r="C265" s="27" t="s">
        <v>97</v>
      </c>
      <c r="D265" s="17">
        <v>100</v>
      </c>
    </row>
    <row r="266" spans="1:4" x14ac:dyDescent="0.25">
      <c r="A266" s="188"/>
      <c r="B266" s="23" t="e">
        <f>IF(AND((C266&gt;=B31),(B31&gt;C267)),TRUE,FALSE)</f>
        <v>#DIV/0!</v>
      </c>
      <c r="C266" s="18">
        <f>HLOOKUP($B$76,Переменные!$B$70:$H$220,128,0)</f>
        <v>1.25</v>
      </c>
      <c r="D266" s="19">
        <v>75</v>
      </c>
    </row>
    <row r="267" spans="1:4" x14ac:dyDescent="0.25">
      <c r="A267" s="188"/>
      <c r="B267" s="23" t="e">
        <f>IF(AND((C267&gt;=B31),(B31&gt;C268)),TRUE,FALSE)</f>
        <v>#DIV/0!</v>
      </c>
      <c r="C267" s="18">
        <f>HLOOKUP($B$76,Переменные!$B$70:$H$220,129,0)</f>
        <v>1.1000000000000001</v>
      </c>
      <c r="D267" s="19">
        <v>50</v>
      </c>
    </row>
    <row r="268" spans="1:4" x14ac:dyDescent="0.25">
      <c r="A268" s="188"/>
      <c r="B268" s="23" t="e">
        <f>IF(AND((C268&gt;=B31),(B31&gt;C269)),TRUE,FALSE)</f>
        <v>#DIV/0!</v>
      </c>
      <c r="C268" s="18">
        <f>HLOOKUP($B$76,Переменные!$B$70:$H$220,130,0)</f>
        <v>0.9</v>
      </c>
      <c r="D268" s="19">
        <v>25</v>
      </c>
    </row>
    <row r="269" spans="1:4" ht="15.75" thickBot="1" x14ac:dyDescent="0.3">
      <c r="A269" s="189"/>
      <c r="B269" s="24" t="e">
        <f>C269&gt;=B31</f>
        <v>#DIV/0!</v>
      </c>
      <c r="C269" s="18">
        <f>HLOOKUP($B$76,Переменные!$B$70:$H$220,131,0)</f>
        <v>0.75</v>
      </c>
      <c r="D269" s="21">
        <v>0</v>
      </c>
    </row>
    <row r="270" spans="1:4" ht="15.75" thickBot="1" x14ac:dyDescent="0.3">
      <c r="A270" s="187" t="str">
        <f>A32</f>
        <v>Коэффициент покрытия долга (долгоср.)</v>
      </c>
      <c r="B270" s="22" t="e">
        <f>B32&gt;C271</f>
        <v>#DIV/0!</v>
      </c>
      <c r="C270" s="27" t="s">
        <v>97</v>
      </c>
      <c r="D270" s="17">
        <v>100</v>
      </c>
    </row>
    <row r="271" spans="1:4" x14ac:dyDescent="0.25">
      <c r="A271" s="188"/>
      <c r="B271" s="23" t="e">
        <f>IF(AND((C271&gt;=B32),(B32&gt;C272)),TRUE,FALSE)</f>
        <v>#DIV/0!</v>
      </c>
      <c r="C271" s="18">
        <f>HLOOKUP($B$76,Переменные!$B$70:$H$220,133,0)/E73</f>
        <v>0.75471698113207553</v>
      </c>
      <c r="D271" s="19">
        <v>75</v>
      </c>
    </row>
    <row r="272" spans="1:4" x14ac:dyDescent="0.25">
      <c r="A272" s="188"/>
      <c r="B272" s="23" t="e">
        <f>IF(AND((C272&gt;=B32),(B32&gt;C273)),TRUE,FALSE)</f>
        <v>#DIV/0!</v>
      </c>
      <c r="C272" s="18">
        <f>HLOOKUP($B$76,Переменные!$B$70:$H$220,134,0)/E73</f>
        <v>0.37735849056603776</v>
      </c>
      <c r="D272" s="19">
        <v>50</v>
      </c>
    </row>
    <row r="273" spans="1:4" x14ac:dyDescent="0.25">
      <c r="A273" s="188"/>
      <c r="B273" s="23" t="e">
        <f>IF(AND((C273&gt;=B32),(B32&gt;C274)),TRUE,FALSE)</f>
        <v>#DIV/0!</v>
      </c>
      <c r="C273" s="18">
        <f>HLOOKUP($B$76,Переменные!$B$70:$H$220,135,0)/E73</f>
        <v>0.18867924528301888</v>
      </c>
      <c r="D273" s="19">
        <v>25</v>
      </c>
    </row>
    <row r="274" spans="1:4" ht="15.75" thickBot="1" x14ac:dyDescent="0.3">
      <c r="A274" s="189"/>
      <c r="B274" s="24" t="e">
        <f>C274&gt;=B32</f>
        <v>#DIV/0!</v>
      </c>
      <c r="C274" s="20">
        <f>HLOOKUP($B$76,Переменные!$B$70:$H$220,136,0)/E73</f>
        <v>0.94339622641509424</v>
      </c>
      <c r="D274" s="21">
        <v>0</v>
      </c>
    </row>
    <row r="275" spans="1:4" ht="15.75" thickBot="1" x14ac:dyDescent="0.3">
      <c r="A275" s="187" t="str">
        <f>A33</f>
        <v>Отношение капитала к заемным средствам</v>
      </c>
      <c r="B275" s="22" t="e">
        <f>B33&gt;C276</f>
        <v>#DIV/0!</v>
      </c>
      <c r="C275" s="27" t="s">
        <v>97</v>
      </c>
      <c r="D275" s="17">
        <v>100</v>
      </c>
    </row>
    <row r="276" spans="1:4" x14ac:dyDescent="0.25">
      <c r="A276" s="188"/>
      <c r="B276" s="23" t="e">
        <f>IF(AND((C276&gt;=B33),(B33&gt;C277)),TRUE,FALSE)</f>
        <v>#DIV/0!</v>
      </c>
      <c r="C276" s="18">
        <f>HLOOKUP($B$76,Переменные!$B$70:$H$220,138,0)</f>
        <v>2</v>
      </c>
      <c r="D276" s="19">
        <v>75</v>
      </c>
    </row>
    <row r="277" spans="1:4" x14ac:dyDescent="0.25">
      <c r="A277" s="188"/>
      <c r="B277" s="23" t="e">
        <f>IF(AND((C277&gt;=B33),(B33&gt;C278)),TRUE,FALSE)</f>
        <v>#DIV/0!</v>
      </c>
      <c r="C277" s="18">
        <f>HLOOKUP($B$76,Переменные!$B$70:$H$220,139,0)</f>
        <v>1</v>
      </c>
      <c r="D277" s="19">
        <v>50</v>
      </c>
    </row>
    <row r="278" spans="1:4" x14ac:dyDescent="0.25">
      <c r="A278" s="188"/>
      <c r="B278" s="23" t="e">
        <f>IF(AND((C278&gt;=B33),(B33&gt;C279)),TRUE,FALSE)</f>
        <v>#DIV/0!</v>
      </c>
      <c r="C278" s="18">
        <f>HLOOKUP($B$76,Переменные!$B$70:$H$220,140,0)</f>
        <v>0.5</v>
      </c>
      <c r="D278" s="19">
        <v>25</v>
      </c>
    </row>
    <row r="279" spans="1:4" ht="15.75" thickBot="1" x14ac:dyDescent="0.3">
      <c r="A279" s="189"/>
      <c r="B279" s="24" t="e">
        <f>C279&gt;=B33</f>
        <v>#DIV/0!</v>
      </c>
      <c r="C279" s="18">
        <f>HLOOKUP($B$76,Переменные!$B$70:$H$220,141,0)</f>
        <v>0.25</v>
      </c>
      <c r="D279" s="21">
        <v>0</v>
      </c>
    </row>
    <row r="280" spans="1:4" ht="15.75" thickBot="1" x14ac:dyDescent="0.3">
      <c r="A280" s="187" t="str">
        <f>A34</f>
        <v>Отношение капитала к заемным средствам, динамика</v>
      </c>
      <c r="B280" s="22" t="e">
        <f>B34&gt;C281</f>
        <v>#DIV/0!</v>
      </c>
      <c r="C280" s="27" t="s">
        <v>97</v>
      </c>
      <c r="D280" s="17">
        <v>100</v>
      </c>
    </row>
    <row r="281" spans="1:4" x14ac:dyDescent="0.25">
      <c r="A281" s="188"/>
      <c r="B281" s="23" t="e">
        <f>IF(AND((C281&gt;=B34),(B34&gt;C282)),TRUE,FALSE)</f>
        <v>#DIV/0!</v>
      </c>
      <c r="C281" s="18">
        <f>HLOOKUP($B$76,Переменные!$B$70:$H$220,143,0)</f>
        <v>1.25</v>
      </c>
      <c r="D281" s="19">
        <v>75</v>
      </c>
    </row>
    <row r="282" spans="1:4" x14ac:dyDescent="0.25">
      <c r="A282" s="188"/>
      <c r="B282" s="23" t="e">
        <f>IF(AND((C282&gt;=B34),(B34&gt;C283)),TRUE,FALSE)</f>
        <v>#DIV/0!</v>
      </c>
      <c r="C282" s="18">
        <f>HLOOKUP($B$76,Переменные!$B$70:$H$220,144,0)</f>
        <v>1.1000000000000001</v>
      </c>
      <c r="D282" s="19">
        <v>50</v>
      </c>
    </row>
    <row r="283" spans="1:4" x14ac:dyDescent="0.25">
      <c r="A283" s="188"/>
      <c r="B283" s="23" t="e">
        <f>IF(AND((C283&gt;=B34),(B34&gt;C284)),TRUE,FALSE)</f>
        <v>#DIV/0!</v>
      </c>
      <c r="C283" s="18">
        <f>HLOOKUP($B$76,Переменные!$B$70:$H$220,145,0)</f>
        <v>0.9</v>
      </c>
      <c r="D283" s="19">
        <v>25</v>
      </c>
    </row>
    <row r="284" spans="1:4" ht="15.75" thickBot="1" x14ac:dyDescent="0.3">
      <c r="A284" s="189"/>
      <c r="B284" s="24" t="e">
        <f>C284&gt;=B34</f>
        <v>#DIV/0!</v>
      </c>
      <c r="C284" s="20">
        <f>HLOOKUP($B$76,Переменные!$B$70:$H$220,146,0)</f>
        <v>0.75</v>
      </c>
      <c r="D284" s="21">
        <v>0</v>
      </c>
    </row>
    <row r="285" spans="1:4" ht="15.75" thickBot="1" x14ac:dyDescent="0.3">
      <c r="A285" s="187"/>
      <c r="B285" s="22" t="b">
        <f>B35&gt;C286</f>
        <v>0</v>
      </c>
      <c r="C285" s="27" t="s">
        <v>97</v>
      </c>
      <c r="D285" s="17">
        <v>100</v>
      </c>
    </row>
    <row r="286" spans="1:4" x14ac:dyDescent="0.25">
      <c r="A286" s="188"/>
      <c r="B286" s="23" t="b">
        <f>IF(AND((C286&gt;=B35),(B35&gt;C287)),TRUE,FALSE)</f>
        <v>0</v>
      </c>
      <c r="C286" s="18">
        <f>HLOOKUP($B$76,Переменные!$B$70:$H$220,148,0)</f>
        <v>1.25</v>
      </c>
      <c r="D286" s="19">
        <v>75</v>
      </c>
    </row>
    <row r="287" spans="1:4" x14ac:dyDescent="0.25">
      <c r="A287" s="188"/>
      <c r="B287" s="23" t="b">
        <f>IF(AND((C287&gt;=B35),(B35&gt;C288)),TRUE,FALSE)</f>
        <v>0</v>
      </c>
      <c r="C287" s="18">
        <f>HLOOKUP($B$76,Переменные!$B$70:$H$220,149,0)</f>
        <v>1.1000000000000001</v>
      </c>
      <c r="D287" s="19">
        <v>50</v>
      </c>
    </row>
    <row r="288" spans="1:4" x14ac:dyDescent="0.25">
      <c r="A288" s="188"/>
      <c r="B288" s="23" t="b">
        <f>IF(AND((C288&gt;=B35),(B35&gt;C289)),TRUE,FALSE)</f>
        <v>0</v>
      </c>
      <c r="C288" s="18">
        <f>HLOOKUP($B$76,Переменные!$B$70:$H$220,150,0)</f>
        <v>0.9</v>
      </c>
      <c r="D288" s="19">
        <v>25</v>
      </c>
    </row>
    <row r="289" spans="1:4" ht="15.75" thickBot="1" x14ac:dyDescent="0.3">
      <c r="A289" s="189"/>
      <c r="B289" s="24" t="b">
        <f>C289&gt;=B35</f>
        <v>1</v>
      </c>
      <c r="C289" s="18">
        <f>HLOOKUP($B$76,Переменные!$B$70:$H$220,151,0)</f>
        <v>0.75</v>
      </c>
      <c r="D289" s="21">
        <v>0</v>
      </c>
    </row>
    <row r="290" spans="1:4" ht="15.75" thickBot="1" x14ac:dyDescent="0.3">
      <c r="A290" s="187"/>
      <c r="B290" s="22" t="e">
        <f>B116&gt;C291</f>
        <v>#REF!</v>
      </c>
      <c r="C290" s="27" t="s">
        <v>97</v>
      </c>
      <c r="D290" s="17">
        <v>100</v>
      </c>
    </row>
    <row r="291" spans="1:4" x14ac:dyDescent="0.25">
      <c r="A291" s="188"/>
      <c r="B291" s="23" t="e">
        <f>IF(AND((C291&gt;=B116),(B116&gt;C292)),TRUE,FALSE)</f>
        <v>#REF!</v>
      </c>
      <c r="C291" s="18" t="e">
        <f>HLOOKUP($B$76,Переменные!$B$70:$H$220,153,0)</f>
        <v>#REF!</v>
      </c>
      <c r="D291" s="19">
        <v>75</v>
      </c>
    </row>
    <row r="292" spans="1:4" x14ac:dyDescent="0.25">
      <c r="A292" s="188"/>
      <c r="B292" s="23" t="e">
        <f>IF(AND((C292&gt;=B116),(B116&gt;C293)),TRUE,FALSE)</f>
        <v>#REF!</v>
      </c>
      <c r="C292" s="18" t="e">
        <f>HLOOKUP($B$76,Переменные!$B$70:$H$220,154,0)</f>
        <v>#REF!</v>
      </c>
      <c r="D292" s="19">
        <v>50</v>
      </c>
    </row>
    <row r="293" spans="1:4" x14ac:dyDescent="0.25">
      <c r="A293" s="188"/>
      <c r="B293" s="23" t="e">
        <f>IF(AND((C293&gt;=B116),(B116&gt;C294)),TRUE,FALSE)</f>
        <v>#REF!</v>
      </c>
      <c r="C293" s="18" t="e">
        <f>HLOOKUP($B$76,Переменные!$B$70:$H$220,155,0)</f>
        <v>#REF!</v>
      </c>
      <c r="D293" s="19">
        <v>25</v>
      </c>
    </row>
    <row r="294" spans="1:4" ht="15.75" thickBot="1" x14ac:dyDescent="0.3">
      <c r="A294" s="189"/>
      <c r="B294" s="24" t="e">
        <f>C294&gt;=B116</f>
        <v>#REF!</v>
      </c>
      <c r="C294" s="20" t="e">
        <f>HLOOKUP($B$76,Переменные!$B$70:$H$220,156,0)</f>
        <v>#REF!</v>
      </c>
      <c r="D294" s="21">
        <v>0</v>
      </c>
    </row>
  </sheetData>
  <mergeCells count="38">
    <mergeCell ref="A275:A279"/>
    <mergeCell ref="A280:A284"/>
    <mergeCell ref="A285:A289"/>
    <mergeCell ref="A290:A294"/>
    <mergeCell ref="A245:A249"/>
    <mergeCell ref="A250:A254"/>
    <mergeCell ref="A255:A259"/>
    <mergeCell ref="A260:A264"/>
    <mergeCell ref="A265:A269"/>
    <mergeCell ref="A270:A274"/>
    <mergeCell ref="A240:A244"/>
    <mergeCell ref="A185:A189"/>
    <mergeCell ref="A190:A194"/>
    <mergeCell ref="A195:A199"/>
    <mergeCell ref="A200:A204"/>
    <mergeCell ref="A205:A209"/>
    <mergeCell ref="A210:A214"/>
    <mergeCell ref="A215:A219"/>
    <mergeCell ref="A220:A224"/>
    <mergeCell ref="A225:A229"/>
    <mergeCell ref="A230:A234"/>
    <mergeCell ref="A235:A239"/>
    <mergeCell ref="A180:A184"/>
    <mergeCell ref="A140:A144"/>
    <mergeCell ref="F140:F144"/>
    <mergeCell ref="A145:A149"/>
    <mergeCell ref="F145:F150"/>
    <mergeCell ref="A150:A154"/>
    <mergeCell ref="F151:F155"/>
    <mergeCell ref="A155:A159"/>
    <mergeCell ref="F156:F160"/>
    <mergeCell ref="A160:A164"/>
    <mergeCell ref="F161:F165"/>
    <mergeCell ref="A165:A169"/>
    <mergeCell ref="F166:F170"/>
    <mergeCell ref="A170:A174"/>
    <mergeCell ref="F171:F175"/>
    <mergeCell ref="A175:A179"/>
  </mergeCells>
  <dataValidations count="9">
    <dataValidation type="list" allowBlank="1" showInputMessage="1" showErrorMessage="1" sqref="B49">
      <formula1>"активно развивается,умеренно развивается,стабильна,в стагнации,в кризисе"</formula1>
    </dataValidation>
    <dataValidation type="list" allowBlank="1" showInputMessage="1" showErrorMessage="1" sqref="B66:B71">
      <formula1>"позитивный,умеренно позитивный,стабильный,умеренно негативный,негативный"</formula1>
    </dataValidation>
    <dataValidation type="list" allowBlank="1" showInputMessage="1" showErrorMessage="1" sqref="B52">
      <formula1>"монополист,очень высокая,высокая,средняя,низкая"</formula1>
    </dataValidation>
    <dataValidation type="list" allowBlank="1" showInputMessage="1" showErrorMessage="1" sqref="B65">
      <formula1>"очень низкий,низкий,средний,высокий,очень высокий"</formula1>
    </dataValidation>
    <dataValidation type="list" allowBlank="1" showInputMessage="1" showErrorMessage="1" sqref="B56:B58 B62:B63">
      <formula1>"очень низкая,низкая,средняя,высокая,очень высокая"</formula1>
    </dataValidation>
    <dataValidation type="list" allowBlank="1" showInputMessage="1" showErrorMessage="1" sqref="B51">
      <formula1>"экспортёр,очень высокая,высокая,средняя,низкая"</formula1>
    </dataValidation>
    <dataValidation type="list" allowBlank="1" showInputMessage="1" showErrorMessage="1" sqref="B61 B53 B55">
      <formula1>"очень высокая,высокая,средняя,низкая,очень низкая"</formula1>
    </dataValidation>
    <dataValidation type="list" allowBlank="1" showInputMessage="1" showErrorMessage="1" sqref="B59 B64">
      <formula1>"очень высокий,высокий,средний,низкий,очень низкий"</formula1>
    </dataValidation>
    <dataValidation type="list" allowBlank="1" showInputMessage="1" showErrorMessage="1" sqref="B76">
      <formula1>"производство,торговля,строительство,жкх и энергетика,финансы,прочее"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opLeftCell="A214" workbookViewId="0">
      <selection activeCell="D235" sqref="D235"/>
    </sheetView>
  </sheetViews>
  <sheetFormatPr defaultRowHeight="15" x14ac:dyDescent="0.25"/>
  <cols>
    <col min="1" max="1" width="61.85546875" bestFit="1" customWidth="1"/>
    <col min="2" max="4" width="13.7109375" bestFit="1" customWidth="1"/>
    <col min="5" max="7" width="13.7109375" customWidth="1"/>
    <col min="8" max="8" width="13.7109375" bestFit="1" customWidth="1"/>
  </cols>
  <sheetData>
    <row r="1" spans="1:8" x14ac:dyDescent="0.25">
      <c r="A1" s="36" t="s">
        <v>141</v>
      </c>
      <c r="B1" s="37" t="s">
        <v>137</v>
      </c>
      <c r="C1" s="37" t="s">
        <v>138</v>
      </c>
      <c r="D1" s="37" t="s">
        <v>158</v>
      </c>
      <c r="E1" s="37" t="s">
        <v>159</v>
      </c>
      <c r="F1" s="37" t="s">
        <v>160</v>
      </c>
      <c r="G1" s="37" t="s">
        <v>139</v>
      </c>
      <c r="H1" s="37" t="s">
        <v>80</v>
      </c>
    </row>
    <row r="2" spans="1:8" x14ac:dyDescent="0.25">
      <c r="A2" s="103" t="s">
        <v>83</v>
      </c>
      <c r="B2" s="80">
        <v>6</v>
      </c>
      <c r="C2" s="80">
        <v>0</v>
      </c>
      <c r="D2" s="80">
        <v>6</v>
      </c>
      <c r="E2" s="80">
        <v>6</v>
      </c>
      <c r="F2" s="80">
        <v>12</v>
      </c>
      <c r="G2" s="80">
        <v>6</v>
      </c>
      <c r="H2" s="80">
        <v>6</v>
      </c>
    </row>
    <row r="3" spans="1:8" x14ac:dyDescent="0.25">
      <c r="A3" s="103" t="s">
        <v>84</v>
      </c>
      <c r="B3" s="80">
        <v>12</v>
      </c>
      <c r="C3" s="80">
        <v>5</v>
      </c>
      <c r="D3" s="80">
        <v>12</v>
      </c>
      <c r="E3" s="80">
        <v>12</v>
      </c>
      <c r="F3" s="80">
        <v>12</v>
      </c>
      <c r="G3" s="80">
        <v>12</v>
      </c>
      <c r="H3" s="80">
        <v>12</v>
      </c>
    </row>
    <row r="4" spans="1:8" x14ac:dyDescent="0.25">
      <c r="A4" s="103" t="s">
        <v>71</v>
      </c>
      <c r="B4" s="80">
        <v>3</v>
      </c>
      <c r="C4" s="80">
        <v>10</v>
      </c>
      <c r="D4" s="80">
        <v>3</v>
      </c>
      <c r="E4" s="80">
        <v>3</v>
      </c>
      <c r="F4" s="80">
        <v>3</v>
      </c>
      <c r="G4" s="80">
        <v>3</v>
      </c>
      <c r="H4" s="80">
        <v>3</v>
      </c>
    </row>
    <row r="5" spans="1:8" x14ac:dyDescent="0.25">
      <c r="A5" s="103" t="s">
        <v>72</v>
      </c>
      <c r="B5" s="80">
        <v>0</v>
      </c>
      <c r="C5" s="80">
        <v>3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</row>
    <row r="6" spans="1:8" x14ac:dyDescent="0.25">
      <c r="A6" s="103" t="s">
        <v>86</v>
      </c>
      <c r="B6" s="80">
        <v>0</v>
      </c>
      <c r="C6" s="80">
        <v>10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</row>
    <row r="7" spans="1:8" x14ac:dyDescent="0.25">
      <c r="A7" s="103" t="s">
        <v>87</v>
      </c>
      <c r="B7" s="80">
        <v>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</row>
    <row r="8" spans="1:8" x14ac:dyDescent="0.25">
      <c r="A8" s="103" t="s">
        <v>73</v>
      </c>
      <c r="B8" s="80">
        <v>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</row>
    <row r="9" spans="1:8" x14ac:dyDescent="0.25">
      <c r="A9" s="103" t="s">
        <v>88</v>
      </c>
      <c r="B9" s="80">
        <v>0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</row>
    <row r="10" spans="1:8" x14ac:dyDescent="0.25">
      <c r="A10" s="103" t="s">
        <v>89</v>
      </c>
      <c r="B10" s="80">
        <v>0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</row>
    <row r="11" spans="1:8" x14ac:dyDescent="0.25">
      <c r="A11" s="103" t="s">
        <v>90</v>
      </c>
      <c r="B11" s="80">
        <v>0</v>
      </c>
      <c r="C11" s="80">
        <v>0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</row>
    <row r="12" spans="1:8" x14ac:dyDescent="0.25">
      <c r="A12" s="103" t="s">
        <v>74</v>
      </c>
      <c r="B12" s="80">
        <v>0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</row>
    <row r="13" spans="1:8" x14ac:dyDescent="0.25">
      <c r="A13" s="103" t="s">
        <v>91</v>
      </c>
      <c r="B13" s="80">
        <v>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</row>
    <row r="14" spans="1:8" x14ac:dyDescent="0.25">
      <c r="A14" s="103" t="s">
        <v>92</v>
      </c>
      <c r="B14" s="80">
        <v>12</v>
      </c>
      <c r="C14" s="80">
        <v>10</v>
      </c>
      <c r="D14" s="80">
        <v>12</v>
      </c>
      <c r="E14" s="80">
        <v>12</v>
      </c>
      <c r="F14" s="80">
        <v>0</v>
      </c>
      <c r="G14" s="80">
        <v>12</v>
      </c>
      <c r="H14" s="80">
        <v>12</v>
      </c>
    </row>
    <row r="15" spans="1:8" x14ac:dyDescent="0.25">
      <c r="A15" s="103" t="s">
        <v>149</v>
      </c>
      <c r="B15" s="80">
        <v>7</v>
      </c>
      <c r="C15" s="80">
        <v>10</v>
      </c>
      <c r="D15" s="80">
        <v>7</v>
      </c>
      <c r="E15" s="80">
        <v>7</v>
      </c>
      <c r="F15" s="80">
        <v>0</v>
      </c>
      <c r="G15" s="80">
        <v>7</v>
      </c>
      <c r="H15" s="80">
        <v>7</v>
      </c>
    </row>
    <row r="16" spans="1:8" x14ac:dyDescent="0.25">
      <c r="A16" s="103" t="s">
        <v>153</v>
      </c>
      <c r="B16" s="80">
        <v>0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 x14ac:dyDescent="0.25">
      <c r="A17" s="103" t="s">
        <v>94</v>
      </c>
      <c r="B17" s="80">
        <v>0</v>
      </c>
      <c r="C17" s="80">
        <v>0</v>
      </c>
      <c r="D17" s="80">
        <v>0</v>
      </c>
      <c r="E17" s="80">
        <v>0</v>
      </c>
      <c r="F17" s="80">
        <v>12</v>
      </c>
      <c r="G17" s="80">
        <v>0</v>
      </c>
      <c r="H17" s="80">
        <v>0</v>
      </c>
    </row>
    <row r="18" spans="1:8" x14ac:dyDescent="0.25">
      <c r="A18" s="103" t="s">
        <v>150</v>
      </c>
      <c r="B18" s="80">
        <v>0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 x14ac:dyDescent="0.25">
      <c r="A19" s="103" t="s">
        <v>155</v>
      </c>
      <c r="B19" s="80">
        <v>0</v>
      </c>
      <c r="C19" s="80">
        <v>12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 x14ac:dyDescent="0.25">
      <c r="A20" s="103" t="s">
        <v>157</v>
      </c>
      <c r="B20" s="80">
        <v>0</v>
      </c>
      <c r="C20" s="80">
        <v>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</row>
    <row r="21" spans="1:8" x14ac:dyDescent="0.25">
      <c r="A21" s="104" t="s">
        <v>143</v>
      </c>
      <c r="B21" s="81">
        <v>4</v>
      </c>
      <c r="C21" s="80">
        <v>0</v>
      </c>
      <c r="D21" s="81">
        <v>4</v>
      </c>
      <c r="E21" s="81">
        <v>4</v>
      </c>
      <c r="F21" s="81">
        <v>5</v>
      </c>
      <c r="G21" s="81">
        <v>4</v>
      </c>
      <c r="H21" s="81">
        <v>4</v>
      </c>
    </row>
    <row r="22" spans="1:8" x14ac:dyDescent="0.25">
      <c r="A22" s="104" t="s">
        <v>144</v>
      </c>
      <c r="B22" s="81">
        <v>0</v>
      </c>
      <c r="C22" s="80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</row>
    <row r="23" spans="1:8" x14ac:dyDescent="0.25">
      <c r="A23" s="104" t="s">
        <v>145</v>
      </c>
      <c r="B23" s="81">
        <v>0</v>
      </c>
      <c r="C23" s="80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</row>
    <row r="24" spans="1:8" x14ac:dyDescent="0.25">
      <c r="A24" s="103" t="s">
        <v>146</v>
      </c>
      <c r="B24" s="81">
        <v>0</v>
      </c>
      <c r="C24" s="80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</row>
    <row r="25" spans="1:8" x14ac:dyDescent="0.25">
      <c r="A25" s="103" t="s">
        <v>147</v>
      </c>
      <c r="B25" s="81">
        <v>0</v>
      </c>
      <c r="C25" s="80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</row>
    <row r="26" spans="1:8" x14ac:dyDescent="0.25">
      <c r="A26" s="103" t="s">
        <v>148</v>
      </c>
      <c r="B26" s="81">
        <v>0</v>
      </c>
      <c r="C26" s="80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</row>
    <row r="27" spans="1:8" x14ac:dyDescent="0.25">
      <c r="A27" s="103" t="s">
        <v>154</v>
      </c>
      <c r="B27" s="81">
        <v>0</v>
      </c>
      <c r="C27" s="80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</row>
    <row r="28" spans="1:8" x14ac:dyDescent="0.25">
      <c r="A28" s="103" t="s">
        <v>156</v>
      </c>
      <c r="B28" s="81">
        <v>4</v>
      </c>
      <c r="C28" s="80">
        <v>0</v>
      </c>
      <c r="D28" s="81">
        <v>4</v>
      </c>
      <c r="E28" s="81">
        <v>4</v>
      </c>
      <c r="F28" s="81">
        <v>4</v>
      </c>
      <c r="G28" s="81">
        <v>4</v>
      </c>
      <c r="H28" s="81">
        <v>4</v>
      </c>
    </row>
    <row r="29" spans="1:8" x14ac:dyDescent="0.25">
      <c r="A29" s="103" t="s">
        <v>161</v>
      </c>
      <c r="B29" s="81">
        <v>12</v>
      </c>
      <c r="C29" s="80">
        <v>0</v>
      </c>
      <c r="D29" s="81">
        <v>12</v>
      </c>
      <c r="E29" s="81">
        <v>12</v>
      </c>
      <c r="F29" s="81">
        <v>12</v>
      </c>
      <c r="G29" s="81">
        <v>12</v>
      </c>
      <c r="H29" s="81">
        <v>12</v>
      </c>
    </row>
    <row r="30" spans="1:8" x14ac:dyDescent="0.25">
      <c r="A30" s="103" t="s">
        <v>162</v>
      </c>
      <c r="B30" s="81">
        <v>0</v>
      </c>
      <c r="C30" s="80">
        <v>0</v>
      </c>
      <c r="D30" s="81">
        <v>0</v>
      </c>
      <c r="E30" s="81">
        <v>0</v>
      </c>
      <c r="F30" s="81">
        <v>0</v>
      </c>
      <c r="G30" s="80">
        <v>0</v>
      </c>
      <c r="H30" s="80">
        <v>0</v>
      </c>
    </row>
    <row r="31" spans="1:8" x14ac:dyDescent="0.25">
      <c r="A31" s="105"/>
      <c r="B31" s="81"/>
      <c r="C31" s="81"/>
      <c r="D31" s="81"/>
      <c r="E31" s="81"/>
      <c r="F31" s="81"/>
      <c r="G31" s="81"/>
      <c r="H31" s="81"/>
    </row>
    <row r="32" spans="1:8" x14ac:dyDescent="0.25">
      <c r="A32" s="105"/>
      <c r="B32" s="81"/>
      <c r="C32" s="81"/>
      <c r="D32" s="81"/>
      <c r="E32" s="81"/>
      <c r="F32" s="81"/>
      <c r="G32" s="81"/>
      <c r="H32" s="81"/>
    </row>
    <row r="33" spans="1:8" x14ac:dyDescent="0.25">
      <c r="A33" s="105"/>
      <c r="B33" s="81"/>
      <c r="C33" s="81"/>
      <c r="D33" s="81"/>
      <c r="E33" s="81"/>
      <c r="F33" s="81"/>
      <c r="G33" s="81"/>
      <c r="H33" s="81"/>
    </row>
    <row r="34" spans="1:8" x14ac:dyDescent="0.25">
      <c r="A34" s="105"/>
      <c r="B34" s="81"/>
      <c r="C34" s="81"/>
      <c r="D34" s="81"/>
      <c r="E34" s="81"/>
      <c r="F34" s="81"/>
      <c r="G34" s="81"/>
      <c r="H34" s="81"/>
    </row>
    <row r="35" spans="1:8" x14ac:dyDescent="0.25">
      <c r="A35" s="105"/>
      <c r="B35" s="81"/>
      <c r="C35" s="81"/>
      <c r="D35" s="81"/>
      <c r="E35" s="81"/>
      <c r="F35" s="81"/>
      <c r="G35" s="81"/>
      <c r="H35" s="81"/>
    </row>
    <row r="36" spans="1:8" x14ac:dyDescent="0.25">
      <c r="A36" s="105"/>
      <c r="B36" s="81"/>
      <c r="C36" s="81"/>
      <c r="D36" s="81"/>
      <c r="E36" s="81"/>
      <c r="F36" s="81"/>
      <c r="G36" s="81"/>
      <c r="H36" s="81"/>
    </row>
    <row r="37" spans="1:8" x14ac:dyDescent="0.25">
      <c r="A37" s="105"/>
      <c r="B37" s="81"/>
      <c r="C37" s="81"/>
      <c r="D37" s="81"/>
      <c r="E37" s="81"/>
      <c r="F37" s="81"/>
      <c r="G37" s="81"/>
      <c r="H37" s="81"/>
    </row>
    <row r="38" spans="1:8" x14ac:dyDescent="0.25">
      <c r="A38" s="105"/>
      <c r="B38" s="81"/>
      <c r="C38" s="81"/>
      <c r="D38" s="81"/>
      <c r="E38" s="81"/>
      <c r="F38" s="81"/>
      <c r="G38" s="81"/>
      <c r="H38" s="81"/>
    </row>
    <row r="39" spans="1:8" x14ac:dyDescent="0.25">
      <c r="A39" s="105"/>
      <c r="B39" s="81"/>
      <c r="C39" s="81"/>
      <c r="D39" s="81"/>
      <c r="E39" s="81"/>
      <c r="F39" s="81"/>
      <c r="G39" s="81"/>
      <c r="H39" s="81"/>
    </row>
    <row r="40" spans="1:8" x14ac:dyDescent="0.25">
      <c r="A40" s="105"/>
      <c r="B40" s="81"/>
      <c r="C40" s="81"/>
      <c r="D40" s="81"/>
      <c r="E40" s="81"/>
      <c r="F40" s="81"/>
      <c r="G40" s="81"/>
      <c r="H40" s="81"/>
    </row>
    <row r="41" spans="1:8" x14ac:dyDescent="0.25">
      <c r="A41" s="105"/>
      <c r="B41" s="81"/>
      <c r="C41" s="81"/>
      <c r="D41" s="81"/>
      <c r="E41" s="81"/>
      <c r="F41" s="81"/>
      <c r="G41" s="81"/>
      <c r="H41" s="81"/>
    </row>
    <row r="42" spans="1:8" ht="15.75" thickBot="1" x14ac:dyDescent="0.3">
      <c r="A42" s="38" t="s">
        <v>119</v>
      </c>
      <c r="B42" s="39">
        <f>SUM(B2:B41)</f>
        <v>60</v>
      </c>
      <c r="C42" s="39">
        <f t="shared" ref="C42:H42" si="0">SUM(C2:C41)</f>
        <v>60</v>
      </c>
      <c r="D42" s="39">
        <f t="shared" si="0"/>
        <v>60</v>
      </c>
      <c r="E42" s="39">
        <f t="shared" si="0"/>
        <v>60</v>
      </c>
      <c r="F42" s="39">
        <f t="shared" si="0"/>
        <v>60</v>
      </c>
      <c r="G42" s="39">
        <f t="shared" si="0"/>
        <v>60</v>
      </c>
      <c r="H42" s="39">
        <f t="shared" si="0"/>
        <v>60</v>
      </c>
    </row>
    <row r="43" spans="1:8" ht="15.75" thickBot="1" x14ac:dyDescent="0.3"/>
    <row r="44" spans="1:8" x14ac:dyDescent="0.25">
      <c r="A44" s="36" t="s">
        <v>151</v>
      </c>
      <c r="B44" s="56" t="s">
        <v>137</v>
      </c>
      <c r="C44" s="56" t="s">
        <v>138</v>
      </c>
      <c r="D44" s="56" t="s">
        <v>158</v>
      </c>
      <c r="E44" s="58" t="s">
        <v>159</v>
      </c>
      <c r="F44" s="58" t="s">
        <v>160</v>
      </c>
      <c r="G44" s="58" t="s">
        <v>139</v>
      </c>
      <c r="H44" s="37" t="s">
        <v>80</v>
      </c>
    </row>
    <row r="45" spans="1:8" x14ac:dyDescent="0.25">
      <c r="A45" s="77" t="s">
        <v>70</v>
      </c>
      <c r="B45" s="106">
        <v>2</v>
      </c>
      <c r="C45" s="30">
        <v>2</v>
      </c>
      <c r="D45" s="30">
        <v>2</v>
      </c>
      <c r="E45" s="59">
        <v>2</v>
      </c>
      <c r="F45" s="59">
        <v>2</v>
      </c>
      <c r="G45" s="59">
        <v>2</v>
      </c>
      <c r="H45" s="31">
        <v>2</v>
      </c>
    </row>
    <row r="46" spans="1:8" x14ac:dyDescent="0.25">
      <c r="A46" s="74" t="s">
        <v>163</v>
      </c>
      <c r="B46" s="106"/>
      <c r="C46" s="30"/>
      <c r="D46" s="30"/>
      <c r="E46" s="59"/>
      <c r="F46" s="59"/>
      <c r="G46" s="59"/>
      <c r="H46" s="31"/>
    </row>
    <row r="47" spans="1:8" x14ac:dyDescent="0.25">
      <c r="A47" s="107" t="s">
        <v>164</v>
      </c>
      <c r="B47" s="106">
        <v>8</v>
      </c>
      <c r="C47" s="106">
        <v>5</v>
      </c>
      <c r="D47" s="30">
        <v>8</v>
      </c>
      <c r="E47" s="59">
        <v>8</v>
      </c>
      <c r="F47" s="59">
        <v>3</v>
      </c>
      <c r="G47" s="59">
        <v>8</v>
      </c>
      <c r="H47" s="31">
        <v>8</v>
      </c>
    </row>
    <row r="48" spans="1:8" x14ac:dyDescent="0.25">
      <c r="A48" s="107" t="s">
        <v>98</v>
      </c>
      <c r="B48" s="106">
        <v>5</v>
      </c>
      <c r="C48" s="106">
        <v>10</v>
      </c>
      <c r="D48" s="30">
        <v>5</v>
      </c>
      <c r="E48" s="59">
        <v>5</v>
      </c>
      <c r="F48" s="59">
        <v>10</v>
      </c>
      <c r="G48" s="59">
        <v>5</v>
      </c>
      <c r="H48" s="31">
        <v>5</v>
      </c>
    </row>
    <row r="49" spans="1:8" x14ac:dyDescent="0.25">
      <c r="A49" s="107" t="s">
        <v>184</v>
      </c>
      <c r="B49" s="106">
        <v>5</v>
      </c>
      <c r="C49" s="106">
        <v>1</v>
      </c>
      <c r="D49" s="30">
        <v>5</v>
      </c>
      <c r="E49" s="59">
        <v>5</v>
      </c>
      <c r="F49" s="59">
        <v>5</v>
      </c>
      <c r="G49" s="59">
        <v>5</v>
      </c>
      <c r="H49" s="31">
        <v>5</v>
      </c>
    </row>
    <row r="50" spans="1:8" x14ac:dyDescent="0.25">
      <c r="A50" s="75" t="s">
        <v>165</v>
      </c>
      <c r="B50" s="106"/>
      <c r="C50" s="30"/>
      <c r="D50" s="30"/>
      <c r="E50" s="59"/>
      <c r="F50" s="59"/>
      <c r="G50" s="59"/>
      <c r="H50" s="31"/>
    </row>
    <row r="51" spans="1:8" x14ac:dyDescent="0.25">
      <c r="A51" s="108" t="s">
        <v>169</v>
      </c>
      <c r="B51" s="109">
        <v>2</v>
      </c>
      <c r="C51" s="109">
        <v>5</v>
      </c>
      <c r="D51" s="64">
        <v>2</v>
      </c>
      <c r="E51" s="65">
        <v>2</v>
      </c>
      <c r="F51" s="65">
        <v>0</v>
      </c>
      <c r="G51" s="65">
        <v>2</v>
      </c>
      <c r="H51" s="55">
        <v>2</v>
      </c>
    </row>
    <row r="52" spans="1:8" x14ac:dyDescent="0.25">
      <c r="A52" s="108" t="s">
        <v>166</v>
      </c>
      <c r="B52" s="109">
        <v>1</v>
      </c>
      <c r="C52" s="109">
        <v>1</v>
      </c>
      <c r="D52" s="64">
        <v>1</v>
      </c>
      <c r="E52" s="65">
        <v>1</v>
      </c>
      <c r="F52" s="65">
        <v>2</v>
      </c>
      <c r="G52" s="65">
        <v>1</v>
      </c>
      <c r="H52" s="55">
        <v>1</v>
      </c>
    </row>
    <row r="53" spans="1:8" x14ac:dyDescent="0.25">
      <c r="A53" s="108" t="s">
        <v>167</v>
      </c>
      <c r="B53" s="109">
        <v>3</v>
      </c>
      <c r="C53" s="109">
        <v>2</v>
      </c>
      <c r="D53" s="64">
        <v>3</v>
      </c>
      <c r="E53" s="65">
        <v>3</v>
      </c>
      <c r="F53" s="65">
        <v>0</v>
      </c>
      <c r="G53" s="65">
        <v>3</v>
      </c>
      <c r="H53" s="55">
        <v>3</v>
      </c>
    </row>
    <row r="54" spans="1:8" x14ac:dyDescent="0.25">
      <c r="A54" s="108" t="s">
        <v>168</v>
      </c>
      <c r="B54" s="109">
        <v>2</v>
      </c>
      <c r="C54" s="109">
        <v>1</v>
      </c>
      <c r="D54" s="64">
        <v>2</v>
      </c>
      <c r="E54" s="65">
        <v>2</v>
      </c>
      <c r="F54" s="65">
        <v>3</v>
      </c>
      <c r="G54" s="65">
        <v>2</v>
      </c>
      <c r="H54" s="55">
        <v>2</v>
      </c>
    </row>
    <row r="55" spans="1:8" x14ac:dyDescent="0.25">
      <c r="A55" s="108" t="s">
        <v>170</v>
      </c>
      <c r="B55" s="109">
        <v>2</v>
      </c>
      <c r="C55" s="109">
        <v>2</v>
      </c>
      <c r="D55" s="64">
        <v>2</v>
      </c>
      <c r="E55" s="65">
        <v>2</v>
      </c>
      <c r="F55" s="65">
        <v>3</v>
      </c>
      <c r="G55" s="65">
        <v>2</v>
      </c>
      <c r="H55" s="55">
        <v>2</v>
      </c>
    </row>
    <row r="56" spans="1:8" x14ac:dyDescent="0.25">
      <c r="A56" s="76" t="s">
        <v>171</v>
      </c>
      <c r="B56" s="109"/>
      <c r="C56" s="64"/>
      <c r="D56" s="64"/>
      <c r="E56" s="65"/>
      <c r="F56" s="65"/>
      <c r="G56" s="65"/>
      <c r="H56" s="55"/>
    </row>
    <row r="57" spans="1:8" x14ac:dyDescent="0.25">
      <c r="A57" s="110" t="s">
        <v>172</v>
      </c>
      <c r="B57" s="109">
        <v>2</v>
      </c>
      <c r="C57" s="64">
        <v>4</v>
      </c>
      <c r="D57" s="64">
        <v>2</v>
      </c>
      <c r="E57" s="65">
        <v>2</v>
      </c>
      <c r="F57" s="65">
        <v>3</v>
      </c>
      <c r="G57" s="65">
        <v>2</v>
      </c>
      <c r="H57" s="55">
        <v>2</v>
      </c>
    </row>
    <row r="58" spans="1:8" x14ac:dyDescent="0.25">
      <c r="A58" s="110" t="s">
        <v>173</v>
      </c>
      <c r="B58" s="109">
        <v>1</v>
      </c>
      <c r="C58" s="64">
        <v>1</v>
      </c>
      <c r="D58" s="64">
        <v>1</v>
      </c>
      <c r="E58" s="65">
        <v>1</v>
      </c>
      <c r="F58" s="65">
        <v>2</v>
      </c>
      <c r="G58" s="65">
        <v>1</v>
      </c>
      <c r="H58" s="55">
        <v>1</v>
      </c>
    </row>
    <row r="59" spans="1:8" x14ac:dyDescent="0.25">
      <c r="A59" s="110" t="s">
        <v>174</v>
      </c>
      <c r="B59" s="109">
        <v>3</v>
      </c>
      <c r="C59" s="64">
        <v>2</v>
      </c>
      <c r="D59" s="64">
        <v>3</v>
      </c>
      <c r="E59" s="65">
        <v>3</v>
      </c>
      <c r="F59" s="65">
        <v>0</v>
      </c>
      <c r="G59" s="65">
        <v>3</v>
      </c>
      <c r="H59" s="55">
        <v>3</v>
      </c>
    </row>
    <row r="60" spans="1:8" x14ac:dyDescent="0.25">
      <c r="A60" s="110" t="s">
        <v>175</v>
      </c>
      <c r="B60" s="109">
        <v>2</v>
      </c>
      <c r="C60" s="64">
        <v>2</v>
      </c>
      <c r="D60" s="64">
        <v>2</v>
      </c>
      <c r="E60" s="65">
        <v>2</v>
      </c>
      <c r="F60" s="65">
        <v>3</v>
      </c>
      <c r="G60" s="65">
        <v>2</v>
      </c>
      <c r="H60" s="55">
        <v>2</v>
      </c>
    </row>
    <row r="61" spans="1:8" x14ac:dyDescent="0.25">
      <c r="A61" s="78" t="s">
        <v>107</v>
      </c>
      <c r="B61" s="109">
        <v>1</v>
      </c>
      <c r="C61" s="64">
        <v>1</v>
      </c>
      <c r="D61" s="64">
        <v>1</v>
      </c>
      <c r="E61" s="65">
        <v>1</v>
      </c>
      <c r="F61" s="65">
        <v>2</v>
      </c>
      <c r="G61" s="65">
        <v>1</v>
      </c>
      <c r="H61" s="55">
        <v>1</v>
      </c>
    </row>
    <row r="62" spans="1:8" x14ac:dyDescent="0.25">
      <c r="A62" s="79" t="s">
        <v>113</v>
      </c>
      <c r="B62" s="109">
        <v>1</v>
      </c>
      <c r="C62" s="64">
        <v>1</v>
      </c>
      <c r="D62" s="64">
        <v>1</v>
      </c>
      <c r="E62" s="65">
        <v>1</v>
      </c>
      <c r="F62" s="65">
        <v>2</v>
      </c>
      <c r="G62" s="65">
        <v>1</v>
      </c>
      <c r="H62" s="55">
        <v>1</v>
      </c>
    </row>
    <row r="63" spans="1:8" x14ac:dyDescent="0.25">
      <c r="A63" s="105"/>
      <c r="B63" s="109"/>
      <c r="C63" s="64"/>
      <c r="D63" s="64"/>
      <c r="E63" s="65"/>
      <c r="F63" s="65"/>
      <c r="G63" s="65"/>
      <c r="H63" s="55"/>
    </row>
    <row r="64" spans="1:8" x14ac:dyDescent="0.25">
      <c r="A64" s="105"/>
      <c r="B64" s="109"/>
      <c r="C64" s="64"/>
      <c r="D64" s="64"/>
      <c r="E64" s="65"/>
      <c r="F64" s="65"/>
      <c r="G64" s="65"/>
      <c r="H64" s="55"/>
    </row>
    <row r="65" spans="1:8" x14ac:dyDescent="0.25">
      <c r="A65" s="105"/>
      <c r="B65" s="109"/>
      <c r="C65" s="64"/>
      <c r="D65" s="64"/>
      <c r="E65" s="65"/>
      <c r="F65" s="65"/>
      <c r="G65" s="65"/>
      <c r="H65" s="55"/>
    </row>
    <row r="66" spans="1:8" x14ac:dyDescent="0.25">
      <c r="A66" s="105"/>
      <c r="B66" s="109"/>
      <c r="C66" s="64"/>
      <c r="D66" s="64"/>
      <c r="E66" s="65"/>
      <c r="F66" s="65"/>
      <c r="G66" s="65"/>
      <c r="H66" s="55"/>
    </row>
    <row r="67" spans="1:8" x14ac:dyDescent="0.25">
      <c r="A67" s="105"/>
      <c r="B67" s="109"/>
      <c r="C67" s="64"/>
      <c r="D67" s="64"/>
      <c r="E67" s="65"/>
      <c r="F67" s="65"/>
      <c r="G67" s="65"/>
      <c r="H67" s="55"/>
    </row>
    <row r="68" spans="1:8" ht="15.75" thickBot="1" x14ac:dyDescent="0.3">
      <c r="A68" s="38" t="s">
        <v>119</v>
      </c>
      <c r="B68" s="57">
        <f>SUM(B45:B67)</f>
        <v>40</v>
      </c>
      <c r="C68" s="57">
        <f t="shared" ref="C68:H68" si="1">SUM(C45:C67)</f>
        <v>40</v>
      </c>
      <c r="D68" s="57">
        <f t="shared" si="1"/>
        <v>40</v>
      </c>
      <c r="E68" s="66">
        <f t="shared" si="1"/>
        <v>40</v>
      </c>
      <c r="F68" s="66">
        <f t="shared" si="1"/>
        <v>40</v>
      </c>
      <c r="G68" s="66">
        <f t="shared" si="1"/>
        <v>40</v>
      </c>
      <c r="H68" s="39">
        <f t="shared" si="1"/>
        <v>40</v>
      </c>
    </row>
    <row r="69" spans="1:8" ht="15.75" thickBot="1" x14ac:dyDescent="0.3"/>
    <row r="70" spans="1:8" ht="15.75" thickBot="1" x14ac:dyDescent="0.3">
      <c r="A70" s="36" t="s">
        <v>142</v>
      </c>
      <c r="B70" s="54" t="s">
        <v>137</v>
      </c>
      <c r="C70" s="37" t="s">
        <v>138</v>
      </c>
      <c r="D70" s="37" t="s">
        <v>158</v>
      </c>
      <c r="E70" s="37" t="s">
        <v>159</v>
      </c>
      <c r="F70" s="37" t="s">
        <v>160</v>
      </c>
      <c r="G70" s="37" t="s">
        <v>139</v>
      </c>
      <c r="H70" s="37" t="s">
        <v>80</v>
      </c>
    </row>
    <row r="71" spans="1:8" ht="15.75" thickBot="1" x14ac:dyDescent="0.3">
      <c r="A71" s="187" t="s">
        <v>83</v>
      </c>
      <c r="B71" s="27" t="s">
        <v>97</v>
      </c>
      <c r="C71" s="27" t="s">
        <v>97</v>
      </c>
      <c r="D71" s="27" t="s">
        <v>97</v>
      </c>
      <c r="E71" s="27" t="s">
        <v>97</v>
      </c>
      <c r="F71" s="27" t="s">
        <v>97</v>
      </c>
      <c r="G71" s="27" t="s">
        <v>97</v>
      </c>
      <c r="H71" s="27" t="s">
        <v>97</v>
      </c>
    </row>
    <row r="72" spans="1:8" x14ac:dyDescent="0.25">
      <c r="A72" s="188"/>
      <c r="B72" s="25">
        <v>0.2</v>
      </c>
      <c r="C72" s="25">
        <v>0.4</v>
      </c>
      <c r="D72" s="25">
        <v>0.2</v>
      </c>
      <c r="E72" s="25">
        <v>0.2</v>
      </c>
      <c r="F72" s="25">
        <v>0.2</v>
      </c>
      <c r="G72" s="25">
        <v>0.2</v>
      </c>
      <c r="H72" s="25">
        <v>0.4</v>
      </c>
    </row>
    <row r="73" spans="1:8" x14ac:dyDescent="0.25">
      <c r="A73" s="188"/>
      <c r="B73" s="25">
        <v>0.1</v>
      </c>
      <c r="C73" s="25">
        <v>0.2</v>
      </c>
      <c r="D73" s="25">
        <v>0.1</v>
      </c>
      <c r="E73" s="25">
        <v>0.1</v>
      </c>
      <c r="F73" s="25">
        <v>0.1</v>
      </c>
      <c r="G73" s="25">
        <v>0.1</v>
      </c>
      <c r="H73" s="25">
        <v>0.2</v>
      </c>
    </row>
    <row r="74" spans="1:8" x14ac:dyDescent="0.25">
      <c r="A74" s="188"/>
      <c r="B74" s="25">
        <v>0.05</v>
      </c>
      <c r="C74" s="25">
        <v>0.1</v>
      </c>
      <c r="D74" s="25">
        <v>0.05</v>
      </c>
      <c r="E74" s="25">
        <v>0.05</v>
      </c>
      <c r="F74" s="25">
        <v>0.05</v>
      </c>
      <c r="G74" s="25">
        <v>0.05</v>
      </c>
      <c r="H74" s="25">
        <v>0.1</v>
      </c>
    </row>
    <row r="75" spans="1:8" ht="15.75" thickBot="1" x14ac:dyDescent="0.3">
      <c r="A75" s="189"/>
      <c r="B75" s="26">
        <v>2.5000000000000001E-2</v>
      </c>
      <c r="C75" s="26">
        <v>0.05</v>
      </c>
      <c r="D75" s="26">
        <v>2.5000000000000001E-2</v>
      </c>
      <c r="E75" s="26">
        <v>2.5000000000000001E-2</v>
      </c>
      <c r="F75" s="26">
        <v>2.5000000000000001E-2</v>
      </c>
      <c r="G75" s="26">
        <v>2.5000000000000001E-2</v>
      </c>
      <c r="H75" s="26">
        <v>0.05</v>
      </c>
    </row>
    <row r="76" spans="1:8" ht="15.75" thickBot="1" x14ac:dyDescent="0.3">
      <c r="A76" s="187" t="s">
        <v>84</v>
      </c>
      <c r="B76" s="27" t="s">
        <v>97</v>
      </c>
      <c r="C76" s="27" t="s">
        <v>97</v>
      </c>
      <c r="D76" s="27" t="s">
        <v>97</v>
      </c>
      <c r="E76" s="27" t="s">
        <v>97</v>
      </c>
      <c r="F76" s="27" t="s">
        <v>97</v>
      </c>
      <c r="G76" s="27" t="s">
        <v>97</v>
      </c>
      <c r="H76" s="27" t="s">
        <v>97</v>
      </c>
    </row>
    <row r="77" spans="1:8" x14ac:dyDescent="0.25">
      <c r="A77" s="188"/>
      <c r="B77" s="25">
        <v>0.8</v>
      </c>
      <c r="C77" s="25">
        <v>1.6</v>
      </c>
      <c r="D77" s="25">
        <v>0.8</v>
      </c>
      <c r="E77" s="25">
        <v>0.8</v>
      </c>
      <c r="F77" s="25">
        <v>0.8</v>
      </c>
      <c r="G77" s="25">
        <v>0.8</v>
      </c>
      <c r="H77" s="25">
        <v>1.6</v>
      </c>
    </row>
    <row r="78" spans="1:8" x14ac:dyDescent="0.25">
      <c r="A78" s="188"/>
      <c r="B78" s="25">
        <v>0.4</v>
      </c>
      <c r="C78" s="25">
        <v>0.8</v>
      </c>
      <c r="D78" s="25">
        <v>0.4</v>
      </c>
      <c r="E78" s="25">
        <v>0.4</v>
      </c>
      <c r="F78" s="25">
        <v>0.4</v>
      </c>
      <c r="G78" s="25">
        <v>0.4</v>
      </c>
      <c r="H78" s="25">
        <v>0.8</v>
      </c>
    </row>
    <row r="79" spans="1:8" x14ac:dyDescent="0.25">
      <c r="A79" s="188"/>
      <c r="B79" s="25">
        <v>0.2</v>
      </c>
      <c r="C79" s="25">
        <v>0.4</v>
      </c>
      <c r="D79" s="25">
        <v>0.2</v>
      </c>
      <c r="E79" s="25">
        <v>0.2</v>
      </c>
      <c r="F79" s="25">
        <v>0.2</v>
      </c>
      <c r="G79" s="25">
        <v>0.2</v>
      </c>
      <c r="H79" s="25">
        <v>0.4</v>
      </c>
    </row>
    <row r="80" spans="1:8" ht="15.75" thickBot="1" x14ac:dyDescent="0.3">
      <c r="A80" s="189"/>
      <c r="B80" s="26">
        <v>0.1</v>
      </c>
      <c r="C80" s="26">
        <v>0.2</v>
      </c>
      <c r="D80" s="26">
        <v>0.1</v>
      </c>
      <c r="E80" s="26">
        <v>0.1</v>
      </c>
      <c r="F80" s="26">
        <v>0.1</v>
      </c>
      <c r="G80" s="26">
        <v>0.1</v>
      </c>
      <c r="H80" s="26">
        <v>0.2</v>
      </c>
    </row>
    <row r="81" spans="1:8" ht="15.75" thickBot="1" x14ac:dyDescent="0.3">
      <c r="A81" s="187" t="s">
        <v>71</v>
      </c>
      <c r="B81" s="27" t="s">
        <v>97</v>
      </c>
      <c r="C81" s="27" t="s">
        <v>97</v>
      </c>
      <c r="D81" s="27" t="s">
        <v>97</v>
      </c>
      <c r="E81" s="27" t="s">
        <v>97</v>
      </c>
      <c r="F81" s="27" t="s">
        <v>97</v>
      </c>
      <c r="G81" s="27" t="s">
        <v>97</v>
      </c>
      <c r="H81" s="27" t="s">
        <v>97</v>
      </c>
    </row>
    <row r="82" spans="1:8" x14ac:dyDescent="0.25">
      <c r="A82" s="188"/>
      <c r="B82" s="25">
        <v>1</v>
      </c>
      <c r="C82" s="25">
        <v>2</v>
      </c>
      <c r="D82" s="25">
        <v>1</v>
      </c>
      <c r="E82" s="25">
        <v>1</v>
      </c>
      <c r="F82" s="25">
        <v>1</v>
      </c>
      <c r="G82" s="25">
        <v>1</v>
      </c>
      <c r="H82" s="25">
        <v>2</v>
      </c>
    </row>
    <row r="83" spans="1:8" x14ac:dyDescent="0.25">
      <c r="A83" s="188"/>
      <c r="B83" s="25">
        <v>0.5</v>
      </c>
      <c r="C83" s="25">
        <v>1</v>
      </c>
      <c r="D83" s="25">
        <v>0.5</v>
      </c>
      <c r="E83" s="25">
        <v>0.5</v>
      </c>
      <c r="F83" s="25">
        <v>0.5</v>
      </c>
      <c r="G83" s="25">
        <v>0.5</v>
      </c>
      <c r="H83" s="25">
        <v>1</v>
      </c>
    </row>
    <row r="84" spans="1:8" x14ac:dyDescent="0.25">
      <c r="A84" s="188"/>
      <c r="B84" s="25">
        <v>0.25</v>
      </c>
      <c r="C84" s="25">
        <v>0.5</v>
      </c>
      <c r="D84" s="25">
        <v>0.25</v>
      </c>
      <c r="E84" s="25">
        <v>0.25</v>
      </c>
      <c r="F84" s="25">
        <v>0.25</v>
      </c>
      <c r="G84" s="25">
        <v>0.25</v>
      </c>
      <c r="H84" s="25">
        <v>0.5</v>
      </c>
    </row>
    <row r="85" spans="1:8" ht="15.75" thickBot="1" x14ac:dyDescent="0.3">
      <c r="A85" s="189"/>
      <c r="B85" s="26">
        <v>0.125</v>
      </c>
      <c r="C85" s="26">
        <v>0.25</v>
      </c>
      <c r="D85" s="26">
        <v>0.125</v>
      </c>
      <c r="E85" s="26">
        <v>0.125</v>
      </c>
      <c r="F85" s="26">
        <v>0.125</v>
      </c>
      <c r="G85" s="26">
        <v>0.125</v>
      </c>
      <c r="H85" s="26">
        <v>0.25</v>
      </c>
    </row>
    <row r="86" spans="1:8" ht="15.75" thickBot="1" x14ac:dyDescent="0.3">
      <c r="A86" s="187" t="s">
        <v>72</v>
      </c>
      <c r="B86" s="27" t="s">
        <v>97</v>
      </c>
      <c r="C86" s="27" t="s">
        <v>97</v>
      </c>
      <c r="D86" s="27" t="s">
        <v>97</v>
      </c>
      <c r="E86" s="27" t="s">
        <v>97</v>
      </c>
      <c r="F86" s="27" t="s">
        <v>97</v>
      </c>
      <c r="G86" s="27" t="s">
        <v>97</v>
      </c>
      <c r="H86" s="27" t="s">
        <v>97</v>
      </c>
    </row>
    <row r="87" spans="1:8" x14ac:dyDescent="0.25">
      <c r="A87" s="188"/>
      <c r="B87" s="25">
        <v>50</v>
      </c>
      <c r="C87" s="25">
        <v>50</v>
      </c>
      <c r="D87" s="25">
        <v>50</v>
      </c>
      <c r="E87" s="25">
        <v>50</v>
      </c>
      <c r="F87" s="25">
        <v>50</v>
      </c>
      <c r="G87" s="25">
        <v>50</v>
      </c>
      <c r="H87" s="25">
        <v>50</v>
      </c>
    </row>
    <row r="88" spans="1:8" x14ac:dyDescent="0.25">
      <c r="A88" s="188"/>
      <c r="B88" s="25">
        <v>15</v>
      </c>
      <c r="C88" s="25">
        <v>15</v>
      </c>
      <c r="D88" s="25">
        <v>15</v>
      </c>
      <c r="E88" s="25">
        <v>15</v>
      </c>
      <c r="F88" s="25">
        <v>15</v>
      </c>
      <c r="G88" s="25">
        <v>15</v>
      </c>
      <c r="H88" s="25">
        <v>15</v>
      </c>
    </row>
    <row r="89" spans="1:8" x14ac:dyDescent="0.25">
      <c r="A89" s="188"/>
      <c r="B89" s="25">
        <v>5</v>
      </c>
      <c r="C89" s="25">
        <v>5</v>
      </c>
      <c r="D89" s="25">
        <v>5</v>
      </c>
      <c r="E89" s="25">
        <v>5</v>
      </c>
      <c r="F89" s="25">
        <v>5</v>
      </c>
      <c r="G89" s="25">
        <v>5</v>
      </c>
      <c r="H89" s="25">
        <v>5</v>
      </c>
    </row>
    <row r="90" spans="1:8" ht="15.75" thickBot="1" x14ac:dyDescent="0.3">
      <c r="A90" s="189"/>
      <c r="B90" s="26">
        <v>2</v>
      </c>
      <c r="C90" s="26">
        <v>2</v>
      </c>
      <c r="D90" s="26">
        <v>2</v>
      </c>
      <c r="E90" s="26">
        <v>2</v>
      </c>
      <c r="F90" s="26">
        <v>2</v>
      </c>
      <c r="G90" s="26">
        <v>2</v>
      </c>
      <c r="H90" s="26">
        <v>2</v>
      </c>
    </row>
    <row r="91" spans="1:8" ht="15.75" thickBot="1" x14ac:dyDescent="0.3">
      <c r="A91" s="187" t="s">
        <v>86</v>
      </c>
      <c r="B91" s="27" t="s">
        <v>97</v>
      </c>
      <c r="C91" s="27" t="s">
        <v>97</v>
      </c>
      <c r="D91" s="27" t="s">
        <v>97</v>
      </c>
      <c r="E91" s="27" t="s">
        <v>97</v>
      </c>
      <c r="F91" s="27" t="s">
        <v>97</v>
      </c>
      <c r="G91" s="27" t="s">
        <v>97</v>
      </c>
      <c r="H91" s="27" t="s">
        <v>97</v>
      </c>
    </row>
    <row r="92" spans="1:8" x14ac:dyDescent="0.25">
      <c r="A92" s="188"/>
      <c r="B92" s="25">
        <v>20</v>
      </c>
      <c r="C92" s="25">
        <v>20</v>
      </c>
      <c r="D92" s="25">
        <v>20</v>
      </c>
      <c r="E92" s="25">
        <v>20</v>
      </c>
      <c r="F92" s="25">
        <v>20</v>
      </c>
      <c r="G92" s="25">
        <v>20</v>
      </c>
      <c r="H92" s="25">
        <v>20</v>
      </c>
    </row>
    <row r="93" spans="1:8" x14ac:dyDescent="0.25">
      <c r="A93" s="188"/>
      <c r="B93" s="25">
        <v>10</v>
      </c>
      <c r="C93" s="25">
        <v>10</v>
      </c>
      <c r="D93" s="25">
        <v>10</v>
      </c>
      <c r="E93" s="25">
        <v>10</v>
      </c>
      <c r="F93" s="25">
        <v>10</v>
      </c>
      <c r="G93" s="25">
        <v>10</v>
      </c>
      <c r="H93" s="25">
        <v>10</v>
      </c>
    </row>
    <row r="94" spans="1:8" x14ac:dyDescent="0.25">
      <c r="A94" s="188"/>
      <c r="B94" s="25">
        <v>5</v>
      </c>
      <c r="C94" s="25">
        <v>5</v>
      </c>
      <c r="D94" s="25">
        <v>5</v>
      </c>
      <c r="E94" s="25">
        <v>5</v>
      </c>
      <c r="F94" s="25">
        <v>5</v>
      </c>
      <c r="G94" s="25">
        <v>5</v>
      </c>
      <c r="H94" s="25">
        <v>5</v>
      </c>
    </row>
    <row r="95" spans="1:8" ht="15.75" thickBot="1" x14ac:dyDescent="0.3">
      <c r="A95" s="189"/>
      <c r="B95" s="26">
        <v>2</v>
      </c>
      <c r="C95" s="26">
        <v>2</v>
      </c>
      <c r="D95" s="26">
        <v>2</v>
      </c>
      <c r="E95" s="26">
        <v>2</v>
      </c>
      <c r="F95" s="26">
        <v>2</v>
      </c>
      <c r="G95" s="26">
        <v>2</v>
      </c>
      <c r="H95" s="26">
        <v>2</v>
      </c>
    </row>
    <row r="96" spans="1:8" ht="15.75" thickBot="1" x14ac:dyDescent="0.3">
      <c r="A96" s="187" t="s">
        <v>87</v>
      </c>
      <c r="B96" s="27" t="s">
        <v>97</v>
      </c>
      <c r="C96" s="27" t="s">
        <v>97</v>
      </c>
      <c r="D96" s="27" t="s">
        <v>97</v>
      </c>
      <c r="E96" s="27" t="s">
        <v>97</v>
      </c>
      <c r="F96" s="27" t="s">
        <v>97</v>
      </c>
      <c r="G96" s="27" t="s">
        <v>97</v>
      </c>
      <c r="H96" s="27" t="s">
        <v>97</v>
      </c>
    </row>
    <row r="97" spans="1:8" x14ac:dyDescent="0.25">
      <c r="A97" s="188"/>
      <c r="B97" s="25">
        <v>20</v>
      </c>
      <c r="C97" s="25">
        <v>20</v>
      </c>
      <c r="D97" s="25">
        <v>20</v>
      </c>
      <c r="E97" s="25">
        <v>20</v>
      </c>
      <c r="F97" s="25">
        <v>20</v>
      </c>
      <c r="G97" s="25">
        <v>20</v>
      </c>
      <c r="H97" s="25">
        <v>20</v>
      </c>
    </row>
    <row r="98" spans="1:8" x14ac:dyDescent="0.25">
      <c r="A98" s="188"/>
      <c r="B98" s="25">
        <v>10</v>
      </c>
      <c r="C98" s="25">
        <v>10</v>
      </c>
      <c r="D98" s="25">
        <v>10</v>
      </c>
      <c r="E98" s="25">
        <v>10</v>
      </c>
      <c r="F98" s="25">
        <v>10</v>
      </c>
      <c r="G98" s="25">
        <v>10</v>
      </c>
      <c r="H98" s="25">
        <v>10</v>
      </c>
    </row>
    <row r="99" spans="1:8" x14ac:dyDescent="0.25">
      <c r="A99" s="188"/>
      <c r="B99" s="25">
        <v>5</v>
      </c>
      <c r="C99" s="25">
        <v>5</v>
      </c>
      <c r="D99" s="25">
        <v>5</v>
      </c>
      <c r="E99" s="25">
        <v>5</v>
      </c>
      <c r="F99" s="25">
        <v>5</v>
      </c>
      <c r="G99" s="25">
        <v>5</v>
      </c>
      <c r="H99" s="25">
        <v>5</v>
      </c>
    </row>
    <row r="100" spans="1:8" ht="15.75" thickBot="1" x14ac:dyDescent="0.3">
      <c r="A100" s="189"/>
      <c r="B100" s="26">
        <v>2</v>
      </c>
      <c r="C100" s="26">
        <v>2</v>
      </c>
      <c r="D100" s="26">
        <v>2</v>
      </c>
      <c r="E100" s="26">
        <v>2</v>
      </c>
      <c r="F100" s="26">
        <v>2</v>
      </c>
      <c r="G100" s="26">
        <v>2</v>
      </c>
      <c r="H100" s="26">
        <v>2</v>
      </c>
    </row>
    <row r="101" spans="1:8" ht="15.75" thickBot="1" x14ac:dyDescent="0.3">
      <c r="A101" s="187" t="s">
        <v>73</v>
      </c>
      <c r="B101" s="27" t="s">
        <v>97</v>
      </c>
      <c r="C101" s="27" t="s">
        <v>97</v>
      </c>
      <c r="D101" s="27" t="s">
        <v>97</v>
      </c>
      <c r="E101" s="27" t="s">
        <v>97</v>
      </c>
      <c r="F101" s="27" t="s">
        <v>97</v>
      </c>
      <c r="G101" s="27" t="s">
        <v>97</v>
      </c>
      <c r="H101" s="27" t="s">
        <v>97</v>
      </c>
    </row>
    <row r="102" spans="1:8" x14ac:dyDescent="0.25">
      <c r="A102" s="188"/>
      <c r="B102" s="25">
        <v>1</v>
      </c>
      <c r="C102" s="25">
        <v>10</v>
      </c>
      <c r="D102" s="25">
        <v>1</v>
      </c>
      <c r="E102" s="25">
        <v>1</v>
      </c>
      <c r="F102" s="25">
        <v>1</v>
      </c>
      <c r="G102" s="25">
        <v>1</v>
      </c>
      <c r="H102" s="25">
        <v>10</v>
      </c>
    </row>
    <row r="103" spans="1:8" x14ac:dyDescent="0.25">
      <c r="A103" s="188"/>
      <c r="B103" s="25">
        <v>0.7</v>
      </c>
      <c r="C103" s="25">
        <v>5</v>
      </c>
      <c r="D103" s="25">
        <v>0.7</v>
      </c>
      <c r="E103" s="25">
        <v>0.7</v>
      </c>
      <c r="F103" s="25">
        <v>0.7</v>
      </c>
      <c r="G103" s="25">
        <v>0.7</v>
      </c>
      <c r="H103" s="25">
        <v>5</v>
      </c>
    </row>
    <row r="104" spans="1:8" x14ac:dyDescent="0.25">
      <c r="A104" s="188"/>
      <c r="B104" s="25">
        <v>0.5</v>
      </c>
      <c r="C104" s="25">
        <v>2</v>
      </c>
      <c r="D104" s="25">
        <v>0.5</v>
      </c>
      <c r="E104" s="25">
        <v>0.5</v>
      </c>
      <c r="F104" s="25">
        <v>0.5</v>
      </c>
      <c r="G104" s="25">
        <v>0.5</v>
      </c>
      <c r="H104" s="25">
        <v>2</v>
      </c>
    </row>
    <row r="105" spans="1:8" ht="15.75" thickBot="1" x14ac:dyDescent="0.3">
      <c r="A105" s="189"/>
      <c r="B105" s="26">
        <v>0.35</v>
      </c>
      <c r="C105" s="26">
        <v>1</v>
      </c>
      <c r="D105" s="26">
        <v>0.35</v>
      </c>
      <c r="E105" s="26">
        <v>0.35</v>
      </c>
      <c r="F105" s="26">
        <v>0.35</v>
      </c>
      <c r="G105" s="26">
        <v>0.35</v>
      </c>
      <c r="H105" s="26">
        <v>1</v>
      </c>
    </row>
    <row r="106" spans="1:8" ht="15.75" thickBot="1" x14ac:dyDescent="0.3">
      <c r="A106" s="187" t="s">
        <v>88</v>
      </c>
      <c r="B106" s="27" t="s">
        <v>97</v>
      </c>
      <c r="C106" s="27" t="s">
        <v>97</v>
      </c>
      <c r="D106" s="27" t="s">
        <v>97</v>
      </c>
      <c r="E106" s="27" t="s">
        <v>97</v>
      </c>
      <c r="F106" s="27" t="s">
        <v>97</v>
      </c>
      <c r="G106" s="27" t="s">
        <v>97</v>
      </c>
      <c r="H106" s="27" t="s">
        <v>97</v>
      </c>
    </row>
    <row r="107" spans="1:8" x14ac:dyDescent="0.25">
      <c r="A107" s="188"/>
      <c r="B107" s="25">
        <v>20</v>
      </c>
      <c r="C107" s="25">
        <v>20</v>
      </c>
      <c r="D107" s="25">
        <v>20</v>
      </c>
      <c r="E107" s="25">
        <v>20</v>
      </c>
      <c r="F107" s="25">
        <v>20</v>
      </c>
      <c r="G107" s="25">
        <v>20</v>
      </c>
      <c r="H107" s="25">
        <v>20</v>
      </c>
    </row>
    <row r="108" spans="1:8" x14ac:dyDescent="0.25">
      <c r="A108" s="188"/>
      <c r="B108" s="25">
        <v>10</v>
      </c>
      <c r="C108" s="25">
        <v>10</v>
      </c>
      <c r="D108" s="25">
        <v>10</v>
      </c>
      <c r="E108" s="25">
        <v>10</v>
      </c>
      <c r="F108" s="25">
        <v>10</v>
      </c>
      <c r="G108" s="25">
        <v>10</v>
      </c>
      <c r="H108" s="25">
        <v>10</v>
      </c>
    </row>
    <row r="109" spans="1:8" x14ac:dyDescent="0.25">
      <c r="A109" s="188"/>
      <c r="B109" s="25">
        <v>5</v>
      </c>
      <c r="C109" s="25">
        <v>5</v>
      </c>
      <c r="D109" s="25">
        <v>5</v>
      </c>
      <c r="E109" s="25">
        <v>5</v>
      </c>
      <c r="F109" s="25">
        <v>5</v>
      </c>
      <c r="G109" s="25">
        <v>5</v>
      </c>
      <c r="H109" s="25">
        <v>5</v>
      </c>
    </row>
    <row r="110" spans="1:8" ht="15.75" thickBot="1" x14ac:dyDescent="0.3">
      <c r="A110" s="189"/>
      <c r="B110" s="26">
        <v>2</v>
      </c>
      <c r="C110" s="26">
        <v>2</v>
      </c>
      <c r="D110" s="26">
        <v>2</v>
      </c>
      <c r="E110" s="26">
        <v>2</v>
      </c>
      <c r="F110" s="26">
        <v>2</v>
      </c>
      <c r="G110" s="26">
        <v>2</v>
      </c>
      <c r="H110" s="26">
        <v>2</v>
      </c>
    </row>
    <row r="111" spans="1:8" ht="15.75" thickBot="1" x14ac:dyDescent="0.3">
      <c r="A111" s="187" t="s">
        <v>89</v>
      </c>
      <c r="B111" s="27" t="s">
        <v>97</v>
      </c>
      <c r="C111" s="27" t="s">
        <v>97</v>
      </c>
      <c r="D111" s="27" t="s">
        <v>97</v>
      </c>
      <c r="E111" s="27" t="s">
        <v>97</v>
      </c>
      <c r="F111" s="27" t="s">
        <v>97</v>
      </c>
      <c r="G111" s="27" t="s">
        <v>97</v>
      </c>
      <c r="H111" s="27" t="s">
        <v>97</v>
      </c>
    </row>
    <row r="112" spans="1:8" x14ac:dyDescent="0.25">
      <c r="A112" s="188"/>
      <c r="B112" s="25">
        <v>10</v>
      </c>
      <c r="C112" s="25">
        <v>10</v>
      </c>
      <c r="D112" s="25">
        <v>10</v>
      </c>
      <c r="E112" s="25">
        <v>10</v>
      </c>
      <c r="F112" s="25">
        <v>10</v>
      </c>
      <c r="G112" s="25">
        <v>10</v>
      </c>
      <c r="H112" s="25">
        <v>10</v>
      </c>
    </row>
    <row r="113" spans="1:8" x14ac:dyDescent="0.25">
      <c r="A113" s="188"/>
      <c r="B113" s="25">
        <v>5</v>
      </c>
      <c r="C113" s="25">
        <v>5</v>
      </c>
      <c r="D113" s="25">
        <v>5</v>
      </c>
      <c r="E113" s="25">
        <v>5</v>
      </c>
      <c r="F113" s="25">
        <v>5</v>
      </c>
      <c r="G113" s="25">
        <v>5</v>
      </c>
      <c r="H113" s="25">
        <v>5</v>
      </c>
    </row>
    <row r="114" spans="1:8" x14ac:dyDescent="0.25">
      <c r="A114" s="188"/>
      <c r="B114" s="25">
        <v>2</v>
      </c>
      <c r="C114" s="25">
        <v>2</v>
      </c>
      <c r="D114" s="25">
        <v>2</v>
      </c>
      <c r="E114" s="25">
        <v>2</v>
      </c>
      <c r="F114" s="25">
        <v>2</v>
      </c>
      <c r="G114" s="25">
        <v>2</v>
      </c>
      <c r="H114" s="25">
        <v>2</v>
      </c>
    </row>
    <row r="115" spans="1:8" ht="15.75" thickBot="1" x14ac:dyDescent="0.3">
      <c r="A115" s="189"/>
      <c r="B115" s="26">
        <v>1</v>
      </c>
      <c r="C115" s="26">
        <v>1</v>
      </c>
      <c r="D115" s="26">
        <v>1</v>
      </c>
      <c r="E115" s="26">
        <v>1</v>
      </c>
      <c r="F115" s="26">
        <v>1</v>
      </c>
      <c r="G115" s="26">
        <v>1</v>
      </c>
      <c r="H115" s="26">
        <v>1</v>
      </c>
    </row>
    <row r="116" spans="1:8" ht="15.75" thickBot="1" x14ac:dyDescent="0.3">
      <c r="A116" s="187" t="s">
        <v>90</v>
      </c>
      <c r="B116" s="27" t="s">
        <v>97</v>
      </c>
      <c r="C116" s="27" t="s">
        <v>97</v>
      </c>
      <c r="D116" s="27" t="s">
        <v>97</v>
      </c>
      <c r="E116" s="27" t="s">
        <v>97</v>
      </c>
      <c r="F116" s="27" t="s">
        <v>97</v>
      </c>
      <c r="G116" s="27" t="s">
        <v>97</v>
      </c>
      <c r="H116" s="27" t="s">
        <v>97</v>
      </c>
    </row>
    <row r="117" spans="1:8" x14ac:dyDescent="0.25">
      <c r="A117" s="188"/>
      <c r="B117" s="25">
        <v>10</v>
      </c>
      <c r="C117" s="25">
        <v>10</v>
      </c>
      <c r="D117" s="25">
        <v>10</v>
      </c>
      <c r="E117" s="25">
        <v>10</v>
      </c>
      <c r="F117" s="25">
        <v>10</v>
      </c>
      <c r="G117" s="25">
        <v>10</v>
      </c>
      <c r="H117" s="25">
        <v>10</v>
      </c>
    </row>
    <row r="118" spans="1:8" x14ac:dyDescent="0.25">
      <c r="A118" s="188"/>
      <c r="B118" s="25">
        <v>5</v>
      </c>
      <c r="C118" s="25">
        <v>5</v>
      </c>
      <c r="D118" s="25">
        <v>5</v>
      </c>
      <c r="E118" s="25">
        <v>5</v>
      </c>
      <c r="F118" s="25">
        <v>5</v>
      </c>
      <c r="G118" s="25">
        <v>5</v>
      </c>
      <c r="H118" s="25">
        <v>5</v>
      </c>
    </row>
    <row r="119" spans="1:8" x14ac:dyDescent="0.25">
      <c r="A119" s="188"/>
      <c r="B119" s="25">
        <v>2</v>
      </c>
      <c r="C119" s="25">
        <v>2</v>
      </c>
      <c r="D119" s="25">
        <v>2</v>
      </c>
      <c r="E119" s="25">
        <v>2</v>
      </c>
      <c r="F119" s="25">
        <v>2</v>
      </c>
      <c r="G119" s="25">
        <v>2</v>
      </c>
      <c r="H119" s="25">
        <v>2</v>
      </c>
    </row>
    <row r="120" spans="1:8" ht="15.75" thickBot="1" x14ac:dyDescent="0.3">
      <c r="A120" s="189"/>
      <c r="B120" s="26">
        <v>1</v>
      </c>
      <c r="C120" s="26">
        <v>1</v>
      </c>
      <c r="D120" s="26">
        <v>1</v>
      </c>
      <c r="E120" s="26">
        <v>1</v>
      </c>
      <c r="F120" s="26">
        <v>1</v>
      </c>
      <c r="G120" s="26">
        <v>1</v>
      </c>
      <c r="H120" s="26">
        <v>1</v>
      </c>
    </row>
    <row r="121" spans="1:8" ht="15.75" thickBot="1" x14ac:dyDescent="0.3">
      <c r="A121" s="187" t="s">
        <v>74</v>
      </c>
      <c r="B121" s="27" t="s">
        <v>97</v>
      </c>
      <c r="C121" s="27" t="s">
        <v>97</v>
      </c>
      <c r="D121" s="27" t="s">
        <v>97</v>
      </c>
      <c r="E121" s="27" t="s">
        <v>97</v>
      </c>
      <c r="F121" s="27" t="s">
        <v>97</v>
      </c>
      <c r="G121" s="27" t="s">
        <v>97</v>
      </c>
      <c r="H121" s="27" t="s">
        <v>97</v>
      </c>
    </row>
    <row r="122" spans="1:8" x14ac:dyDescent="0.25">
      <c r="A122" s="188"/>
      <c r="B122" s="25">
        <v>1</v>
      </c>
      <c r="C122" s="25">
        <v>1</v>
      </c>
      <c r="D122" s="25">
        <v>1</v>
      </c>
      <c r="E122" s="25">
        <v>1</v>
      </c>
      <c r="F122" s="25">
        <v>1</v>
      </c>
      <c r="G122" s="25">
        <v>1</v>
      </c>
      <c r="H122" s="25">
        <v>1</v>
      </c>
    </row>
    <row r="123" spans="1:8" x14ac:dyDescent="0.25">
      <c r="A123" s="188"/>
      <c r="B123" s="25">
        <v>0.1</v>
      </c>
      <c r="C123" s="25">
        <v>0.1</v>
      </c>
      <c r="D123" s="25">
        <v>0.1</v>
      </c>
      <c r="E123" s="25">
        <v>0.1</v>
      </c>
      <c r="F123" s="25">
        <v>0.1</v>
      </c>
      <c r="G123" s="25">
        <v>0.1</v>
      </c>
      <c r="H123" s="25">
        <v>0.1</v>
      </c>
    </row>
    <row r="124" spans="1:8" x14ac:dyDescent="0.25">
      <c r="A124" s="188"/>
      <c r="B124" s="25">
        <v>0.01</v>
      </c>
      <c r="C124" s="25">
        <v>0.01</v>
      </c>
      <c r="D124" s="25">
        <v>0.01</v>
      </c>
      <c r="E124" s="25">
        <v>0.01</v>
      </c>
      <c r="F124" s="25">
        <v>0.01</v>
      </c>
      <c r="G124" s="25">
        <v>0.01</v>
      </c>
      <c r="H124" s="25">
        <v>0.01</v>
      </c>
    </row>
    <row r="125" spans="1:8" ht="15.75" thickBot="1" x14ac:dyDescent="0.3">
      <c r="A125" s="189"/>
      <c r="B125" s="26">
        <v>1E-3</v>
      </c>
      <c r="C125" s="26">
        <v>1E-3</v>
      </c>
      <c r="D125" s="26">
        <v>1E-3</v>
      </c>
      <c r="E125" s="26">
        <v>1E-3</v>
      </c>
      <c r="F125" s="26">
        <v>1E-3</v>
      </c>
      <c r="G125" s="26">
        <v>1E-3</v>
      </c>
      <c r="H125" s="26">
        <v>1E-3</v>
      </c>
    </row>
    <row r="126" spans="1:8" ht="15.75" thickBot="1" x14ac:dyDescent="0.3">
      <c r="A126" s="187" t="s">
        <v>91</v>
      </c>
      <c r="B126" s="27" t="s">
        <v>97</v>
      </c>
      <c r="C126" s="27" t="s">
        <v>97</v>
      </c>
      <c r="D126" s="27" t="s">
        <v>97</v>
      </c>
      <c r="E126" s="27" t="s">
        <v>97</v>
      </c>
      <c r="F126" s="27" t="s">
        <v>97</v>
      </c>
      <c r="G126" s="27" t="s">
        <v>97</v>
      </c>
      <c r="H126" s="27" t="s">
        <v>97</v>
      </c>
    </row>
    <row r="127" spans="1:8" x14ac:dyDescent="0.25">
      <c r="A127" s="188"/>
      <c r="B127" s="25">
        <v>0.5</v>
      </c>
      <c r="C127" s="25">
        <v>0.5</v>
      </c>
      <c r="D127" s="25">
        <v>0.5</v>
      </c>
      <c r="E127" s="25">
        <v>0.5</v>
      </c>
      <c r="F127" s="25">
        <v>0.5</v>
      </c>
      <c r="G127" s="25">
        <v>0.5</v>
      </c>
      <c r="H127" s="25">
        <v>0.5</v>
      </c>
    </row>
    <row r="128" spans="1:8" x14ac:dyDescent="0.25">
      <c r="A128" s="188"/>
      <c r="B128" s="25">
        <v>0.2</v>
      </c>
      <c r="C128" s="25">
        <v>0.2</v>
      </c>
      <c r="D128" s="25">
        <v>0.2</v>
      </c>
      <c r="E128" s="25">
        <v>0.2</v>
      </c>
      <c r="F128" s="25">
        <v>0.2</v>
      </c>
      <c r="G128" s="25">
        <v>0.2</v>
      </c>
      <c r="H128" s="25">
        <v>0.2</v>
      </c>
    </row>
    <row r="129" spans="1:8" x14ac:dyDescent="0.25">
      <c r="A129" s="188"/>
      <c r="B129" s="25">
        <v>0.1</v>
      </c>
      <c r="C129" s="25">
        <v>0.1</v>
      </c>
      <c r="D129" s="25">
        <v>0.1</v>
      </c>
      <c r="E129" s="25">
        <v>0.1</v>
      </c>
      <c r="F129" s="25">
        <v>0.1</v>
      </c>
      <c r="G129" s="25">
        <v>0.1</v>
      </c>
      <c r="H129" s="25">
        <v>0.1</v>
      </c>
    </row>
    <row r="130" spans="1:8" ht="15.75" thickBot="1" x14ac:dyDescent="0.3">
      <c r="A130" s="189"/>
      <c r="B130" s="26">
        <v>0.05</v>
      </c>
      <c r="C130" s="26">
        <v>0.05</v>
      </c>
      <c r="D130" s="26">
        <v>0.05</v>
      </c>
      <c r="E130" s="26">
        <v>0.05</v>
      </c>
      <c r="F130" s="26">
        <v>0.05</v>
      </c>
      <c r="G130" s="26">
        <v>0.05</v>
      </c>
      <c r="H130" s="26">
        <v>0.05</v>
      </c>
    </row>
    <row r="131" spans="1:8" ht="15.75" thickBot="1" x14ac:dyDescent="0.3">
      <c r="A131" s="187" t="s">
        <v>92</v>
      </c>
      <c r="B131" s="27" t="s">
        <v>97</v>
      </c>
      <c r="C131" s="27" t="s">
        <v>97</v>
      </c>
      <c r="D131" s="27" t="s">
        <v>97</v>
      </c>
      <c r="E131" s="27" t="s">
        <v>97</v>
      </c>
      <c r="F131" s="27" t="s">
        <v>97</v>
      </c>
      <c r="G131" s="27" t="s">
        <v>97</v>
      </c>
      <c r="H131" s="27" t="s">
        <v>97</v>
      </c>
    </row>
    <row r="132" spans="1:8" x14ac:dyDescent="0.25">
      <c r="A132" s="188"/>
      <c r="B132" s="25">
        <v>0.2</v>
      </c>
      <c r="C132" s="25">
        <v>0.04</v>
      </c>
      <c r="D132" s="25">
        <v>0.2</v>
      </c>
      <c r="E132" s="25">
        <v>0.2</v>
      </c>
      <c r="F132" s="25">
        <v>0.2</v>
      </c>
      <c r="G132" s="25">
        <v>0.2</v>
      </c>
      <c r="H132" s="25">
        <v>0.2</v>
      </c>
    </row>
    <row r="133" spans="1:8" x14ac:dyDescent="0.25">
      <c r="A133" s="188"/>
      <c r="B133" s="25">
        <v>0.1</v>
      </c>
      <c r="C133" s="25">
        <v>0.02</v>
      </c>
      <c r="D133" s="25">
        <v>0.1</v>
      </c>
      <c r="E133" s="25">
        <v>0.1</v>
      </c>
      <c r="F133" s="25">
        <v>0.1</v>
      </c>
      <c r="G133" s="25">
        <v>0.1</v>
      </c>
      <c r="H133" s="25">
        <v>0.1</v>
      </c>
    </row>
    <row r="134" spans="1:8" x14ac:dyDescent="0.25">
      <c r="A134" s="188"/>
      <c r="B134" s="25">
        <v>0.05</v>
      </c>
      <c r="C134" s="25">
        <v>0.01</v>
      </c>
      <c r="D134" s="25">
        <v>0.05</v>
      </c>
      <c r="E134" s="25">
        <v>0.05</v>
      </c>
      <c r="F134" s="25">
        <v>0.05</v>
      </c>
      <c r="G134" s="25">
        <v>0.05</v>
      </c>
      <c r="H134" s="25">
        <v>0.05</v>
      </c>
    </row>
    <row r="135" spans="1:8" ht="15.75" thickBot="1" x14ac:dyDescent="0.3">
      <c r="A135" s="189"/>
      <c r="B135" s="26">
        <v>2.5000000000000001E-2</v>
      </c>
      <c r="C135" s="26">
        <v>5.0000000000000001E-3</v>
      </c>
      <c r="D135" s="26">
        <v>2.5000000000000001E-2</v>
      </c>
      <c r="E135" s="26">
        <v>2.5000000000000001E-2</v>
      </c>
      <c r="F135" s="26">
        <v>2.5000000000000001E-2</v>
      </c>
      <c r="G135" s="26">
        <v>2.5000000000000001E-2</v>
      </c>
      <c r="H135" s="26">
        <v>2.5000000000000001E-2</v>
      </c>
    </row>
    <row r="136" spans="1:8" ht="15.75" thickBot="1" x14ac:dyDescent="0.3">
      <c r="A136" s="187" t="s">
        <v>149</v>
      </c>
      <c r="B136" s="27" t="s">
        <v>97</v>
      </c>
      <c r="C136" s="27" t="s">
        <v>97</v>
      </c>
      <c r="D136" s="27" t="s">
        <v>97</v>
      </c>
      <c r="E136" s="27" t="s">
        <v>97</v>
      </c>
      <c r="F136" s="27" t="s">
        <v>97</v>
      </c>
      <c r="G136" s="27" t="s">
        <v>97</v>
      </c>
      <c r="H136" s="27" t="s">
        <v>97</v>
      </c>
    </row>
    <row r="137" spans="1:8" x14ac:dyDescent="0.25">
      <c r="A137" s="188"/>
      <c r="B137" s="25">
        <v>0.1</v>
      </c>
      <c r="C137" s="25">
        <v>0.1</v>
      </c>
      <c r="D137" s="25">
        <v>0.1</v>
      </c>
      <c r="E137" s="25">
        <v>0.1</v>
      </c>
      <c r="F137" s="25">
        <v>0.1</v>
      </c>
      <c r="G137" s="25">
        <v>0.1</v>
      </c>
      <c r="H137" s="25">
        <v>0.1</v>
      </c>
    </row>
    <row r="138" spans="1:8" x14ac:dyDescent="0.25">
      <c r="A138" s="188"/>
      <c r="B138" s="25">
        <v>0.04</v>
      </c>
      <c r="C138" s="25">
        <v>0.05</v>
      </c>
      <c r="D138" s="25">
        <v>0.04</v>
      </c>
      <c r="E138" s="25">
        <v>0.04</v>
      </c>
      <c r="F138" s="25">
        <v>0.04</v>
      </c>
      <c r="G138" s="25">
        <v>0.04</v>
      </c>
      <c r="H138" s="25">
        <v>0.05</v>
      </c>
    </row>
    <row r="139" spans="1:8" x14ac:dyDescent="0.25">
      <c r="A139" s="188"/>
      <c r="B139" s="25">
        <v>0.01</v>
      </c>
      <c r="C139" s="25">
        <v>2.5000000000000001E-2</v>
      </c>
      <c r="D139" s="25">
        <v>0.01</v>
      </c>
      <c r="E139" s="25">
        <v>0.01</v>
      </c>
      <c r="F139" s="25">
        <v>0.01</v>
      </c>
      <c r="G139" s="25">
        <v>0.01</v>
      </c>
      <c r="H139" s="25">
        <v>2.5000000000000001E-2</v>
      </c>
    </row>
    <row r="140" spans="1:8" ht="15.75" thickBot="1" x14ac:dyDescent="0.3">
      <c r="A140" s="189"/>
      <c r="B140" s="26">
        <v>0</v>
      </c>
      <c r="C140" s="26">
        <v>1.2500000000000001E-2</v>
      </c>
      <c r="D140" s="26">
        <v>0</v>
      </c>
      <c r="E140" s="26">
        <v>0</v>
      </c>
      <c r="F140" s="26">
        <v>0</v>
      </c>
      <c r="G140" s="26">
        <v>0</v>
      </c>
      <c r="H140" s="26">
        <v>1.2500000000000001E-2</v>
      </c>
    </row>
    <row r="141" spans="1:8" ht="15.75" thickBot="1" x14ac:dyDescent="0.3">
      <c r="A141" s="187" t="s">
        <v>93</v>
      </c>
      <c r="B141" s="27" t="s">
        <v>97</v>
      </c>
      <c r="C141" s="27" t="s">
        <v>97</v>
      </c>
      <c r="D141" s="27" t="s">
        <v>97</v>
      </c>
      <c r="E141" s="27" t="s">
        <v>97</v>
      </c>
      <c r="F141" s="27" t="s">
        <v>97</v>
      </c>
      <c r="G141" s="27" t="s">
        <v>97</v>
      </c>
      <c r="H141" s="27" t="s">
        <v>97</v>
      </c>
    </row>
    <row r="142" spans="1:8" x14ac:dyDescent="0.25">
      <c r="A142" s="188"/>
      <c r="B142" s="25">
        <v>1</v>
      </c>
      <c r="C142" s="25">
        <v>1</v>
      </c>
      <c r="D142" s="25">
        <v>1</v>
      </c>
      <c r="E142" s="25">
        <v>1</v>
      </c>
      <c r="F142" s="25">
        <v>1</v>
      </c>
      <c r="G142" s="25">
        <v>1</v>
      </c>
      <c r="H142" s="25">
        <v>1</v>
      </c>
    </row>
    <row r="143" spans="1:8" x14ac:dyDescent="0.25">
      <c r="A143" s="188"/>
      <c r="B143" s="25">
        <v>0.1</v>
      </c>
      <c r="C143" s="25">
        <v>0.1</v>
      </c>
      <c r="D143" s="25">
        <v>0.1</v>
      </c>
      <c r="E143" s="25">
        <v>0.1</v>
      </c>
      <c r="F143" s="25">
        <v>0.1</v>
      </c>
      <c r="G143" s="25">
        <v>0.1</v>
      </c>
      <c r="H143" s="25">
        <v>0.1</v>
      </c>
    </row>
    <row r="144" spans="1:8" x14ac:dyDescent="0.25">
      <c r="A144" s="188"/>
      <c r="B144" s="25">
        <v>0.01</v>
      </c>
      <c r="C144" s="25">
        <v>0.01</v>
      </c>
      <c r="D144" s="25">
        <v>0.01</v>
      </c>
      <c r="E144" s="25">
        <v>0.01</v>
      </c>
      <c r="F144" s="25">
        <v>0.01</v>
      </c>
      <c r="G144" s="25">
        <v>0.01</v>
      </c>
      <c r="H144" s="25">
        <v>0.01</v>
      </c>
    </row>
    <row r="145" spans="1:8" ht="15.75" thickBot="1" x14ac:dyDescent="0.3">
      <c r="A145" s="189"/>
      <c r="B145" s="26">
        <v>1E-3</v>
      </c>
      <c r="C145" s="26">
        <v>1E-3</v>
      </c>
      <c r="D145" s="26">
        <v>1E-3</v>
      </c>
      <c r="E145" s="26">
        <v>1E-3</v>
      </c>
      <c r="F145" s="26">
        <v>1E-3</v>
      </c>
      <c r="G145" s="26">
        <v>1E-3</v>
      </c>
      <c r="H145" s="26">
        <v>1E-3</v>
      </c>
    </row>
    <row r="146" spans="1:8" ht="15.75" thickBot="1" x14ac:dyDescent="0.3">
      <c r="A146" s="187" t="s">
        <v>94</v>
      </c>
      <c r="B146" s="27" t="s">
        <v>97</v>
      </c>
      <c r="C146" s="27" t="s">
        <v>97</v>
      </c>
      <c r="D146" s="27" t="s">
        <v>97</v>
      </c>
      <c r="E146" s="27" t="s">
        <v>97</v>
      </c>
      <c r="F146" s="27" t="s">
        <v>97</v>
      </c>
      <c r="G146" s="27" t="s">
        <v>97</v>
      </c>
      <c r="H146" s="27" t="s">
        <v>97</v>
      </c>
    </row>
    <row r="147" spans="1:8" x14ac:dyDescent="0.25">
      <c r="A147" s="188"/>
      <c r="B147" s="25">
        <v>0.5</v>
      </c>
      <c r="C147" s="25">
        <v>0.5</v>
      </c>
      <c r="D147" s="25">
        <v>0.5</v>
      </c>
      <c r="E147" s="25">
        <v>0.5</v>
      </c>
      <c r="F147" s="25">
        <v>0.5</v>
      </c>
      <c r="G147" s="25">
        <v>0.5</v>
      </c>
      <c r="H147" s="25">
        <v>0.5</v>
      </c>
    </row>
    <row r="148" spans="1:8" x14ac:dyDescent="0.25">
      <c r="A148" s="188"/>
      <c r="B148" s="25">
        <v>0.2</v>
      </c>
      <c r="C148" s="25">
        <v>0.2</v>
      </c>
      <c r="D148" s="25">
        <v>0.2</v>
      </c>
      <c r="E148" s="25">
        <v>0.2</v>
      </c>
      <c r="F148" s="25">
        <v>0.2</v>
      </c>
      <c r="G148" s="25">
        <v>0.2</v>
      </c>
      <c r="H148" s="25">
        <v>0.2</v>
      </c>
    </row>
    <row r="149" spans="1:8" x14ac:dyDescent="0.25">
      <c r="A149" s="188"/>
      <c r="B149" s="25">
        <v>0.08</v>
      </c>
      <c r="C149" s="25">
        <v>0.08</v>
      </c>
      <c r="D149" s="25">
        <v>0.08</v>
      </c>
      <c r="E149" s="25">
        <v>0.08</v>
      </c>
      <c r="F149" s="25">
        <v>0.08</v>
      </c>
      <c r="G149" s="25">
        <v>0.08</v>
      </c>
      <c r="H149" s="25">
        <v>0.08</v>
      </c>
    </row>
    <row r="150" spans="1:8" ht="15.75" thickBot="1" x14ac:dyDescent="0.3">
      <c r="A150" s="189"/>
      <c r="B150" s="26">
        <v>3.2000000000000001E-2</v>
      </c>
      <c r="C150" s="26">
        <v>3.2000000000000001E-2</v>
      </c>
      <c r="D150" s="26">
        <v>3.2000000000000001E-2</v>
      </c>
      <c r="E150" s="26">
        <v>3.2000000000000001E-2</v>
      </c>
      <c r="F150" s="26">
        <v>3.2000000000000001E-2</v>
      </c>
      <c r="G150" s="26">
        <v>3.2000000000000001E-2</v>
      </c>
      <c r="H150" s="26">
        <v>3.2000000000000001E-2</v>
      </c>
    </row>
    <row r="151" spans="1:8" ht="15.75" thickBot="1" x14ac:dyDescent="0.3">
      <c r="A151" s="187" t="s">
        <v>95</v>
      </c>
      <c r="B151" s="27" t="s">
        <v>97</v>
      </c>
      <c r="C151" s="27" t="s">
        <v>97</v>
      </c>
      <c r="D151" s="27" t="s">
        <v>97</v>
      </c>
      <c r="E151" s="27" t="s">
        <v>97</v>
      </c>
      <c r="F151" s="27" t="s">
        <v>97</v>
      </c>
      <c r="G151" s="27" t="s">
        <v>97</v>
      </c>
      <c r="H151" s="27" t="s">
        <v>97</v>
      </c>
    </row>
    <row r="152" spans="1:8" x14ac:dyDescent="0.25">
      <c r="A152" s="188"/>
      <c r="B152" s="25">
        <v>0.75</v>
      </c>
      <c r="C152" s="25">
        <v>0.75</v>
      </c>
      <c r="D152" s="25">
        <v>0.75</v>
      </c>
      <c r="E152" s="25">
        <v>0.75</v>
      </c>
      <c r="F152" s="25">
        <v>0.75</v>
      </c>
      <c r="G152" s="25">
        <v>0.75</v>
      </c>
      <c r="H152" s="25">
        <v>0.75</v>
      </c>
    </row>
    <row r="153" spans="1:8" x14ac:dyDescent="0.25">
      <c r="A153" s="188"/>
      <c r="B153" s="25">
        <v>0.3</v>
      </c>
      <c r="C153" s="25">
        <v>0.3</v>
      </c>
      <c r="D153" s="25">
        <v>0.3</v>
      </c>
      <c r="E153" s="25">
        <v>0.3</v>
      </c>
      <c r="F153" s="25">
        <v>0.3</v>
      </c>
      <c r="G153" s="25">
        <v>0.3</v>
      </c>
      <c r="H153" s="25">
        <v>0.3</v>
      </c>
    </row>
    <row r="154" spans="1:8" x14ac:dyDescent="0.25">
      <c r="A154" s="188"/>
      <c r="B154" s="25">
        <v>0.12</v>
      </c>
      <c r="C154" s="25">
        <v>0.12</v>
      </c>
      <c r="D154" s="25">
        <v>0.12</v>
      </c>
      <c r="E154" s="25">
        <v>0.12</v>
      </c>
      <c r="F154" s="25">
        <v>0.12</v>
      </c>
      <c r="G154" s="25">
        <v>0.12</v>
      </c>
      <c r="H154" s="25">
        <v>0.12</v>
      </c>
    </row>
    <row r="155" spans="1:8" ht="15.75" thickBot="1" x14ac:dyDescent="0.3">
      <c r="A155" s="189"/>
      <c r="B155" s="26">
        <v>0.05</v>
      </c>
      <c r="C155" s="26">
        <v>0.05</v>
      </c>
      <c r="D155" s="26">
        <v>0.05</v>
      </c>
      <c r="E155" s="26">
        <v>0.05</v>
      </c>
      <c r="F155" s="26">
        <v>0.05</v>
      </c>
      <c r="G155" s="26">
        <v>0.05</v>
      </c>
      <c r="H155" s="26">
        <v>0.05</v>
      </c>
    </row>
    <row r="156" spans="1:8" ht="15.75" thickBot="1" x14ac:dyDescent="0.3">
      <c r="A156" s="187" t="s">
        <v>77</v>
      </c>
      <c r="B156" s="27" t="s">
        <v>97</v>
      </c>
      <c r="C156" s="27" t="s">
        <v>97</v>
      </c>
      <c r="D156" s="27" t="s">
        <v>97</v>
      </c>
      <c r="E156" s="27" t="s">
        <v>97</v>
      </c>
      <c r="F156" s="27" t="s">
        <v>97</v>
      </c>
      <c r="G156" s="27" t="s">
        <v>97</v>
      </c>
      <c r="H156" s="27" t="s">
        <v>97</v>
      </c>
    </row>
    <row r="157" spans="1:8" x14ac:dyDescent="0.25">
      <c r="A157" s="188"/>
      <c r="B157" s="25">
        <v>2.7</v>
      </c>
      <c r="C157" s="25">
        <v>0.4</v>
      </c>
      <c r="D157" s="25">
        <v>2.7</v>
      </c>
      <c r="E157" s="25">
        <v>2.7</v>
      </c>
      <c r="F157" s="25">
        <v>2.7</v>
      </c>
      <c r="G157" s="25">
        <v>2.7</v>
      </c>
      <c r="H157" s="25">
        <v>2.7</v>
      </c>
    </row>
    <row r="158" spans="1:8" x14ac:dyDescent="0.25">
      <c r="A158" s="188"/>
      <c r="B158" s="25">
        <v>1.8</v>
      </c>
      <c r="C158" s="25">
        <v>0.2</v>
      </c>
      <c r="D158" s="25">
        <v>1.8</v>
      </c>
      <c r="E158" s="25">
        <v>1.8</v>
      </c>
      <c r="F158" s="25">
        <v>1.8</v>
      </c>
      <c r="G158" s="25">
        <v>1.8</v>
      </c>
      <c r="H158" s="25">
        <v>1.8</v>
      </c>
    </row>
    <row r="159" spans="1:8" x14ac:dyDescent="0.25">
      <c r="A159" s="188"/>
      <c r="B159" s="25">
        <v>1.2</v>
      </c>
      <c r="C159" s="25">
        <v>0.1</v>
      </c>
      <c r="D159" s="25">
        <v>1.2</v>
      </c>
      <c r="E159" s="25">
        <v>1.2</v>
      </c>
      <c r="F159" s="25">
        <v>1.2</v>
      </c>
      <c r="G159" s="25">
        <v>1.2</v>
      </c>
      <c r="H159" s="25">
        <v>1.2</v>
      </c>
    </row>
    <row r="160" spans="1:8" ht="15.75" thickBot="1" x14ac:dyDescent="0.3">
      <c r="A160" s="189"/>
      <c r="B160" s="26">
        <v>0.8</v>
      </c>
      <c r="C160" s="26">
        <v>0.05</v>
      </c>
      <c r="D160" s="26">
        <v>0.8</v>
      </c>
      <c r="E160" s="26">
        <v>0.8</v>
      </c>
      <c r="F160" s="26">
        <v>0.8</v>
      </c>
      <c r="G160" s="26">
        <v>0.8</v>
      </c>
      <c r="H160" s="26">
        <v>0.8</v>
      </c>
    </row>
    <row r="161" spans="1:8" ht="15.75" thickBot="1" x14ac:dyDescent="0.3">
      <c r="A161" s="187" t="s">
        <v>96</v>
      </c>
      <c r="B161" s="27" t="s">
        <v>97</v>
      </c>
      <c r="C161" s="27" t="s">
        <v>97</v>
      </c>
      <c r="D161" s="27" t="s">
        <v>97</v>
      </c>
      <c r="E161" s="27" t="s">
        <v>97</v>
      </c>
      <c r="F161" s="27" t="s">
        <v>97</v>
      </c>
      <c r="G161" s="27" t="s">
        <v>97</v>
      </c>
      <c r="H161" s="27" t="s">
        <v>97</v>
      </c>
    </row>
    <row r="162" spans="1:8" x14ac:dyDescent="0.25">
      <c r="A162" s="188"/>
      <c r="B162" s="25">
        <v>3.4</v>
      </c>
      <c r="C162" s="25">
        <v>3.4</v>
      </c>
      <c r="D162" s="25">
        <v>3.4</v>
      </c>
      <c r="E162" s="25">
        <v>3.4</v>
      </c>
      <c r="F162" s="25">
        <v>3.4</v>
      </c>
      <c r="G162" s="25">
        <v>3.4</v>
      </c>
      <c r="H162" s="25">
        <v>3.4</v>
      </c>
    </row>
    <row r="163" spans="1:8" x14ac:dyDescent="0.25">
      <c r="A163" s="188"/>
      <c r="B163" s="25">
        <v>2.25</v>
      </c>
      <c r="C163" s="25">
        <v>2.25</v>
      </c>
      <c r="D163" s="25">
        <v>2.25</v>
      </c>
      <c r="E163" s="25">
        <v>2.25</v>
      </c>
      <c r="F163" s="25">
        <v>2.25</v>
      </c>
      <c r="G163" s="25">
        <v>2.25</v>
      </c>
      <c r="H163" s="25">
        <v>2.25</v>
      </c>
    </row>
    <row r="164" spans="1:8" x14ac:dyDescent="0.25">
      <c r="A164" s="188"/>
      <c r="B164" s="25">
        <v>1.5</v>
      </c>
      <c r="C164" s="25">
        <v>1.5</v>
      </c>
      <c r="D164" s="25">
        <v>1.5</v>
      </c>
      <c r="E164" s="25">
        <v>1.5</v>
      </c>
      <c r="F164" s="25">
        <v>1.5</v>
      </c>
      <c r="G164" s="25">
        <v>1.5</v>
      </c>
      <c r="H164" s="25">
        <v>1.5</v>
      </c>
    </row>
    <row r="165" spans="1:8" ht="15.75" thickBot="1" x14ac:dyDescent="0.3">
      <c r="A165" s="189"/>
      <c r="B165" s="26">
        <v>1</v>
      </c>
      <c r="C165" s="26">
        <v>1</v>
      </c>
      <c r="D165" s="26">
        <v>1</v>
      </c>
      <c r="E165" s="26">
        <v>1</v>
      </c>
      <c r="F165" s="26">
        <v>1</v>
      </c>
      <c r="G165" s="26">
        <v>1</v>
      </c>
      <c r="H165" s="26">
        <v>1</v>
      </c>
    </row>
    <row r="166" spans="1:8" ht="15.75" thickBot="1" x14ac:dyDescent="0.3">
      <c r="A166" s="187" t="s">
        <v>143</v>
      </c>
      <c r="B166" s="27" t="s">
        <v>97</v>
      </c>
      <c r="C166" s="27" t="s">
        <v>97</v>
      </c>
      <c r="D166" s="27" t="s">
        <v>97</v>
      </c>
      <c r="E166" s="27" t="s">
        <v>97</v>
      </c>
      <c r="F166" s="27" t="s">
        <v>97</v>
      </c>
      <c r="G166" s="27" t="s">
        <v>97</v>
      </c>
      <c r="H166" s="27" t="s">
        <v>97</v>
      </c>
    </row>
    <row r="167" spans="1:8" x14ac:dyDescent="0.25">
      <c r="A167" s="188"/>
      <c r="B167" s="25">
        <v>0.75</v>
      </c>
      <c r="C167" s="25">
        <v>0.75</v>
      </c>
      <c r="D167" s="25">
        <v>0.75</v>
      </c>
      <c r="E167" s="25">
        <v>0.75</v>
      </c>
      <c r="F167" s="25">
        <v>0.75</v>
      </c>
      <c r="G167" s="25">
        <v>0.75</v>
      </c>
      <c r="H167" s="25">
        <v>0.75</v>
      </c>
    </row>
    <row r="168" spans="1:8" x14ac:dyDescent="0.25">
      <c r="A168" s="188"/>
      <c r="B168" s="25">
        <v>0.3</v>
      </c>
      <c r="C168" s="25">
        <v>0.3</v>
      </c>
      <c r="D168" s="25">
        <v>0.3</v>
      </c>
      <c r="E168" s="25">
        <v>0.3</v>
      </c>
      <c r="F168" s="25">
        <v>0.3</v>
      </c>
      <c r="G168" s="25">
        <v>0.3</v>
      </c>
      <c r="H168" s="25">
        <v>0.3</v>
      </c>
    </row>
    <row r="169" spans="1:8" x14ac:dyDescent="0.25">
      <c r="A169" s="188"/>
      <c r="B169" s="25">
        <v>0.12</v>
      </c>
      <c r="C169" s="25">
        <v>0.12</v>
      </c>
      <c r="D169" s="25">
        <v>0.12</v>
      </c>
      <c r="E169" s="25">
        <v>0.12</v>
      </c>
      <c r="F169" s="25">
        <v>0.12</v>
      </c>
      <c r="G169" s="25">
        <v>0.12</v>
      </c>
      <c r="H169" s="25">
        <v>0.12</v>
      </c>
    </row>
    <row r="170" spans="1:8" ht="15.75" thickBot="1" x14ac:dyDescent="0.3">
      <c r="A170" s="189"/>
      <c r="B170" s="26">
        <v>0.05</v>
      </c>
      <c r="C170" s="26">
        <v>0.05</v>
      </c>
      <c r="D170" s="26">
        <v>0.05</v>
      </c>
      <c r="E170" s="26">
        <v>0.05</v>
      </c>
      <c r="F170" s="26">
        <v>0.05</v>
      </c>
      <c r="G170" s="26">
        <v>0.05</v>
      </c>
      <c r="H170" s="26">
        <v>0.05</v>
      </c>
    </row>
    <row r="171" spans="1:8" ht="15.75" thickBot="1" x14ac:dyDescent="0.3">
      <c r="A171" s="187" t="s">
        <v>144</v>
      </c>
      <c r="B171" s="27" t="s">
        <v>97</v>
      </c>
      <c r="C171" s="27" t="s">
        <v>97</v>
      </c>
      <c r="D171" s="27" t="s">
        <v>97</v>
      </c>
      <c r="E171" s="27" t="s">
        <v>97</v>
      </c>
      <c r="F171" s="27" t="s">
        <v>97</v>
      </c>
      <c r="G171" s="27" t="s">
        <v>97</v>
      </c>
      <c r="H171" s="27" t="s">
        <v>97</v>
      </c>
    </row>
    <row r="172" spans="1:8" x14ac:dyDescent="0.25">
      <c r="A172" s="188"/>
      <c r="B172" s="25">
        <v>1.25</v>
      </c>
      <c r="C172" s="25">
        <v>1.25</v>
      </c>
      <c r="D172" s="25">
        <v>1.25</v>
      </c>
      <c r="E172" s="25">
        <v>1.25</v>
      </c>
      <c r="F172" s="25">
        <v>1.25</v>
      </c>
      <c r="G172" s="25">
        <v>1.25</v>
      </c>
      <c r="H172" s="25">
        <v>1.25</v>
      </c>
    </row>
    <row r="173" spans="1:8" x14ac:dyDescent="0.25">
      <c r="A173" s="188"/>
      <c r="B173" s="25">
        <v>1.1000000000000001</v>
      </c>
      <c r="C173" s="25">
        <v>1.1000000000000001</v>
      </c>
      <c r="D173" s="25">
        <v>1.1000000000000001</v>
      </c>
      <c r="E173" s="25">
        <v>1.1000000000000001</v>
      </c>
      <c r="F173" s="25">
        <v>1.1000000000000001</v>
      </c>
      <c r="G173" s="25">
        <v>1.1000000000000001</v>
      </c>
      <c r="H173" s="25">
        <v>1.1000000000000001</v>
      </c>
    </row>
    <row r="174" spans="1:8" x14ac:dyDescent="0.25">
      <c r="A174" s="188"/>
      <c r="B174" s="25">
        <v>1</v>
      </c>
      <c r="C174" s="25">
        <v>0.9</v>
      </c>
      <c r="D174" s="25">
        <v>1</v>
      </c>
      <c r="E174" s="25">
        <v>1</v>
      </c>
      <c r="F174" s="25">
        <v>1</v>
      </c>
      <c r="G174" s="25">
        <v>1</v>
      </c>
      <c r="H174" s="25">
        <v>0.9</v>
      </c>
    </row>
    <row r="175" spans="1:8" ht="15.75" thickBot="1" x14ac:dyDescent="0.3">
      <c r="A175" s="189"/>
      <c r="B175" s="26">
        <v>0.9</v>
      </c>
      <c r="C175" s="26">
        <v>0.75</v>
      </c>
      <c r="D175" s="26">
        <v>0.9</v>
      </c>
      <c r="E175" s="26">
        <v>0.9</v>
      </c>
      <c r="F175" s="26">
        <v>0.9</v>
      </c>
      <c r="G175" s="26">
        <v>0.9</v>
      </c>
      <c r="H175" s="26">
        <v>0.75</v>
      </c>
    </row>
    <row r="176" spans="1:8" ht="15.75" thickBot="1" x14ac:dyDescent="0.3">
      <c r="A176" s="187" t="s">
        <v>145</v>
      </c>
      <c r="B176" s="27" t="s">
        <v>97</v>
      </c>
      <c r="C176" s="27" t="s">
        <v>97</v>
      </c>
      <c r="D176" s="27" t="s">
        <v>97</v>
      </c>
      <c r="E176" s="27" t="s">
        <v>97</v>
      </c>
      <c r="F176" s="27" t="s">
        <v>97</v>
      </c>
      <c r="G176" s="27" t="s">
        <v>97</v>
      </c>
      <c r="H176" s="27" t="s">
        <v>97</v>
      </c>
    </row>
    <row r="177" spans="1:8" x14ac:dyDescent="0.25">
      <c r="A177" s="188"/>
      <c r="B177" s="25">
        <v>1.25</v>
      </c>
      <c r="C177" s="25">
        <v>1.25</v>
      </c>
      <c r="D177" s="25">
        <v>1.25</v>
      </c>
      <c r="E177" s="25">
        <v>1.25</v>
      </c>
      <c r="F177" s="25">
        <v>1.25</v>
      </c>
      <c r="G177" s="25">
        <v>1.25</v>
      </c>
      <c r="H177" s="25">
        <v>1.25</v>
      </c>
    </row>
    <row r="178" spans="1:8" x14ac:dyDescent="0.25">
      <c r="A178" s="188"/>
      <c r="B178" s="25">
        <v>1.1000000000000001</v>
      </c>
      <c r="C178" s="25">
        <v>1.1000000000000001</v>
      </c>
      <c r="D178" s="25">
        <v>1.1000000000000001</v>
      </c>
      <c r="E178" s="25">
        <v>1.1000000000000001</v>
      </c>
      <c r="F178" s="25">
        <v>1.1000000000000001</v>
      </c>
      <c r="G178" s="25">
        <v>1.1000000000000001</v>
      </c>
      <c r="H178" s="25">
        <v>1.1000000000000001</v>
      </c>
    </row>
    <row r="179" spans="1:8" x14ac:dyDescent="0.25">
      <c r="A179" s="188"/>
      <c r="B179" s="25">
        <v>0.9</v>
      </c>
      <c r="C179" s="25">
        <v>0.9</v>
      </c>
      <c r="D179" s="25">
        <v>0.9</v>
      </c>
      <c r="E179" s="25">
        <v>0.9</v>
      </c>
      <c r="F179" s="25">
        <v>0.9</v>
      </c>
      <c r="G179" s="25">
        <v>0.9</v>
      </c>
      <c r="H179" s="25">
        <v>0.9</v>
      </c>
    </row>
    <row r="180" spans="1:8" ht="15.75" thickBot="1" x14ac:dyDescent="0.3">
      <c r="A180" s="189"/>
      <c r="B180" s="26">
        <v>0.75</v>
      </c>
      <c r="C180" s="26">
        <v>0.75</v>
      </c>
      <c r="D180" s="26">
        <v>0.75</v>
      </c>
      <c r="E180" s="26">
        <v>0.75</v>
      </c>
      <c r="F180" s="26">
        <v>0.75</v>
      </c>
      <c r="G180" s="26">
        <v>0.75</v>
      </c>
      <c r="H180" s="26">
        <v>0.75</v>
      </c>
    </row>
    <row r="181" spans="1:8" ht="15.75" thickBot="1" x14ac:dyDescent="0.3">
      <c r="A181" s="187" t="e">
        <f>#REF!</f>
        <v>#REF!</v>
      </c>
      <c r="B181" s="27" t="s">
        <v>97</v>
      </c>
      <c r="C181" s="27" t="s">
        <v>97</v>
      </c>
      <c r="D181" s="27" t="s">
        <v>97</v>
      </c>
      <c r="E181" s="27" t="s">
        <v>97</v>
      </c>
      <c r="F181" s="27" t="s">
        <v>97</v>
      </c>
      <c r="G181" s="27" t="s">
        <v>97</v>
      </c>
      <c r="H181" s="27" t="s">
        <v>97</v>
      </c>
    </row>
    <row r="182" spans="1:8" x14ac:dyDescent="0.25">
      <c r="A182" s="188"/>
      <c r="B182" s="25">
        <v>1.25</v>
      </c>
      <c r="C182" s="25">
        <v>1.25</v>
      </c>
      <c r="D182" s="25">
        <v>1.25</v>
      </c>
      <c r="E182" s="25">
        <v>1.25</v>
      </c>
      <c r="F182" s="25">
        <v>1.25</v>
      </c>
      <c r="G182" s="25">
        <v>1.25</v>
      </c>
      <c r="H182" s="25">
        <v>1.25</v>
      </c>
    </row>
    <row r="183" spans="1:8" x14ac:dyDescent="0.25">
      <c r="A183" s="188"/>
      <c r="B183" s="25">
        <v>1.1000000000000001</v>
      </c>
      <c r="C183" s="25">
        <v>1.1000000000000001</v>
      </c>
      <c r="D183" s="25">
        <v>1.1000000000000001</v>
      </c>
      <c r="E183" s="25">
        <v>1.1000000000000001</v>
      </c>
      <c r="F183" s="25">
        <v>1.1000000000000001</v>
      </c>
      <c r="G183" s="25">
        <v>1.1000000000000001</v>
      </c>
      <c r="H183" s="25">
        <v>1.1000000000000001</v>
      </c>
    </row>
    <row r="184" spans="1:8" x14ac:dyDescent="0.25">
      <c r="A184" s="188"/>
      <c r="B184" s="25">
        <v>0.9</v>
      </c>
      <c r="C184" s="25">
        <v>0.9</v>
      </c>
      <c r="D184" s="25">
        <v>0.9</v>
      </c>
      <c r="E184" s="25">
        <v>0.9</v>
      </c>
      <c r="F184" s="25">
        <v>0.9</v>
      </c>
      <c r="G184" s="25">
        <v>0.9</v>
      </c>
      <c r="H184" s="25">
        <v>0.9</v>
      </c>
    </row>
    <row r="185" spans="1:8" ht="15.75" thickBot="1" x14ac:dyDescent="0.3">
      <c r="A185" s="189"/>
      <c r="B185" s="26">
        <v>0.75</v>
      </c>
      <c r="C185" s="26">
        <v>0.75</v>
      </c>
      <c r="D185" s="26">
        <v>0.75</v>
      </c>
      <c r="E185" s="26">
        <v>0.75</v>
      </c>
      <c r="F185" s="26">
        <v>0.75</v>
      </c>
      <c r="G185" s="26">
        <v>0.75</v>
      </c>
      <c r="H185" s="26">
        <v>0.75</v>
      </c>
    </row>
    <row r="186" spans="1:8" ht="15.75" thickBot="1" x14ac:dyDescent="0.3">
      <c r="A186" s="187" t="e">
        <f>#REF!</f>
        <v>#REF!</v>
      </c>
      <c r="B186" s="27" t="s">
        <v>97</v>
      </c>
      <c r="C186" s="27" t="s">
        <v>97</v>
      </c>
      <c r="D186" s="27" t="s">
        <v>97</v>
      </c>
      <c r="E186" s="27" t="s">
        <v>97</v>
      </c>
      <c r="F186" s="27" t="s">
        <v>97</v>
      </c>
      <c r="G186" s="27" t="s">
        <v>97</v>
      </c>
      <c r="H186" s="27" t="s">
        <v>97</v>
      </c>
    </row>
    <row r="187" spans="1:8" x14ac:dyDescent="0.25">
      <c r="A187" s="188"/>
      <c r="B187" s="25">
        <v>1.25</v>
      </c>
      <c r="C187" s="25">
        <v>1.25</v>
      </c>
      <c r="D187" s="25">
        <v>1.25</v>
      </c>
      <c r="E187" s="25">
        <v>1.25</v>
      </c>
      <c r="F187" s="25">
        <v>1.25</v>
      </c>
      <c r="G187" s="25">
        <v>1.25</v>
      </c>
      <c r="H187" s="25">
        <v>1.25</v>
      </c>
    </row>
    <row r="188" spans="1:8" x14ac:dyDescent="0.25">
      <c r="A188" s="188"/>
      <c r="B188" s="25">
        <v>1.1000000000000001</v>
      </c>
      <c r="C188" s="25">
        <v>1.1000000000000001</v>
      </c>
      <c r="D188" s="25">
        <v>1.1000000000000001</v>
      </c>
      <c r="E188" s="25">
        <v>1.1000000000000001</v>
      </c>
      <c r="F188" s="25">
        <v>1.1000000000000001</v>
      </c>
      <c r="G188" s="25">
        <v>1.1000000000000001</v>
      </c>
      <c r="H188" s="25">
        <v>1.1000000000000001</v>
      </c>
    </row>
    <row r="189" spans="1:8" x14ac:dyDescent="0.25">
      <c r="A189" s="188"/>
      <c r="B189" s="25">
        <v>0.9</v>
      </c>
      <c r="C189" s="25">
        <v>0.9</v>
      </c>
      <c r="D189" s="25">
        <v>0.9</v>
      </c>
      <c r="E189" s="25">
        <v>0.9</v>
      </c>
      <c r="F189" s="25">
        <v>0.9</v>
      </c>
      <c r="G189" s="25">
        <v>0.9</v>
      </c>
      <c r="H189" s="25">
        <v>0.9</v>
      </c>
    </row>
    <row r="190" spans="1:8" ht="15.75" thickBot="1" x14ac:dyDescent="0.3">
      <c r="A190" s="189"/>
      <c r="B190" s="26">
        <v>0.75</v>
      </c>
      <c r="C190" s="26">
        <v>0.75</v>
      </c>
      <c r="D190" s="26">
        <v>0.75</v>
      </c>
      <c r="E190" s="26">
        <v>0.75</v>
      </c>
      <c r="F190" s="26">
        <v>0.75</v>
      </c>
      <c r="G190" s="26">
        <v>0.75</v>
      </c>
      <c r="H190" s="26">
        <v>0.75</v>
      </c>
    </row>
    <row r="191" spans="1:8" ht="15.75" thickBot="1" x14ac:dyDescent="0.3">
      <c r="A191" s="187" t="e">
        <f>#REF!</f>
        <v>#REF!</v>
      </c>
      <c r="B191" s="27" t="s">
        <v>97</v>
      </c>
      <c r="C191" s="27" t="s">
        <v>97</v>
      </c>
      <c r="D191" s="27" t="s">
        <v>97</v>
      </c>
      <c r="E191" s="27" t="s">
        <v>97</v>
      </c>
      <c r="F191" s="27" t="s">
        <v>97</v>
      </c>
      <c r="G191" s="27" t="s">
        <v>97</v>
      </c>
      <c r="H191" s="27" t="s">
        <v>97</v>
      </c>
    </row>
    <row r="192" spans="1:8" x14ac:dyDescent="0.25">
      <c r="A192" s="188"/>
      <c r="B192" s="25">
        <v>1.25</v>
      </c>
      <c r="C192" s="25">
        <v>1.25</v>
      </c>
      <c r="D192" s="25">
        <v>1.25</v>
      </c>
      <c r="E192" s="25">
        <v>1.25</v>
      </c>
      <c r="F192" s="25">
        <v>1.25</v>
      </c>
      <c r="G192" s="25">
        <v>1.25</v>
      </c>
      <c r="H192" s="25">
        <v>1.25</v>
      </c>
    </row>
    <row r="193" spans="1:8" x14ac:dyDescent="0.25">
      <c r="A193" s="188"/>
      <c r="B193" s="25">
        <v>1.1000000000000001</v>
      </c>
      <c r="C193" s="25">
        <v>1.1000000000000001</v>
      </c>
      <c r="D193" s="25">
        <v>1.1000000000000001</v>
      </c>
      <c r="E193" s="25">
        <v>1.1000000000000001</v>
      </c>
      <c r="F193" s="25">
        <v>1.1000000000000001</v>
      </c>
      <c r="G193" s="25">
        <v>1.1000000000000001</v>
      </c>
      <c r="H193" s="25">
        <v>1.1000000000000001</v>
      </c>
    </row>
    <row r="194" spans="1:8" x14ac:dyDescent="0.25">
      <c r="A194" s="188"/>
      <c r="B194" s="25">
        <v>0.9</v>
      </c>
      <c r="C194" s="25">
        <v>0.9</v>
      </c>
      <c r="D194" s="25">
        <v>0.9</v>
      </c>
      <c r="E194" s="25">
        <v>0.9</v>
      </c>
      <c r="F194" s="25">
        <v>0.9</v>
      </c>
      <c r="G194" s="25">
        <v>0.9</v>
      </c>
      <c r="H194" s="25">
        <v>0.9</v>
      </c>
    </row>
    <row r="195" spans="1:8" ht="15.75" thickBot="1" x14ac:dyDescent="0.3">
      <c r="A195" s="189"/>
      <c r="B195" s="26">
        <v>0.75</v>
      </c>
      <c r="C195" s="26">
        <v>0.75</v>
      </c>
      <c r="D195" s="26">
        <v>0.75</v>
      </c>
      <c r="E195" s="26">
        <v>0.75</v>
      </c>
      <c r="F195" s="26">
        <v>0.75</v>
      </c>
      <c r="G195" s="26">
        <v>0.75</v>
      </c>
      <c r="H195" s="26">
        <v>0.75</v>
      </c>
    </row>
    <row r="196" spans="1:8" ht="15.75" thickBot="1" x14ac:dyDescent="0.3">
      <c r="A196" s="187" t="e">
        <f>#REF!</f>
        <v>#REF!</v>
      </c>
      <c r="B196" s="27" t="s">
        <v>97</v>
      </c>
      <c r="C196" s="27" t="s">
        <v>97</v>
      </c>
      <c r="D196" s="27" t="s">
        <v>97</v>
      </c>
      <c r="E196" s="27" t="s">
        <v>97</v>
      </c>
      <c r="F196" s="27" t="s">
        <v>97</v>
      </c>
      <c r="G196" s="27" t="s">
        <v>97</v>
      </c>
      <c r="H196" s="27" t="s">
        <v>97</v>
      </c>
    </row>
    <row r="197" spans="1:8" x14ac:dyDescent="0.25">
      <c r="A197" s="188"/>
      <c r="B197" s="25">
        <v>1.25</v>
      </c>
      <c r="C197" s="25">
        <v>1.25</v>
      </c>
      <c r="D197" s="25">
        <v>1.25</v>
      </c>
      <c r="E197" s="25">
        <v>1.25</v>
      </c>
      <c r="F197" s="25">
        <v>1.25</v>
      </c>
      <c r="G197" s="25">
        <v>1.25</v>
      </c>
      <c r="H197" s="25">
        <v>1.25</v>
      </c>
    </row>
    <row r="198" spans="1:8" x14ac:dyDescent="0.25">
      <c r="A198" s="188"/>
      <c r="B198" s="25">
        <v>1.1000000000000001</v>
      </c>
      <c r="C198" s="25">
        <v>1.1000000000000001</v>
      </c>
      <c r="D198" s="25">
        <v>1.1000000000000001</v>
      </c>
      <c r="E198" s="25">
        <v>1.1000000000000001</v>
      </c>
      <c r="F198" s="25">
        <v>1.1000000000000001</v>
      </c>
      <c r="G198" s="25">
        <v>1.1000000000000001</v>
      </c>
      <c r="H198" s="25">
        <v>1.1000000000000001</v>
      </c>
    </row>
    <row r="199" spans="1:8" x14ac:dyDescent="0.25">
      <c r="A199" s="188"/>
      <c r="B199" s="25">
        <v>0.9</v>
      </c>
      <c r="C199" s="25">
        <v>0.9</v>
      </c>
      <c r="D199" s="25">
        <v>0.9</v>
      </c>
      <c r="E199" s="25">
        <v>0.9</v>
      </c>
      <c r="F199" s="25">
        <v>0.9</v>
      </c>
      <c r="G199" s="25">
        <v>0.9</v>
      </c>
      <c r="H199" s="25">
        <v>0.9</v>
      </c>
    </row>
    <row r="200" spans="1:8" ht="15.75" thickBot="1" x14ac:dyDescent="0.3">
      <c r="A200" s="189"/>
      <c r="B200" s="26">
        <v>0.75</v>
      </c>
      <c r="C200" s="26">
        <v>0.75</v>
      </c>
      <c r="D200" s="26">
        <v>0.75</v>
      </c>
      <c r="E200" s="26">
        <v>0.75</v>
      </c>
      <c r="F200" s="26">
        <v>0.75</v>
      </c>
      <c r="G200" s="26">
        <v>0.75</v>
      </c>
      <c r="H200" s="26">
        <v>0.75</v>
      </c>
    </row>
    <row r="201" spans="1:8" ht="15.75" thickBot="1" x14ac:dyDescent="0.3">
      <c r="A201" s="187" t="e">
        <f>#REF!</f>
        <v>#REF!</v>
      </c>
      <c r="B201" s="27" t="s">
        <v>97</v>
      </c>
      <c r="C201" s="27" t="s">
        <v>97</v>
      </c>
      <c r="D201" s="27" t="s">
        <v>97</v>
      </c>
      <c r="E201" s="27" t="s">
        <v>97</v>
      </c>
      <c r="F201" s="27" t="s">
        <v>97</v>
      </c>
      <c r="G201" s="27" t="s">
        <v>97</v>
      </c>
      <c r="H201" s="27" t="s">
        <v>97</v>
      </c>
    </row>
    <row r="202" spans="1:8" x14ac:dyDescent="0.25">
      <c r="A202" s="188"/>
      <c r="B202" s="25">
        <v>0.4</v>
      </c>
      <c r="C202" s="25">
        <v>1.25</v>
      </c>
      <c r="D202" s="25">
        <v>0.4</v>
      </c>
      <c r="E202" s="25">
        <v>0.4</v>
      </c>
      <c r="F202" s="25">
        <v>0.4</v>
      </c>
      <c r="G202" s="25">
        <v>0.4</v>
      </c>
      <c r="H202" s="25">
        <v>1.25</v>
      </c>
    </row>
    <row r="203" spans="1:8" x14ac:dyDescent="0.25">
      <c r="A203" s="188"/>
      <c r="B203" s="25">
        <v>0.2</v>
      </c>
      <c r="C203" s="25">
        <v>1.1000000000000001</v>
      </c>
      <c r="D203" s="25">
        <v>0.2</v>
      </c>
      <c r="E203" s="25">
        <v>0.2</v>
      </c>
      <c r="F203" s="25">
        <v>0.2</v>
      </c>
      <c r="G203" s="25">
        <v>0.2</v>
      </c>
      <c r="H203" s="25">
        <v>1.1000000000000001</v>
      </c>
    </row>
    <row r="204" spans="1:8" x14ac:dyDescent="0.25">
      <c r="A204" s="188"/>
      <c r="B204" s="25">
        <v>0.1</v>
      </c>
      <c r="C204" s="25">
        <v>0.9</v>
      </c>
      <c r="D204" s="25">
        <v>0.1</v>
      </c>
      <c r="E204" s="25">
        <v>0.1</v>
      </c>
      <c r="F204" s="25">
        <v>0.1</v>
      </c>
      <c r="G204" s="25">
        <v>0.1</v>
      </c>
      <c r="H204" s="25">
        <v>0.9</v>
      </c>
    </row>
    <row r="205" spans="1:8" ht="15.75" thickBot="1" x14ac:dyDescent="0.3">
      <c r="A205" s="189"/>
      <c r="B205" s="26">
        <v>0.5</v>
      </c>
      <c r="C205" s="26">
        <v>0.75</v>
      </c>
      <c r="D205" s="26">
        <v>0.5</v>
      </c>
      <c r="E205" s="26">
        <v>0.5</v>
      </c>
      <c r="F205" s="26">
        <v>0.5</v>
      </c>
      <c r="G205" s="26">
        <v>0.5</v>
      </c>
      <c r="H205" s="26">
        <v>0.75</v>
      </c>
    </row>
    <row r="206" spans="1:8" ht="15.75" thickBot="1" x14ac:dyDescent="0.3">
      <c r="A206" s="187" t="e">
        <f>#REF!</f>
        <v>#REF!</v>
      </c>
      <c r="B206" s="27" t="s">
        <v>97</v>
      </c>
      <c r="C206" s="27" t="s">
        <v>97</v>
      </c>
      <c r="D206" s="27" t="s">
        <v>97</v>
      </c>
      <c r="E206" s="27" t="s">
        <v>97</v>
      </c>
      <c r="F206" s="27" t="s">
        <v>97</v>
      </c>
      <c r="G206" s="27" t="s">
        <v>97</v>
      </c>
      <c r="H206" s="27" t="s">
        <v>97</v>
      </c>
    </row>
    <row r="207" spans="1:8" x14ac:dyDescent="0.25">
      <c r="A207" s="188"/>
      <c r="B207" s="25">
        <v>2</v>
      </c>
      <c r="C207" s="25">
        <v>1.25</v>
      </c>
      <c r="D207" s="25">
        <v>2</v>
      </c>
      <c r="E207" s="25">
        <v>2</v>
      </c>
      <c r="F207" s="25">
        <v>2</v>
      </c>
      <c r="G207" s="25">
        <v>2</v>
      </c>
      <c r="H207" s="25">
        <v>1.25</v>
      </c>
    </row>
    <row r="208" spans="1:8" x14ac:dyDescent="0.25">
      <c r="A208" s="188"/>
      <c r="B208" s="25">
        <v>1</v>
      </c>
      <c r="C208" s="25">
        <v>1.1000000000000001</v>
      </c>
      <c r="D208" s="25">
        <v>1</v>
      </c>
      <c r="E208" s="25">
        <v>1</v>
      </c>
      <c r="F208" s="25">
        <v>1</v>
      </c>
      <c r="G208" s="25">
        <v>1</v>
      </c>
      <c r="H208" s="25">
        <v>1.1000000000000001</v>
      </c>
    </row>
    <row r="209" spans="1:8" x14ac:dyDescent="0.25">
      <c r="A209" s="188"/>
      <c r="B209" s="25">
        <v>0.5</v>
      </c>
      <c r="C209" s="25">
        <v>0.9</v>
      </c>
      <c r="D209" s="25">
        <v>0.5</v>
      </c>
      <c r="E209" s="25">
        <v>0.5</v>
      </c>
      <c r="F209" s="25">
        <v>0.5</v>
      </c>
      <c r="G209" s="25">
        <v>0.5</v>
      </c>
      <c r="H209" s="25">
        <v>0.9</v>
      </c>
    </row>
    <row r="210" spans="1:8" ht="15.75" thickBot="1" x14ac:dyDescent="0.3">
      <c r="A210" s="189"/>
      <c r="B210" s="26">
        <v>0.25</v>
      </c>
      <c r="C210" s="26">
        <v>0.75</v>
      </c>
      <c r="D210" s="26">
        <v>0.25</v>
      </c>
      <c r="E210" s="26">
        <v>0.25</v>
      </c>
      <c r="F210" s="26">
        <v>0.25</v>
      </c>
      <c r="G210" s="26">
        <v>0.25</v>
      </c>
      <c r="H210" s="26">
        <v>0.75</v>
      </c>
    </row>
    <row r="211" spans="1:8" ht="15.75" thickBot="1" x14ac:dyDescent="0.3">
      <c r="A211" s="187" t="e">
        <f>#REF!</f>
        <v>#REF!</v>
      </c>
      <c r="B211" s="27" t="s">
        <v>97</v>
      </c>
      <c r="C211" s="27" t="s">
        <v>97</v>
      </c>
      <c r="D211" s="27" t="s">
        <v>97</v>
      </c>
      <c r="E211" s="27" t="s">
        <v>97</v>
      </c>
      <c r="F211" s="27" t="s">
        <v>97</v>
      </c>
      <c r="G211" s="27" t="s">
        <v>97</v>
      </c>
      <c r="H211" s="27" t="s">
        <v>97</v>
      </c>
    </row>
    <row r="212" spans="1:8" x14ac:dyDescent="0.25">
      <c r="A212" s="188"/>
      <c r="B212" s="25">
        <v>1.25</v>
      </c>
      <c r="C212" s="25">
        <v>1.25</v>
      </c>
      <c r="D212" s="25">
        <v>1.25</v>
      </c>
      <c r="E212" s="25">
        <v>1.25</v>
      </c>
      <c r="F212" s="25">
        <v>1.25</v>
      </c>
      <c r="G212" s="25">
        <v>1.25</v>
      </c>
      <c r="H212" s="25">
        <v>1.25</v>
      </c>
    </row>
    <row r="213" spans="1:8" x14ac:dyDescent="0.25">
      <c r="A213" s="188"/>
      <c r="B213" s="25">
        <v>1.1000000000000001</v>
      </c>
      <c r="C213" s="25">
        <v>1.1000000000000001</v>
      </c>
      <c r="D213" s="25">
        <v>1.1000000000000001</v>
      </c>
      <c r="E213" s="25">
        <v>1.1000000000000001</v>
      </c>
      <c r="F213" s="25">
        <v>1.1000000000000001</v>
      </c>
      <c r="G213" s="25">
        <v>1.1000000000000001</v>
      </c>
      <c r="H213" s="25">
        <v>1.1000000000000001</v>
      </c>
    </row>
    <row r="214" spans="1:8" x14ac:dyDescent="0.25">
      <c r="A214" s="188"/>
      <c r="B214" s="25">
        <v>0.9</v>
      </c>
      <c r="C214" s="25">
        <v>0.9</v>
      </c>
      <c r="D214" s="25">
        <v>0.9</v>
      </c>
      <c r="E214" s="25">
        <v>0.9</v>
      </c>
      <c r="F214" s="25">
        <v>0.9</v>
      </c>
      <c r="G214" s="25">
        <v>0.9</v>
      </c>
      <c r="H214" s="25">
        <v>0.9</v>
      </c>
    </row>
    <row r="215" spans="1:8" ht="15.75" thickBot="1" x14ac:dyDescent="0.3">
      <c r="A215" s="189"/>
      <c r="B215" s="26">
        <v>0.75</v>
      </c>
      <c r="C215" s="26">
        <v>0.75</v>
      </c>
      <c r="D215" s="26">
        <v>0.75</v>
      </c>
      <c r="E215" s="26">
        <v>0.75</v>
      </c>
      <c r="F215" s="26">
        <v>0.75</v>
      </c>
      <c r="G215" s="26">
        <v>0.75</v>
      </c>
      <c r="H215" s="26">
        <v>0.75</v>
      </c>
    </row>
    <row r="216" spans="1:8" ht="15.75" thickBot="1" x14ac:dyDescent="0.3">
      <c r="A216" s="187" t="e">
        <f>#REF!</f>
        <v>#REF!</v>
      </c>
      <c r="B216" s="27" t="s">
        <v>97</v>
      </c>
      <c r="C216" s="27" t="s">
        <v>97</v>
      </c>
      <c r="D216" s="27" t="s">
        <v>97</v>
      </c>
      <c r="E216" s="27" t="s">
        <v>97</v>
      </c>
      <c r="F216" s="27" t="s">
        <v>97</v>
      </c>
      <c r="G216" s="27" t="s">
        <v>97</v>
      </c>
      <c r="H216" s="27" t="s">
        <v>97</v>
      </c>
    </row>
    <row r="217" spans="1:8" x14ac:dyDescent="0.25">
      <c r="A217" s="188"/>
      <c r="B217" s="25">
        <v>1.25</v>
      </c>
      <c r="C217" s="25">
        <v>1.25</v>
      </c>
      <c r="D217" s="25">
        <v>1.25</v>
      </c>
      <c r="E217" s="25">
        <v>1.25</v>
      </c>
      <c r="F217" s="25">
        <v>1.25</v>
      </c>
      <c r="G217" s="25">
        <v>1.25</v>
      </c>
      <c r="H217" s="25">
        <v>1.25</v>
      </c>
    </row>
    <row r="218" spans="1:8" x14ac:dyDescent="0.25">
      <c r="A218" s="188"/>
      <c r="B218" s="25">
        <v>1.1000000000000001</v>
      </c>
      <c r="C218" s="25">
        <v>1.1000000000000001</v>
      </c>
      <c r="D218" s="25">
        <v>1.1000000000000001</v>
      </c>
      <c r="E218" s="25">
        <v>1.1000000000000001</v>
      </c>
      <c r="F218" s="25">
        <v>1.1000000000000001</v>
      </c>
      <c r="G218" s="25">
        <v>1.1000000000000001</v>
      </c>
      <c r="H218" s="25">
        <v>1.1000000000000001</v>
      </c>
    </row>
    <row r="219" spans="1:8" x14ac:dyDescent="0.25">
      <c r="A219" s="188"/>
      <c r="B219" s="25">
        <v>0.9</v>
      </c>
      <c r="C219" s="25">
        <v>0.9</v>
      </c>
      <c r="D219" s="25">
        <v>0.9</v>
      </c>
      <c r="E219" s="25">
        <v>0.9</v>
      </c>
      <c r="F219" s="25">
        <v>0.9</v>
      </c>
      <c r="G219" s="25">
        <v>0.9</v>
      </c>
      <c r="H219" s="25">
        <v>0.9</v>
      </c>
    </row>
    <row r="220" spans="1:8" ht="15.75" thickBot="1" x14ac:dyDescent="0.3">
      <c r="A220" s="189"/>
      <c r="B220" s="26">
        <v>0.75</v>
      </c>
      <c r="C220" s="26">
        <v>0.75</v>
      </c>
      <c r="D220" s="26">
        <v>0.75</v>
      </c>
      <c r="E220" s="26">
        <v>0.75</v>
      </c>
      <c r="F220" s="26">
        <v>0.75</v>
      </c>
      <c r="G220" s="26">
        <v>0.75</v>
      </c>
      <c r="H220" s="26">
        <v>0.75</v>
      </c>
    </row>
    <row r="221" spans="1:8" x14ac:dyDescent="0.25">
      <c r="A221" s="41" t="s">
        <v>135</v>
      </c>
    </row>
    <row r="222" spans="1:8" x14ac:dyDescent="0.25">
      <c r="A222" s="40" t="s">
        <v>129</v>
      </c>
      <c r="B222" s="40" t="s">
        <v>128</v>
      </c>
      <c r="C222" s="40" t="s">
        <v>130</v>
      </c>
      <c r="D222" s="40" t="s">
        <v>131</v>
      </c>
      <c r="E222" s="61"/>
      <c r="F222" s="61"/>
      <c r="G222" s="61"/>
    </row>
    <row r="223" spans="1:8" x14ac:dyDescent="0.25">
      <c r="A223" s="182">
        <v>1</v>
      </c>
      <c r="B223" s="182" t="s">
        <v>4</v>
      </c>
      <c r="C223" s="182">
        <v>100</v>
      </c>
      <c r="D223" s="182">
        <v>90</v>
      </c>
      <c r="E223" s="62"/>
      <c r="F223" s="62"/>
      <c r="G223" s="62"/>
    </row>
    <row r="224" spans="1:8" x14ac:dyDescent="0.25">
      <c r="A224" s="182">
        <v>2</v>
      </c>
      <c r="B224" s="182" t="s">
        <v>5</v>
      </c>
      <c r="C224" s="182">
        <v>90</v>
      </c>
      <c r="D224" s="182">
        <v>80</v>
      </c>
      <c r="E224" s="60"/>
      <c r="F224" s="60"/>
      <c r="G224" s="60"/>
    </row>
    <row r="225" spans="1:7" x14ac:dyDescent="0.25">
      <c r="A225" s="182">
        <v>3</v>
      </c>
      <c r="B225" s="182" t="s">
        <v>6</v>
      </c>
      <c r="C225" s="182">
        <v>80</v>
      </c>
      <c r="D225" s="182">
        <v>70</v>
      </c>
      <c r="E225" s="60"/>
      <c r="F225" s="60"/>
      <c r="G225" s="60"/>
    </row>
    <row r="226" spans="1:7" x14ac:dyDescent="0.25">
      <c r="A226" s="182">
        <v>4</v>
      </c>
      <c r="B226" s="182" t="s">
        <v>132</v>
      </c>
      <c r="C226" s="182">
        <v>70</v>
      </c>
      <c r="D226" s="182">
        <v>60</v>
      </c>
      <c r="E226" s="60"/>
      <c r="F226" s="60"/>
      <c r="G226" s="60"/>
    </row>
    <row r="227" spans="1:7" x14ac:dyDescent="0.25">
      <c r="A227" s="182">
        <v>5</v>
      </c>
      <c r="B227" s="182" t="s">
        <v>7</v>
      </c>
      <c r="C227" s="182">
        <v>60</v>
      </c>
      <c r="D227" s="182">
        <v>50</v>
      </c>
      <c r="E227" s="60"/>
      <c r="F227" s="60"/>
      <c r="G227" s="60"/>
    </row>
    <row r="228" spans="1:7" x14ac:dyDescent="0.25">
      <c r="A228" s="182">
        <v>6</v>
      </c>
      <c r="B228" s="182" t="s">
        <v>8</v>
      </c>
      <c r="C228" s="182">
        <v>50</v>
      </c>
      <c r="D228" s="182">
        <v>34</v>
      </c>
      <c r="E228" s="60"/>
      <c r="F228" s="60"/>
      <c r="G228" s="60"/>
    </row>
    <row r="229" spans="1:7" x14ac:dyDescent="0.25">
      <c r="A229" s="182">
        <v>7</v>
      </c>
      <c r="B229" s="182" t="s">
        <v>9</v>
      </c>
      <c r="C229" s="182">
        <v>34</v>
      </c>
      <c r="D229" s="182">
        <v>17</v>
      </c>
      <c r="E229" s="60"/>
      <c r="F229" s="60"/>
      <c r="G229" s="60"/>
    </row>
    <row r="230" spans="1:7" x14ac:dyDescent="0.25">
      <c r="A230" s="182">
        <v>8</v>
      </c>
      <c r="B230" s="182" t="s">
        <v>10</v>
      </c>
      <c r="C230" s="182">
        <v>17</v>
      </c>
      <c r="D230" s="182">
        <v>0</v>
      </c>
      <c r="E230" s="60"/>
      <c r="F230" s="60"/>
      <c r="G230" s="60"/>
    </row>
    <row r="231" spans="1:7" x14ac:dyDescent="0.25">
      <c r="A231" s="182">
        <v>9</v>
      </c>
      <c r="B231" s="182" t="s">
        <v>133</v>
      </c>
      <c r="C231" s="182">
        <v>0</v>
      </c>
      <c r="D231" s="182">
        <v>0</v>
      </c>
      <c r="E231" s="60"/>
      <c r="F231" s="60"/>
      <c r="G231" s="60"/>
    </row>
    <row r="232" spans="1:7" x14ac:dyDescent="0.25">
      <c r="A232" s="182">
        <v>10</v>
      </c>
      <c r="B232" s="182" t="s">
        <v>134</v>
      </c>
      <c r="C232" s="182">
        <v>0</v>
      </c>
      <c r="D232" s="182">
        <v>0</v>
      </c>
      <c r="E232" s="60"/>
      <c r="F232" s="60"/>
      <c r="G232" s="60"/>
    </row>
  </sheetData>
  <mergeCells count="30"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31:A135"/>
    <mergeCell ref="A136:A140"/>
    <mergeCell ref="A141:A145"/>
    <mergeCell ref="A146:A150"/>
    <mergeCell ref="A151:A155"/>
    <mergeCell ref="A201:A205"/>
    <mergeCell ref="A206:A210"/>
    <mergeCell ref="A211:A215"/>
    <mergeCell ref="A216:A220"/>
    <mergeCell ref="A156:A160"/>
    <mergeCell ref="A181:A185"/>
    <mergeCell ref="A186:A190"/>
    <mergeCell ref="A191:A195"/>
    <mergeCell ref="A196:A200"/>
    <mergeCell ref="A166:A170"/>
    <mergeCell ref="A171:A175"/>
    <mergeCell ref="A176:A180"/>
    <mergeCell ref="A161:A16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F21" sqref="F21"/>
    </sheetView>
  </sheetViews>
  <sheetFormatPr defaultRowHeight="15" x14ac:dyDescent="0.25"/>
  <cols>
    <col min="1" max="1" width="22.42578125" bestFit="1" customWidth="1"/>
  </cols>
  <sheetData>
    <row r="1" spans="1:16" x14ac:dyDescent="0.25">
      <c r="A1" s="42" t="s">
        <v>136</v>
      </c>
      <c r="B1" s="151" t="s">
        <v>248</v>
      </c>
    </row>
    <row r="2" spans="1:16" x14ac:dyDescent="0.25">
      <c r="A2" s="3" t="s">
        <v>3</v>
      </c>
      <c r="B2" s="3" t="s">
        <v>0</v>
      </c>
      <c r="C2" s="3" t="s">
        <v>1</v>
      </c>
      <c r="D2" s="3" t="s">
        <v>2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268</v>
      </c>
      <c r="M2" s="3" t="s">
        <v>269</v>
      </c>
      <c r="N2" s="3" t="s">
        <v>270</v>
      </c>
      <c r="O2" s="3" t="s">
        <v>271</v>
      </c>
      <c r="P2" s="3" t="s">
        <v>272</v>
      </c>
    </row>
    <row r="3" spans="1:16" x14ac:dyDescent="0.25">
      <c r="A3" s="3" t="s">
        <v>4</v>
      </c>
      <c r="B3" s="2">
        <v>5.0000000000000001E-4</v>
      </c>
      <c r="C3" s="2">
        <v>5.0000000000000001E-4</v>
      </c>
      <c r="D3" s="156">
        <f>C3*D29/C29</f>
        <v>2.166666666666667E-3</v>
      </c>
      <c r="E3" s="156">
        <f t="shared" ref="E3:P3" si="0">D3*E29/D29</f>
        <v>4.0000000000000001E-3</v>
      </c>
      <c r="F3" s="156">
        <f t="shared" si="0"/>
        <v>5.6666666666666671E-3</v>
      </c>
      <c r="G3" s="156">
        <f t="shared" si="0"/>
        <v>7.4999999999999997E-3</v>
      </c>
      <c r="H3" s="156">
        <f t="shared" si="0"/>
        <v>8.4999999999999989E-3</v>
      </c>
      <c r="I3" s="156">
        <f t="shared" si="0"/>
        <v>9.8333333333333328E-3</v>
      </c>
      <c r="J3" s="156">
        <f t="shared" si="0"/>
        <v>1.0666666666666666E-2</v>
      </c>
      <c r="K3" s="156">
        <f t="shared" si="0"/>
        <v>1.1666666666666665E-2</v>
      </c>
      <c r="L3" s="156">
        <f t="shared" si="0"/>
        <v>1.2E-2</v>
      </c>
      <c r="M3" s="156">
        <f t="shared" si="0"/>
        <v>1.2500000000000002E-2</v>
      </c>
      <c r="N3" s="156">
        <f t="shared" si="0"/>
        <v>1.3000000000000003E-2</v>
      </c>
      <c r="O3" s="156">
        <f t="shared" si="0"/>
        <v>1.4000000000000002E-2</v>
      </c>
      <c r="P3" s="156">
        <f t="shared" si="0"/>
        <v>1.5000000000000003E-2</v>
      </c>
    </row>
    <row r="4" spans="1:16" x14ac:dyDescent="0.25">
      <c r="A4" s="3" t="s">
        <v>5</v>
      </c>
      <c r="B4" s="2">
        <v>2.5000000000000001E-3</v>
      </c>
      <c r="C4" s="2">
        <v>6.3E-3</v>
      </c>
      <c r="D4" s="2">
        <v>1.01E-2</v>
      </c>
      <c r="E4" s="1">
        <f>D4*E30/D30</f>
        <v>1.9281818181818178E-2</v>
      </c>
      <c r="F4" s="1">
        <f t="shared" ref="F4:P4" si="1">E4*F30/E30</f>
        <v>2.754545454545454E-2</v>
      </c>
      <c r="G4" s="1">
        <f t="shared" si="1"/>
        <v>3.7645454545454538E-2</v>
      </c>
      <c r="H4" s="1">
        <f t="shared" si="1"/>
        <v>4.4990909090909088E-2</v>
      </c>
      <c r="I4" s="1">
        <f t="shared" si="1"/>
        <v>5.1418181818181821E-2</v>
      </c>
      <c r="J4" s="1">
        <f t="shared" si="1"/>
        <v>5.784545454545454E-2</v>
      </c>
      <c r="K4" s="1">
        <f t="shared" si="1"/>
        <v>6.4272727272727259E-2</v>
      </c>
      <c r="L4" s="1">
        <f t="shared" si="1"/>
        <v>6.9781818181818167E-2</v>
      </c>
      <c r="M4" s="1">
        <f t="shared" si="1"/>
        <v>7.5290909090909075E-2</v>
      </c>
      <c r="N4" s="1">
        <f t="shared" si="1"/>
        <v>8.0799999999999983E-2</v>
      </c>
      <c r="O4" s="1">
        <f t="shared" si="1"/>
        <v>8.5390909090909073E-2</v>
      </c>
      <c r="P4" s="1">
        <f t="shared" si="1"/>
        <v>9.0899999999999981E-2</v>
      </c>
    </row>
    <row r="5" spans="1:16" x14ac:dyDescent="0.25">
      <c r="A5" s="3" t="s">
        <v>6</v>
      </c>
      <c r="B5" s="2">
        <v>8.3999999999999995E-3</v>
      </c>
      <c r="C5" s="2">
        <v>2.0899999999999998E-2</v>
      </c>
      <c r="D5" s="2">
        <v>3.1E-2</v>
      </c>
      <c r="E5" s="1">
        <f t="shared" ref="E5:P5" si="2">D5*E31/D31</f>
        <v>4.6500000000000007E-2</v>
      </c>
      <c r="F5" s="1">
        <f t="shared" si="2"/>
        <v>6.481818181818183E-2</v>
      </c>
      <c r="G5" s="1">
        <f t="shared" si="2"/>
        <v>8.4545454545454549E-2</v>
      </c>
      <c r="H5" s="1">
        <f t="shared" si="2"/>
        <v>0.1070909090909091</v>
      </c>
      <c r="I5" s="1">
        <f t="shared" si="2"/>
        <v>0.12681818181818183</v>
      </c>
      <c r="J5" s="1">
        <f t="shared" si="2"/>
        <v>0.14795454545454548</v>
      </c>
      <c r="K5" s="1">
        <f t="shared" si="2"/>
        <v>0.1690909090909091</v>
      </c>
      <c r="L5" s="1">
        <f t="shared" si="2"/>
        <v>0.18881818181818186</v>
      </c>
      <c r="M5" s="1">
        <f t="shared" si="2"/>
        <v>0.20572727272727276</v>
      </c>
      <c r="N5" s="1">
        <f t="shared" si="2"/>
        <v>0.2240454545454546</v>
      </c>
      <c r="O5" s="1">
        <f t="shared" si="2"/>
        <v>0.2409545454545455</v>
      </c>
      <c r="P5" s="1">
        <f t="shared" si="2"/>
        <v>0.25927272727272738</v>
      </c>
    </row>
    <row r="6" spans="1:16" x14ac:dyDescent="0.25">
      <c r="A6" s="3" t="s">
        <v>132</v>
      </c>
      <c r="B6" s="2">
        <v>1.9E-2</v>
      </c>
      <c r="C6" s="2">
        <v>5.0299999999999997E-2</v>
      </c>
      <c r="D6" s="2">
        <v>8.2900000000000001E-2</v>
      </c>
      <c r="E6" s="1">
        <f t="shared" ref="E6:P6" si="3">D6*E32/D32</f>
        <v>0.12600799999999998</v>
      </c>
      <c r="F6" s="1">
        <f t="shared" si="3"/>
        <v>0.17022133333333334</v>
      </c>
      <c r="G6" s="1">
        <f t="shared" si="3"/>
        <v>0.21443466666666666</v>
      </c>
      <c r="H6" s="1">
        <f t="shared" si="3"/>
        <v>0.25091066666666667</v>
      </c>
      <c r="I6" s="1">
        <f t="shared" si="3"/>
        <v>0.28849200000000003</v>
      </c>
      <c r="J6" s="1">
        <f t="shared" si="3"/>
        <v>0.32386266666666674</v>
      </c>
      <c r="K6" s="1">
        <f t="shared" si="3"/>
        <v>0.35812800000000011</v>
      </c>
      <c r="L6" s="1">
        <f t="shared" si="3"/>
        <v>0.39239333333333343</v>
      </c>
      <c r="M6" s="1">
        <f t="shared" si="3"/>
        <v>0.42002666666666677</v>
      </c>
      <c r="N6" s="1">
        <f t="shared" si="3"/>
        <v>0.44544933333333353</v>
      </c>
      <c r="O6" s="1">
        <f t="shared" si="3"/>
        <v>0.47308266666666687</v>
      </c>
      <c r="P6" s="1">
        <f t="shared" si="3"/>
        <v>0.50182133333333345</v>
      </c>
    </row>
    <row r="7" spans="1:16" x14ac:dyDescent="0.25">
      <c r="A7" s="3" t="s">
        <v>7</v>
      </c>
      <c r="B7" s="2">
        <v>3.4700000000000002E-2</v>
      </c>
      <c r="C7" s="2">
        <v>9.3600000000000003E-2</v>
      </c>
      <c r="D7" s="2">
        <v>0.14000000000000001</v>
      </c>
      <c r="E7" s="1">
        <f t="shared" ref="E7:P7" si="4">D7*E33/D33</f>
        <v>0.20190751445086708</v>
      </c>
      <c r="F7" s="1">
        <f t="shared" si="4"/>
        <v>0.26017341040462427</v>
      </c>
      <c r="G7" s="1">
        <f t="shared" si="4"/>
        <v>0.31358381502890176</v>
      </c>
      <c r="H7" s="1">
        <f t="shared" si="4"/>
        <v>0.35971098265895962</v>
      </c>
      <c r="I7" s="1">
        <f t="shared" si="4"/>
        <v>0.40057803468208103</v>
      </c>
      <c r="J7" s="1">
        <f t="shared" si="4"/>
        <v>0.43780346820809263</v>
      </c>
      <c r="K7" s="1">
        <f t="shared" si="4"/>
        <v>0.47098265895953778</v>
      </c>
      <c r="L7" s="1">
        <f t="shared" si="4"/>
        <v>0.49890173410404648</v>
      </c>
      <c r="M7" s="1">
        <f t="shared" si="4"/>
        <v>0.52560693641618528</v>
      </c>
      <c r="N7" s="1">
        <f t="shared" si="4"/>
        <v>0.54988439306358416</v>
      </c>
      <c r="O7" s="1">
        <f t="shared" si="4"/>
        <v>0.57011560693641661</v>
      </c>
      <c r="P7" s="1">
        <f t="shared" si="4"/>
        <v>0.59277456647398896</v>
      </c>
    </row>
    <row r="8" spans="1:16" x14ac:dyDescent="0.25">
      <c r="A8" s="3" t="s">
        <v>8</v>
      </c>
      <c r="B8" s="2">
        <v>7.9399999999999998E-2</v>
      </c>
      <c r="C8" s="2">
        <v>0.14810000000000001</v>
      </c>
      <c r="D8" s="2">
        <v>0.2177</v>
      </c>
      <c r="E8" s="1">
        <f t="shared" ref="E8:P8" si="5">D8*E34/D34</f>
        <v>0.27587685106382981</v>
      </c>
      <c r="F8" s="1">
        <f t="shared" si="5"/>
        <v>0.32145489361702134</v>
      </c>
      <c r="G8" s="1">
        <f t="shared" si="5"/>
        <v>0.35869548936170215</v>
      </c>
      <c r="H8" s="1">
        <f t="shared" si="5"/>
        <v>0.38889557446808515</v>
      </c>
      <c r="I8" s="1">
        <f t="shared" si="5"/>
        <v>0.41335208510638299</v>
      </c>
      <c r="J8" s="1">
        <f t="shared" si="5"/>
        <v>0.43540000000000006</v>
      </c>
      <c r="K8" s="1">
        <f t="shared" si="5"/>
        <v>0.45615097872340432</v>
      </c>
      <c r="L8" s="1">
        <f t="shared" si="5"/>
        <v>0.47393753191489363</v>
      </c>
      <c r="M8" s="1">
        <f t="shared" si="5"/>
        <v>0.48746272340425534</v>
      </c>
      <c r="N8" s="1">
        <f t="shared" si="5"/>
        <v>0.50006153191489366</v>
      </c>
      <c r="O8" s="1">
        <f t="shared" si="5"/>
        <v>0.51191923404255324</v>
      </c>
      <c r="P8" s="1">
        <f t="shared" si="5"/>
        <v>0.5232211063829787</v>
      </c>
    </row>
    <row r="9" spans="1:16" x14ac:dyDescent="0.25">
      <c r="A9" s="3" t="s">
        <v>9</v>
      </c>
      <c r="B9" s="2">
        <v>0.21540000000000001</v>
      </c>
      <c r="C9" s="2">
        <v>0.3231</v>
      </c>
      <c r="D9" s="2">
        <v>0.33850000000000002</v>
      </c>
      <c r="E9" s="1">
        <f t="shared" ref="E9:P10" si="6">D9*E35/D35</f>
        <v>0.36142008291110089</v>
      </c>
      <c r="F9" s="1">
        <f t="shared" si="6"/>
        <v>0.37872708429295254</v>
      </c>
      <c r="G9" s="1">
        <f t="shared" si="6"/>
        <v>0.38675690925840628</v>
      </c>
      <c r="H9" s="1">
        <f t="shared" si="6"/>
        <v>0.39564428834638421</v>
      </c>
      <c r="I9" s="1">
        <f t="shared" si="6"/>
        <v>0.40141328880700144</v>
      </c>
      <c r="J9" s="1">
        <f t="shared" si="6"/>
        <v>0.40663657300783052</v>
      </c>
      <c r="K9" s="1">
        <f t="shared" si="6"/>
        <v>0.41131414094887153</v>
      </c>
      <c r="L9" s="1">
        <f t="shared" si="6"/>
        <v>0.41482231690465232</v>
      </c>
      <c r="M9" s="1">
        <f t="shared" si="6"/>
        <v>0.41848641179180107</v>
      </c>
      <c r="N9" s="1">
        <f t="shared" si="6"/>
        <v>0.42277418240442194</v>
      </c>
      <c r="O9" s="1">
        <f t="shared" si="6"/>
        <v>0.42636031782588668</v>
      </c>
      <c r="P9" s="1">
        <f t="shared" si="6"/>
        <v>0.42690603408567479</v>
      </c>
    </row>
    <row r="10" spans="1:16" x14ac:dyDescent="0.25">
      <c r="A10" s="3" t="s">
        <v>10</v>
      </c>
      <c r="B10" s="2">
        <v>0.36359999999999998</v>
      </c>
      <c r="C10" s="2">
        <v>0.54549999999999998</v>
      </c>
      <c r="D10" s="2">
        <v>0.63639999999999997</v>
      </c>
      <c r="E10" s="1">
        <f t="shared" si="6"/>
        <v>0.67949111008751728</v>
      </c>
      <c r="F10" s="1">
        <f t="shared" si="6"/>
        <v>0.71202929525564262</v>
      </c>
      <c r="G10" s="1">
        <f t="shared" si="6"/>
        <v>0.72712584062643959</v>
      </c>
      <c r="H10" s="1">
        <f t="shared" si="6"/>
        <v>0.74383463841547681</v>
      </c>
      <c r="I10" s="1">
        <f t="shared" si="6"/>
        <v>0.75468070013818522</v>
      </c>
      <c r="J10" s="1">
        <f t="shared" si="6"/>
        <v>0.76450078304928593</v>
      </c>
      <c r="K10" s="1">
        <f t="shared" si="6"/>
        <v>0.77329488714877925</v>
      </c>
      <c r="L10" s="1">
        <f t="shared" si="6"/>
        <v>0.77989046522339933</v>
      </c>
      <c r="M10" s="1">
        <f t="shared" si="6"/>
        <v>0.78677918010133574</v>
      </c>
      <c r="N10" s="1">
        <f t="shared" si="6"/>
        <v>0.79484044219253791</v>
      </c>
      <c r="O10" s="1">
        <f t="shared" si="6"/>
        <v>0.80158258866881615</v>
      </c>
      <c r="P10" s="1">
        <f t="shared" si="6"/>
        <v>0.80260856748042364</v>
      </c>
    </row>
    <row r="11" spans="1:16" x14ac:dyDescent="0.25">
      <c r="A11" s="3" t="s">
        <v>133</v>
      </c>
      <c r="B11" s="2">
        <v>1</v>
      </c>
      <c r="C11" s="2">
        <v>1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</row>
    <row r="12" spans="1:16" x14ac:dyDescent="0.25">
      <c r="A12" s="3" t="s">
        <v>134</v>
      </c>
      <c r="B12" s="2">
        <v>1</v>
      </c>
      <c r="C12" s="2">
        <v>1</v>
      </c>
      <c r="D12" s="2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</row>
    <row r="14" spans="1:16" x14ac:dyDescent="0.25">
      <c r="A14" s="41" t="s">
        <v>135</v>
      </c>
    </row>
    <row r="15" spans="1:16" x14ac:dyDescent="0.25">
      <c r="A15" s="40" t="s">
        <v>129</v>
      </c>
      <c r="B15" s="40" t="s">
        <v>128</v>
      </c>
      <c r="C15" s="40" t="s">
        <v>130</v>
      </c>
      <c r="D15" s="40" t="s">
        <v>131</v>
      </c>
    </row>
    <row r="16" spans="1:16" x14ac:dyDescent="0.25">
      <c r="A16" s="182">
        <v>1</v>
      </c>
      <c r="B16" s="182" t="s">
        <v>4</v>
      </c>
      <c r="C16" s="182">
        <v>100</v>
      </c>
      <c r="D16" s="182">
        <v>90</v>
      </c>
    </row>
    <row r="17" spans="1:16" x14ac:dyDescent="0.25">
      <c r="A17" s="182">
        <v>2</v>
      </c>
      <c r="B17" s="182" t="s">
        <v>5</v>
      </c>
      <c r="C17" s="182">
        <v>90</v>
      </c>
      <c r="D17" s="182">
        <v>80</v>
      </c>
    </row>
    <row r="18" spans="1:16" x14ac:dyDescent="0.25">
      <c r="A18" s="182">
        <v>3</v>
      </c>
      <c r="B18" s="182" t="s">
        <v>6</v>
      </c>
      <c r="C18" s="182">
        <v>80</v>
      </c>
      <c r="D18" s="182">
        <v>70</v>
      </c>
    </row>
    <row r="19" spans="1:16" x14ac:dyDescent="0.25">
      <c r="A19" s="182">
        <v>4</v>
      </c>
      <c r="B19" s="182" t="s">
        <v>132</v>
      </c>
      <c r="C19" s="182">
        <v>70</v>
      </c>
      <c r="D19" s="182">
        <v>60</v>
      </c>
    </row>
    <row r="20" spans="1:16" x14ac:dyDescent="0.25">
      <c r="A20" s="182">
        <v>5</v>
      </c>
      <c r="B20" s="182" t="s">
        <v>7</v>
      </c>
      <c r="C20" s="182">
        <v>60</v>
      </c>
      <c r="D20" s="182">
        <v>50</v>
      </c>
    </row>
    <row r="21" spans="1:16" x14ac:dyDescent="0.25">
      <c r="A21" s="182">
        <v>6</v>
      </c>
      <c r="B21" s="182" t="s">
        <v>8</v>
      </c>
      <c r="C21" s="182">
        <v>50</v>
      </c>
      <c r="D21" s="182">
        <v>34</v>
      </c>
    </row>
    <row r="22" spans="1:16" x14ac:dyDescent="0.25">
      <c r="A22" s="182">
        <v>7</v>
      </c>
      <c r="B22" s="182" t="s">
        <v>9</v>
      </c>
      <c r="C22" s="182">
        <v>34</v>
      </c>
      <c r="D22" s="182">
        <v>17</v>
      </c>
    </row>
    <row r="23" spans="1:16" x14ac:dyDescent="0.25">
      <c r="A23" s="182">
        <v>8</v>
      </c>
      <c r="B23" s="182" t="s">
        <v>10</v>
      </c>
      <c r="C23" s="182">
        <v>17</v>
      </c>
      <c r="D23" s="182">
        <v>0</v>
      </c>
    </row>
    <row r="24" spans="1:16" x14ac:dyDescent="0.25">
      <c r="A24" s="182">
        <v>9</v>
      </c>
      <c r="B24" s="182" t="s">
        <v>133</v>
      </c>
      <c r="C24" s="182">
        <v>0</v>
      </c>
      <c r="D24" s="182">
        <v>0</v>
      </c>
    </row>
    <row r="25" spans="1:16" x14ac:dyDescent="0.25">
      <c r="A25" s="182">
        <v>10</v>
      </c>
      <c r="B25" s="182" t="s">
        <v>134</v>
      </c>
      <c r="C25" s="182">
        <v>0</v>
      </c>
      <c r="D25" s="182">
        <v>0</v>
      </c>
    </row>
    <row r="27" spans="1:16" x14ac:dyDescent="0.25">
      <c r="A27" s="154" t="s">
        <v>267</v>
      </c>
      <c r="B27" s="153" t="s">
        <v>266</v>
      </c>
    </row>
    <row r="28" spans="1:16" x14ac:dyDescent="0.25">
      <c r="A28" s="152" t="s">
        <v>249</v>
      </c>
      <c r="B28" s="152" t="s">
        <v>250</v>
      </c>
      <c r="C28" s="152" t="s">
        <v>251</v>
      </c>
      <c r="D28" s="152" t="s">
        <v>252</v>
      </c>
      <c r="E28" s="152" t="s">
        <v>253</v>
      </c>
      <c r="F28" s="152" t="s">
        <v>254</v>
      </c>
      <c r="G28" s="152" t="s">
        <v>255</v>
      </c>
      <c r="H28" s="152" t="s">
        <v>256</v>
      </c>
      <c r="I28" s="152" t="s">
        <v>257</v>
      </c>
      <c r="J28" s="152" t="s">
        <v>258</v>
      </c>
      <c r="K28" s="152" t="s">
        <v>259</v>
      </c>
      <c r="L28" s="152" t="s">
        <v>260</v>
      </c>
      <c r="M28" s="152" t="s">
        <v>261</v>
      </c>
      <c r="N28" s="152" t="s">
        <v>262</v>
      </c>
      <c r="O28" s="152" t="s">
        <v>263</v>
      </c>
      <c r="P28" s="152" t="s">
        <v>264</v>
      </c>
    </row>
    <row r="29" spans="1:16" x14ac:dyDescent="0.25">
      <c r="A29" s="152" t="s">
        <v>4</v>
      </c>
      <c r="B29" s="155">
        <v>0</v>
      </c>
      <c r="C29" s="155">
        <v>0.03</v>
      </c>
      <c r="D29" s="155">
        <v>0.13</v>
      </c>
      <c r="E29" s="155">
        <v>0.24</v>
      </c>
      <c r="F29" s="155">
        <v>0.34</v>
      </c>
      <c r="G29" s="155">
        <v>0.45</v>
      </c>
      <c r="H29" s="155">
        <v>0.51</v>
      </c>
      <c r="I29" s="155">
        <v>0.59</v>
      </c>
      <c r="J29" s="155">
        <v>0.64</v>
      </c>
      <c r="K29" s="155">
        <v>0.7</v>
      </c>
      <c r="L29" s="155">
        <v>0.72</v>
      </c>
      <c r="M29" s="155">
        <v>0.75</v>
      </c>
      <c r="N29" s="155">
        <v>0.78</v>
      </c>
      <c r="O29" s="155">
        <v>0.84</v>
      </c>
      <c r="P29" s="155">
        <v>0.9</v>
      </c>
    </row>
    <row r="30" spans="1:16" x14ac:dyDescent="0.25">
      <c r="A30" s="152" t="s">
        <v>5</v>
      </c>
      <c r="B30" s="155">
        <v>0.02</v>
      </c>
      <c r="C30" s="155">
        <v>0.06</v>
      </c>
      <c r="D30" s="155">
        <v>0.11</v>
      </c>
      <c r="E30" s="155">
        <v>0.21</v>
      </c>
      <c r="F30" s="155">
        <v>0.3</v>
      </c>
      <c r="G30" s="155">
        <v>0.41</v>
      </c>
      <c r="H30" s="155">
        <v>0.49</v>
      </c>
      <c r="I30" s="155">
        <v>0.56000000000000005</v>
      </c>
      <c r="J30" s="155">
        <v>0.63</v>
      </c>
      <c r="K30" s="155">
        <v>0.7</v>
      </c>
      <c r="L30" s="155">
        <v>0.76</v>
      </c>
      <c r="M30" s="155">
        <v>0.82</v>
      </c>
      <c r="N30" s="155">
        <v>0.88</v>
      </c>
      <c r="O30" s="155">
        <v>0.93</v>
      </c>
      <c r="P30" s="155">
        <v>0.99</v>
      </c>
    </row>
    <row r="31" spans="1:16" x14ac:dyDescent="0.25">
      <c r="A31" s="152" t="s">
        <v>6</v>
      </c>
      <c r="B31" s="155">
        <v>0.05</v>
      </c>
      <c r="C31" s="155">
        <v>0.13</v>
      </c>
      <c r="D31" s="155">
        <v>0.22</v>
      </c>
      <c r="E31" s="155">
        <v>0.33</v>
      </c>
      <c r="F31" s="155">
        <v>0.46</v>
      </c>
      <c r="G31" s="155">
        <v>0.6</v>
      </c>
      <c r="H31" s="155">
        <v>0.76</v>
      </c>
      <c r="I31" s="155">
        <v>0.9</v>
      </c>
      <c r="J31" s="155">
        <v>1.05</v>
      </c>
      <c r="K31" s="155">
        <v>1.2</v>
      </c>
      <c r="L31" s="155">
        <v>1.34</v>
      </c>
      <c r="M31" s="155">
        <v>1.46</v>
      </c>
      <c r="N31" s="155">
        <v>1.59</v>
      </c>
      <c r="O31" s="155">
        <v>1.71</v>
      </c>
      <c r="P31" s="155">
        <v>1.84</v>
      </c>
    </row>
    <row r="32" spans="1:16" x14ac:dyDescent="0.25">
      <c r="A32" s="152" t="s">
        <v>132</v>
      </c>
      <c r="B32" s="155">
        <v>0.16</v>
      </c>
      <c r="C32" s="155">
        <v>0.43</v>
      </c>
      <c r="D32" s="155">
        <v>0.75</v>
      </c>
      <c r="E32" s="155">
        <v>1.1399999999999999</v>
      </c>
      <c r="F32" s="155">
        <v>1.54</v>
      </c>
      <c r="G32" s="155">
        <v>1.94</v>
      </c>
      <c r="H32" s="155">
        <v>2.27</v>
      </c>
      <c r="I32" s="155">
        <v>2.61</v>
      </c>
      <c r="J32" s="155">
        <v>2.93</v>
      </c>
      <c r="K32" s="155">
        <v>3.24</v>
      </c>
      <c r="L32" s="155">
        <v>3.55</v>
      </c>
      <c r="M32" s="155">
        <v>3.8</v>
      </c>
      <c r="N32" s="155">
        <v>4.03</v>
      </c>
      <c r="O32" s="155">
        <v>4.28</v>
      </c>
      <c r="P32" s="155">
        <v>4.54</v>
      </c>
    </row>
    <row r="33" spans="1:16" x14ac:dyDescent="0.25">
      <c r="A33" s="152" t="s">
        <v>7</v>
      </c>
      <c r="B33" s="155">
        <v>0.63</v>
      </c>
      <c r="C33" s="155">
        <v>1.93</v>
      </c>
      <c r="D33" s="155">
        <v>3.46</v>
      </c>
      <c r="E33" s="155">
        <v>4.99</v>
      </c>
      <c r="F33" s="155">
        <v>6.43</v>
      </c>
      <c r="G33" s="155">
        <v>7.75</v>
      </c>
      <c r="H33" s="155">
        <v>8.89</v>
      </c>
      <c r="I33" s="155">
        <v>9.9</v>
      </c>
      <c r="J33" s="155">
        <v>10.82</v>
      </c>
      <c r="K33" s="155">
        <v>11.64</v>
      </c>
      <c r="L33" s="155">
        <v>12.33</v>
      </c>
      <c r="M33" s="155">
        <v>12.99</v>
      </c>
      <c r="N33" s="155">
        <v>13.59</v>
      </c>
      <c r="O33" s="155">
        <v>14.09</v>
      </c>
      <c r="P33" s="155">
        <v>14.65</v>
      </c>
    </row>
    <row r="34" spans="1:16" x14ac:dyDescent="0.25">
      <c r="A34" s="152" t="s">
        <v>8</v>
      </c>
      <c r="B34" s="155">
        <v>3.34</v>
      </c>
      <c r="C34" s="155">
        <v>7.8</v>
      </c>
      <c r="D34" s="155">
        <v>11.75</v>
      </c>
      <c r="E34" s="155">
        <v>14.89</v>
      </c>
      <c r="F34" s="155">
        <v>17.350000000000001</v>
      </c>
      <c r="G34" s="155">
        <v>19.36</v>
      </c>
      <c r="H34" s="155">
        <v>20.99</v>
      </c>
      <c r="I34" s="155">
        <v>22.31</v>
      </c>
      <c r="J34" s="155">
        <v>23.5</v>
      </c>
      <c r="K34" s="155">
        <v>24.62</v>
      </c>
      <c r="L34" s="155">
        <v>25.58</v>
      </c>
      <c r="M34" s="155">
        <v>26.31</v>
      </c>
      <c r="N34" s="155">
        <v>26.99</v>
      </c>
      <c r="O34" s="155">
        <v>27.63</v>
      </c>
      <c r="P34" s="155">
        <v>28.24</v>
      </c>
    </row>
    <row r="35" spans="1:16" x14ac:dyDescent="0.25">
      <c r="A35" s="152" t="s">
        <v>265</v>
      </c>
      <c r="B35" s="155">
        <v>28.3</v>
      </c>
      <c r="C35" s="155">
        <v>38.33</v>
      </c>
      <c r="D35" s="155">
        <v>43.42</v>
      </c>
      <c r="E35" s="155">
        <v>46.36</v>
      </c>
      <c r="F35" s="155">
        <v>48.58</v>
      </c>
      <c r="G35" s="155">
        <v>49.61</v>
      </c>
      <c r="H35" s="155">
        <v>50.75</v>
      </c>
      <c r="I35" s="155">
        <v>51.49</v>
      </c>
      <c r="J35" s="155">
        <v>52.16</v>
      </c>
      <c r="K35" s="155">
        <v>52.76</v>
      </c>
      <c r="L35" s="155">
        <v>53.21</v>
      </c>
      <c r="M35" s="155">
        <v>53.68</v>
      </c>
      <c r="N35" s="155">
        <v>54.23</v>
      </c>
      <c r="O35" s="155">
        <v>54.69</v>
      </c>
      <c r="P35" s="155">
        <v>54.76</v>
      </c>
    </row>
    <row r="36" spans="1:16" x14ac:dyDescent="0.25">
      <c r="A36" s="152" t="s">
        <v>265</v>
      </c>
      <c r="B36" s="155">
        <v>28.3</v>
      </c>
      <c r="C36" s="155">
        <v>38.33</v>
      </c>
      <c r="D36" s="155">
        <v>43.42</v>
      </c>
      <c r="E36" s="155">
        <v>46.36</v>
      </c>
      <c r="F36" s="155">
        <v>48.58</v>
      </c>
      <c r="G36" s="155">
        <v>49.61</v>
      </c>
      <c r="H36" s="155">
        <v>50.75</v>
      </c>
      <c r="I36" s="155">
        <v>51.49</v>
      </c>
      <c r="J36" s="155">
        <v>52.16</v>
      </c>
      <c r="K36" s="155">
        <v>52.76</v>
      </c>
      <c r="L36" s="155">
        <v>53.21</v>
      </c>
      <c r="M36" s="155">
        <v>53.68</v>
      </c>
      <c r="N36" s="155">
        <v>54.23</v>
      </c>
      <c r="O36" s="155">
        <v>54.69</v>
      </c>
      <c r="P36" s="155">
        <v>54.76</v>
      </c>
    </row>
    <row r="37" spans="1:16" x14ac:dyDescent="0.25">
      <c r="A37" s="152" t="s">
        <v>265</v>
      </c>
      <c r="B37" s="155">
        <v>28.3</v>
      </c>
      <c r="C37" s="155">
        <v>38.33</v>
      </c>
      <c r="D37" s="155">
        <v>43.42</v>
      </c>
      <c r="E37" s="155">
        <v>46.36</v>
      </c>
      <c r="F37" s="155">
        <v>48.58</v>
      </c>
      <c r="G37" s="155">
        <v>49.61</v>
      </c>
      <c r="H37" s="155">
        <v>50.75</v>
      </c>
      <c r="I37" s="155">
        <v>51.49</v>
      </c>
      <c r="J37" s="155">
        <v>52.16</v>
      </c>
      <c r="K37" s="155">
        <v>52.76</v>
      </c>
      <c r="L37" s="155">
        <v>53.21</v>
      </c>
      <c r="M37" s="155">
        <v>53.68</v>
      </c>
      <c r="N37" s="155">
        <v>54.23</v>
      </c>
      <c r="O37" s="155">
        <v>54.69</v>
      </c>
      <c r="P37" s="155">
        <v>54.76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Normal="100" workbookViewId="0">
      <selection activeCell="X5" sqref="X5"/>
    </sheetView>
  </sheetViews>
  <sheetFormatPr defaultRowHeight="15" outlineLevelCol="1" x14ac:dyDescent="0.25"/>
  <cols>
    <col min="1" max="1" width="13.5703125" bestFit="1" customWidth="1"/>
    <col min="2" max="3" width="8.42578125" customWidth="1" outlineLevel="1"/>
    <col min="4" max="4" width="6.7109375" customWidth="1" outlineLevel="1"/>
    <col min="5" max="5" width="9" customWidth="1" outlineLevel="1"/>
    <col min="6" max="6" width="6.7109375" customWidth="1" outlineLevel="1"/>
    <col min="7" max="7" width="9" customWidth="1" outlineLevel="1"/>
    <col min="8" max="8" width="9.140625" customWidth="1" outlineLevel="1"/>
    <col min="9" max="9" width="8.42578125" customWidth="1" outlineLevel="1"/>
    <col min="10" max="10" width="9.140625" customWidth="1" outlineLevel="1"/>
    <col min="11" max="11" width="8.42578125" customWidth="1" outlineLevel="1"/>
    <col min="12" max="12" width="9.140625" customWidth="1" outlineLevel="1"/>
    <col min="13" max="13" width="8.42578125" customWidth="1" outlineLevel="1"/>
    <col min="14" max="14" width="9.140625" customWidth="1" outlineLevel="1"/>
    <col min="15" max="15" width="8.42578125" customWidth="1" outlineLevel="1"/>
    <col min="16" max="17" width="9.140625" customWidth="1" outlineLevel="1"/>
    <col min="18" max="18" width="9.5703125" customWidth="1" outlineLevel="1"/>
    <col min="19" max="19" width="9.140625" customWidth="1" outlineLevel="1"/>
    <col min="20" max="20" width="9.5703125" customWidth="1" outlineLevel="1"/>
    <col min="21" max="21" width="9.5703125" customWidth="1"/>
    <col min="22" max="22" width="13.85546875" customWidth="1"/>
    <col min="24" max="24" width="9.85546875" bestFit="1" customWidth="1"/>
    <col min="26" max="26" width="16.140625" bestFit="1" customWidth="1"/>
    <col min="27" max="27" width="10" customWidth="1"/>
    <col min="28" max="28" width="16.140625" bestFit="1" customWidth="1"/>
    <col min="29" max="29" width="10" customWidth="1"/>
  </cols>
  <sheetData>
    <row r="1" spans="1:29" x14ac:dyDescent="0.25">
      <c r="B1" s="203" t="s">
        <v>206</v>
      </c>
      <c r="C1" s="204"/>
      <c r="P1" s="209" t="s">
        <v>218</v>
      </c>
      <c r="Q1" s="210"/>
      <c r="R1" s="211"/>
      <c r="T1" s="212" t="s">
        <v>219</v>
      </c>
      <c r="U1" s="212"/>
      <c r="V1" s="212"/>
    </row>
    <row r="2" spans="1:29" x14ac:dyDescent="0.25">
      <c r="B2" s="30" t="s">
        <v>220</v>
      </c>
      <c r="C2" s="124">
        <f>AVERAGE(V29:V32)</f>
        <v>98.219273117659355</v>
      </c>
      <c r="P2" s="30" t="s">
        <v>221</v>
      </c>
      <c r="Q2" s="30" t="s">
        <v>222</v>
      </c>
      <c r="R2" s="114" t="s">
        <v>223</v>
      </c>
      <c r="T2" s="30" t="s">
        <v>221</v>
      </c>
      <c r="U2" s="30" t="s">
        <v>222</v>
      </c>
      <c r="V2" s="114" t="s">
        <v>223</v>
      </c>
    </row>
    <row r="3" spans="1:29" x14ac:dyDescent="0.25">
      <c r="B3" s="30" t="s">
        <v>224</v>
      </c>
      <c r="C3" s="124" t="e">
        <f>AVERAGE(X29:X32)</f>
        <v>#DIV/0!</v>
      </c>
      <c r="P3" s="114" t="s">
        <v>225</v>
      </c>
      <c r="Q3" s="125">
        <f>R3/SUM($R$3:$R$7)*100</f>
        <v>30.647734417924212</v>
      </c>
      <c r="R3" s="126">
        <f>ABS(CORREL(B17:B28,U17:U28))</f>
        <v>0.44190895942399927</v>
      </c>
      <c r="T3" s="114" t="s">
        <v>225</v>
      </c>
      <c r="U3" s="125" t="e">
        <f>V3/SUM($V$3:$V$7)*100</f>
        <v>#DIV/0!</v>
      </c>
      <c r="V3" s="126" t="e">
        <f>ABS(CORREL(B17:B28,W17:W28))</f>
        <v>#DIV/0!</v>
      </c>
    </row>
    <row r="4" spans="1:29" x14ac:dyDescent="0.25">
      <c r="P4" s="114" t="s">
        <v>226</v>
      </c>
      <c r="Q4" s="125">
        <f>R4/SUM($R$3:$R$7)*100</f>
        <v>13.173310582737754</v>
      </c>
      <c r="R4" s="126">
        <f>ABS(CORREL(D17:D28,U17:U28))</f>
        <v>0.18994565446188977</v>
      </c>
      <c r="T4" s="114" t="s">
        <v>226</v>
      </c>
      <c r="U4" s="125" t="e">
        <f>V4/SUM($R$3:$R$7)*100</f>
        <v>#DIV/0!</v>
      </c>
      <c r="V4" s="126" t="e">
        <f>ABS(CORREL(D17:D28,W17:W28))</f>
        <v>#DIV/0!</v>
      </c>
    </row>
    <row r="5" spans="1:29" x14ac:dyDescent="0.25">
      <c r="B5" s="205" t="s">
        <v>227</v>
      </c>
      <c r="C5" s="206"/>
      <c r="P5" s="114" t="s">
        <v>228</v>
      </c>
      <c r="Q5" s="125">
        <f>R5/SUM($R$3:$R$7)*100</f>
        <v>12.256182278183022</v>
      </c>
      <c r="R5" s="126">
        <f>ABS(CORREL(F17:F28,U17:U28))</f>
        <v>0.17672160307859902</v>
      </c>
      <c r="T5" s="114" t="s">
        <v>228</v>
      </c>
      <c r="U5" s="125" t="e">
        <f>V5/SUM($R$3:$R$7)*100</f>
        <v>#DIV/0!</v>
      </c>
      <c r="V5" s="126" t="e">
        <f>ABS(CORREL(F17:F28,W17:W28))</f>
        <v>#DIV/0!</v>
      </c>
    </row>
    <row r="6" spans="1:29" x14ac:dyDescent="0.25">
      <c r="B6" s="30" t="s">
        <v>229</v>
      </c>
      <c r="C6" s="127">
        <v>50</v>
      </c>
      <c r="P6" s="114" t="s">
        <v>230</v>
      </c>
      <c r="Q6" s="125">
        <f>R6/SUM($R$3:$R$7)*100</f>
        <v>33.902401088927114</v>
      </c>
      <c r="R6" s="126">
        <f>ABS(CORREL(H17:H28,U17:U28))</f>
        <v>0.48883792135776294</v>
      </c>
      <c r="T6" s="114" t="s">
        <v>230</v>
      </c>
      <c r="U6" s="125" t="e">
        <f>V6/SUM($R$3:$R$7)*100</f>
        <v>#DIV/0!</v>
      </c>
      <c r="V6" s="126" t="e">
        <f>ABS(CORREL(H17:H28,W17:W28))</f>
        <v>#DIV/0!</v>
      </c>
    </row>
    <row r="7" spans="1:29" x14ac:dyDescent="0.25">
      <c r="B7" s="30" t="s">
        <v>231</v>
      </c>
      <c r="C7" s="127">
        <v>50</v>
      </c>
      <c r="P7" s="114" t="s">
        <v>232</v>
      </c>
      <c r="Q7" s="125">
        <f>R7/SUM($R$3:$R$7)*100</f>
        <v>10.020371632227892</v>
      </c>
      <c r="R7" s="126">
        <f>ABS(CORREL(L17:L28,U17:U28))</f>
        <v>0.14448350212960068</v>
      </c>
      <c r="T7" s="114" t="s">
        <v>232</v>
      </c>
      <c r="U7" s="125" t="e">
        <f>V7/SUM($R$3:$R$7)*100</f>
        <v>#DIV/0!</v>
      </c>
      <c r="V7" s="126" t="e">
        <f>ABS(CORREL(L17:L28,W17:W28))</f>
        <v>#DIV/0!</v>
      </c>
    </row>
    <row r="9" spans="1:29" x14ac:dyDescent="0.25">
      <c r="A9" s="42" t="s">
        <v>233</v>
      </c>
      <c r="U9" t="s">
        <v>220</v>
      </c>
      <c r="W9" t="s">
        <v>224</v>
      </c>
    </row>
    <row r="10" spans="1:29" ht="45" customHeight="1" x14ac:dyDescent="0.25">
      <c r="A10" s="128"/>
      <c r="B10" s="207" t="s">
        <v>234</v>
      </c>
      <c r="C10" s="207"/>
      <c r="D10" s="207" t="s">
        <v>235</v>
      </c>
      <c r="E10" s="207"/>
      <c r="F10" s="207" t="s">
        <v>236</v>
      </c>
      <c r="G10" s="207"/>
      <c r="H10" s="197" t="s">
        <v>237</v>
      </c>
      <c r="I10" s="198"/>
      <c r="J10" s="198"/>
      <c r="K10" s="199"/>
      <c r="L10" s="200" t="s">
        <v>238</v>
      </c>
      <c r="M10" s="201"/>
      <c r="N10" s="201"/>
      <c r="O10" s="202"/>
      <c r="P10" s="194" t="s">
        <v>239</v>
      </c>
      <c r="Q10" s="194" t="s">
        <v>240</v>
      </c>
      <c r="R10" s="194" t="s">
        <v>241</v>
      </c>
      <c r="S10" s="213" t="s">
        <v>230</v>
      </c>
      <c r="T10" s="213" t="s">
        <v>232</v>
      </c>
      <c r="U10" s="213" t="s">
        <v>242</v>
      </c>
      <c r="V10" s="194" t="s">
        <v>243</v>
      </c>
      <c r="W10" s="213" t="s">
        <v>242</v>
      </c>
      <c r="X10" s="194" t="s">
        <v>243</v>
      </c>
      <c r="Z10" s="208" t="s">
        <v>279</v>
      </c>
      <c r="AA10" s="208" t="s">
        <v>280</v>
      </c>
      <c r="AB10" s="208" t="s">
        <v>279</v>
      </c>
      <c r="AC10" s="208" t="s">
        <v>280</v>
      </c>
    </row>
    <row r="11" spans="1:29" x14ac:dyDescent="0.25">
      <c r="A11" s="128"/>
      <c r="B11" s="129" t="s">
        <v>244</v>
      </c>
      <c r="C11" s="129" t="s">
        <v>245</v>
      </c>
      <c r="D11" s="129" t="s">
        <v>244</v>
      </c>
      <c r="E11" s="129" t="s">
        <v>245</v>
      </c>
      <c r="F11" s="129" t="s">
        <v>244</v>
      </c>
      <c r="G11" s="129" t="s">
        <v>245</v>
      </c>
      <c r="H11" s="129" t="s">
        <v>244</v>
      </c>
      <c r="I11" s="129"/>
      <c r="J11" s="129" t="s">
        <v>245</v>
      </c>
      <c r="K11" s="129"/>
      <c r="L11" s="129" t="s">
        <v>244</v>
      </c>
      <c r="M11" s="129"/>
      <c r="N11" s="129" t="s">
        <v>245</v>
      </c>
      <c r="O11" s="129"/>
      <c r="P11" s="195"/>
      <c r="Q11" s="195"/>
      <c r="R11" s="195"/>
      <c r="S11" s="214"/>
      <c r="T11" s="214"/>
      <c r="U11" s="214"/>
      <c r="V11" s="195"/>
      <c r="W11" s="214"/>
      <c r="X11" s="195"/>
      <c r="Z11" s="208"/>
      <c r="AA11" s="208"/>
      <c r="AB11" s="208"/>
      <c r="AC11" s="208"/>
    </row>
    <row r="12" spans="1:29" x14ac:dyDescent="0.25">
      <c r="A12" s="128"/>
      <c r="B12" s="130"/>
      <c r="C12" s="130"/>
      <c r="D12" s="130"/>
      <c r="E12" s="130"/>
      <c r="F12" s="130"/>
      <c r="G12" s="130"/>
      <c r="H12" s="130" t="s">
        <v>246</v>
      </c>
      <c r="I12" s="130" t="s">
        <v>247</v>
      </c>
      <c r="J12" s="130" t="s">
        <v>246</v>
      </c>
      <c r="K12" s="130" t="s">
        <v>247</v>
      </c>
      <c r="L12" s="130" t="s">
        <v>246</v>
      </c>
      <c r="M12" s="130" t="s">
        <v>247</v>
      </c>
      <c r="N12" s="130" t="s">
        <v>246</v>
      </c>
      <c r="O12" s="130" t="s">
        <v>247</v>
      </c>
      <c r="P12" s="196"/>
      <c r="Q12" s="196"/>
      <c r="R12" s="196"/>
      <c r="S12" s="215"/>
      <c r="T12" s="215"/>
      <c r="U12" s="215"/>
      <c r="V12" s="196"/>
      <c r="W12" s="215"/>
      <c r="X12" s="196"/>
      <c r="Z12" s="208"/>
      <c r="AA12" s="208"/>
      <c r="AB12" s="208"/>
      <c r="AC12" s="208"/>
    </row>
    <row r="13" spans="1:29" x14ac:dyDescent="0.25">
      <c r="A13" s="131">
        <v>43100</v>
      </c>
      <c r="B13" s="132"/>
      <c r="C13" s="132"/>
      <c r="D13" s="132"/>
      <c r="E13" s="132"/>
      <c r="F13" s="132"/>
      <c r="G13" s="132"/>
      <c r="H13" s="132">
        <v>53.03</v>
      </c>
      <c r="I13" s="132"/>
      <c r="J13" s="132">
        <v>53.03</v>
      </c>
      <c r="K13" s="132"/>
      <c r="L13" s="132">
        <v>57.600200000000001</v>
      </c>
      <c r="M13" s="132"/>
      <c r="N13" s="132">
        <v>57.600200000000001</v>
      </c>
      <c r="O13" s="132"/>
      <c r="P13" s="133"/>
      <c r="Q13" s="133"/>
      <c r="R13" s="133"/>
      <c r="S13" s="133"/>
      <c r="T13" s="133"/>
      <c r="U13" s="133"/>
      <c r="V13" s="133"/>
      <c r="W13" s="133"/>
      <c r="X13" s="133"/>
      <c r="Z13" s="114">
        <v>32</v>
      </c>
      <c r="AA13" s="114">
        <v>1</v>
      </c>
      <c r="AB13" s="114"/>
      <c r="AC13" s="114"/>
    </row>
    <row r="14" spans="1:29" x14ac:dyDescent="0.25">
      <c r="A14" s="134">
        <v>43190</v>
      </c>
      <c r="B14" s="114"/>
      <c r="C14" s="114"/>
      <c r="D14" s="114"/>
      <c r="E14" s="114"/>
      <c r="F14" s="114"/>
      <c r="G14" s="114"/>
      <c r="H14" s="135">
        <f>H17</f>
        <v>70.010000000000005</v>
      </c>
      <c r="I14" s="114"/>
      <c r="J14" s="135">
        <f>J17</f>
        <v>70.010000000000005</v>
      </c>
      <c r="K14" s="114"/>
      <c r="L14" s="135">
        <v>56.807699999999997</v>
      </c>
      <c r="M14" s="114"/>
      <c r="N14" s="135">
        <v>56.807699999999997</v>
      </c>
      <c r="O14" s="114"/>
      <c r="P14" s="136"/>
      <c r="Q14" s="136"/>
      <c r="R14" s="136"/>
      <c r="S14" s="136"/>
      <c r="T14" s="136"/>
      <c r="U14" s="136"/>
      <c r="V14" s="137"/>
      <c r="W14" s="136"/>
      <c r="X14" s="137"/>
      <c r="Z14" s="114">
        <v>35</v>
      </c>
      <c r="AA14" s="114">
        <v>1</v>
      </c>
      <c r="AB14" s="114"/>
      <c r="AC14" s="114"/>
    </row>
    <row r="15" spans="1:29" x14ac:dyDescent="0.25">
      <c r="A15" s="134">
        <v>43281</v>
      </c>
      <c r="B15" s="114"/>
      <c r="C15" s="114"/>
      <c r="D15" s="114"/>
      <c r="E15" s="114"/>
      <c r="F15" s="114"/>
      <c r="G15" s="114"/>
      <c r="H15" s="135">
        <f>H17</f>
        <v>70.010000000000005</v>
      </c>
      <c r="I15" s="114"/>
      <c r="J15" s="135">
        <f>J17</f>
        <v>70.010000000000005</v>
      </c>
      <c r="K15" s="114"/>
      <c r="L15" s="135">
        <v>61.8797</v>
      </c>
      <c r="M15" s="114"/>
      <c r="N15" s="135">
        <v>61.8797</v>
      </c>
      <c r="O15" s="114"/>
      <c r="P15" s="136"/>
      <c r="Q15" s="136"/>
      <c r="R15" s="136"/>
      <c r="S15" s="136"/>
      <c r="T15" s="136"/>
      <c r="U15" s="136"/>
      <c r="V15" s="137"/>
      <c r="W15" s="136"/>
      <c r="X15" s="137"/>
      <c r="Z15" s="114">
        <v>31</v>
      </c>
      <c r="AA15" s="114">
        <v>1</v>
      </c>
      <c r="AB15" s="114"/>
      <c r="AC15" s="114"/>
    </row>
    <row r="16" spans="1:29" x14ac:dyDescent="0.25">
      <c r="A16" s="134">
        <v>43373</v>
      </c>
      <c r="B16" s="114"/>
      <c r="C16" s="114"/>
      <c r="D16" s="114"/>
      <c r="E16" s="114"/>
      <c r="F16" s="114"/>
      <c r="G16" s="114"/>
      <c r="H16" s="135">
        <f>H17</f>
        <v>70.010000000000005</v>
      </c>
      <c r="I16" s="114"/>
      <c r="J16" s="135">
        <f>J17</f>
        <v>70.010000000000005</v>
      </c>
      <c r="K16" s="114"/>
      <c r="L16" s="135">
        <v>65.567800000000005</v>
      </c>
      <c r="M16" s="114"/>
      <c r="N16" s="135">
        <v>65.567800000000005</v>
      </c>
      <c r="O16" s="114"/>
      <c r="P16" s="136"/>
      <c r="Q16" s="136"/>
      <c r="R16" s="136"/>
      <c r="S16" s="136"/>
      <c r="T16" s="136"/>
      <c r="U16" s="136"/>
      <c r="V16" s="137"/>
      <c r="W16" s="136"/>
      <c r="X16" s="138"/>
      <c r="Y16" s="139"/>
      <c r="Z16" s="181">
        <v>33</v>
      </c>
      <c r="AA16" s="114">
        <v>1</v>
      </c>
      <c r="AB16" s="181"/>
      <c r="AC16" s="181"/>
    </row>
    <row r="17" spans="1:29" x14ac:dyDescent="0.25">
      <c r="A17" s="131">
        <v>43465</v>
      </c>
      <c r="B17" s="132">
        <v>102.3</v>
      </c>
      <c r="C17" s="132">
        <v>102.3</v>
      </c>
      <c r="D17" s="132">
        <v>100.8</v>
      </c>
      <c r="E17" s="132">
        <v>100.8</v>
      </c>
      <c r="F17" s="132">
        <v>104.26</v>
      </c>
      <c r="G17" s="132">
        <v>104.26</v>
      </c>
      <c r="H17" s="132">
        <v>70.010000000000005</v>
      </c>
      <c r="I17" s="132">
        <f>H17/H13*100</f>
        <v>132.01961154063738</v>
      </c>
      <c r="J17" s="132">
        <v>70.010000000000005</v>
      </c>
      <c r="K17" s="132">
        <f>J17/J13*100</f>
        <v>132.01961154063738</v>
      </c>
      <c r="L17" s="132">
        <v>66.477500000000006</v>
      </c>
      <c r="M17" s="132">
        <f>L17/L13*100</f>
        <v>115.41192565303592</v>
      </c>
      <c r="N17" s="132">
        <v>66.477500000000006</v>
      </c>
      <c r="O17" s="132">
        <f>N17/N13*100</f>
        <v>115.41192565303592</v>
      </c>
      <c r="P17" s="140"/>
      <c r="Q17" s="140"/>
      <c r="R17" s="140"/>
      <c r="S17" s="140"/>
      <c r="T17" s="140"/>
      <c r="U17" s="141">
        <f>SUM(AA13:AA16)/Z13</f>
        <v>0.125</v>
      </c>
      <c r="V17" s="133"/>
      <c r="W17" s="141" t="e">
        <f>SUM(AC13:AC16)/AB13</f>
        <v>#DIV/0!</v>
      </c>
      <c r="X17" s="133"/>
      <c r="Y17" s="142"/>
      <c r="Z17" s="181">
        <v>36</v>
      </c>
      <c r="AA17" s="114">
        <v>1</v>
      </c>
      <c r="AB17" s="181"/>
      <c r="AC17" s="181"/>
    </row>
    <row r="18" spans="1:29" x14ac:dyDescent="0.25">
      <c r="A18" s="143">
        <v>43555</v>
      </c>
      <c r="B18" s="144">
        <f>B17*(B21/B17)^(1/4)</f>
        <v>101.39215745426473</v>
      </c>
      <c r="C18" s="144">
        <f>C17*(C21/C17)^(1/4)</f>
        <v>101.39215745426473</v>
      </c>
      <c r="D18" s="144">
        <f>D17*(D21/D17)^(1/4)</f>
        <v>100.85612810218024</v>
      </c>
      <c r="E18" s="144">
        <f>E17*(E21/E17)^(1/4)</f>
        <v>100.85612810218024</v>
      </c>
      <c r="F18" s="144">
        <f t="shared" ref="F18:G18" si="0">F17*(F21/F17)^(1/4)</f>
        <v>103.95365242953135</v>
      </c>
      <c r="G18" s="144">
        <f t="shared" si="0"/>
        <v>103.95365242953135</v>
      </c>
      <c r="H18" s="135">
        <f>H21</f>
        <v>63.823599999999999</v>
      </c>
      <c r="I18" s="135">
        <f>H18/H14*100</f>
        <v>91.163548064562193</v>
      </c>
      <c r="J18" s="135">
        <f t="shared" ref="J18" si="1">J21</f>
        <v>63.823599999999999</v>
      </c>
      <c r="K18" s="135">
        <f>J18/J14*100</f>
        <v>91.163548064562193</v>
      </c>
      <c r="L18" s="135">
        <v>65.869100000000003</v>
      </c>
      <c r="M18" s="135">
        <f>L18/L14*100</f>
        <v>115.95100664170528</v>
      </c>
      <c r="N18" s="135">
        <v>65.869100000000003</v>
      </c>
      <c r="O18" s="135">
        <f>N18/N14*100</f>
        <v>115.95100664170528</v>
      </c>
      <c r="P18" s="145"/>
      <c r="Q18" s="145"/>
      <c r="R18" s="145"/>
      <c r="S18" s="145"/>
      <c r="T18" s="145"/>
      <c r="U18" s="141">
        <f t="shared" ref="U18:U28" si="2">SUM(AA14:AA17)/Z14</f>
        <v>0.11428571428571428</v>
      </c>
      <c r="V18" s="146"/>
      <c r="W18" s="141" t="e">
        <f t="shared" ref="W18:W28" si="3">SUM(AC14:AC17)/AB14</f>
        <v>#DIV/0!</v>
      </c>
      <c r="X18" s="146"/>
      <c r="Y18" s="142"/>
      <c r="Z18" s="181">
        <v>38</v>
      </c>
      <c r="AA18" s="114">
        <v>1</v>
      </c>
      <c r="AB18" s="181"/>
      <c r="AC18" s="181"/>
    </row>
    <row r="19" spans="1:29" x14ac:dyDescent="0.25">
      <c r="A19" s="143">
        <v>43646</v>
      </c>
      <c r="B19" s="135">
        <f>B18*(B21/B17)^(1/4)</f>
        <v>100.49237139032661</v>
      </c>
      <c r="C19" s="135">
        <f>C18*(C21/C17)^(1/4)</f>
        <v>100.49237139032661</v>
      </c>
      <c r="D19" s="135">
        <f>D18*(D21/D17)^(1/4)</f>
        <v>100.91228745797014</v>
      </c>
      <c r="E19" s="135">
        <f>E18*(E21/E17)^(1/4)</f>
        <v>100.91228745797014</v>
      </c>
      <c r="F19" s="135">
        <f t="shared" ref="F19:G19" si="4">F18*(F21/F17)^(1/4)</f>
        <v>103.64820500134095</v>
      </c>
      <c r="G19" s="135">
        <f t="shared" si="4"/>
        <v>103.64820500134095</v>
      </c>
      <c r="H19" s="135">
        <f>H21</f>
        <v>63.823599999999999</v>
      </c>
      <c r="I19" s="135">
        <f t="shared" ref="I19" si="5">H19/H15*100</f>
        <v>91.163548064562193</v>
      </c>
      <c r="J19" s="135">
        <f t="shared" ref="J19" si="6">J21</f>
        <v>63.823599999999999</v>
      </c>
      <c r="K19" s="135">
        <f t="shared" ref="K19" si="7">J19/J15*100</f>
        <v>91.163548064562193</v>
      </c>
      <c r="L19" s="135">
        <v>64.551500000000004</v>
      </c>
      <c r="M19" s="135">
        <f t="shared" ref="M19" si="8">L19/L15*100</f>
        <v>104.31773263283436</v>
      </c>
      <c r="N19" s="135">
        <v>64.551500000000004</v>
      </c>
      <c r="O19" s="135">
        <f t="shared" ref="O19" si="9">N19/N15*100</f>
        <v>104.31773263283436</v>
      </c>
      <c r="P19" s="145"/>
      <c r="Q19" s="145"/>
      <c r="R19" s="145"/>
      <c r="S19" s="145"/>
      <c r="T19" s="145"/>
      <c r="U19" s="141">
        <f t="shared" si="2"/>
        <v>0.12903225806451613</v>
      </c>
      <c r="V19" s="146"/>
      <c r="W19" s="141" t="e">
        <f t="shared" si="3"/>
        <v>#DIV/0!</v>
      </c>
      <c r="X19" s="146"/>
      <c r="Z19" s="181">
        <v>39</v>
      </c>
      <c r="AA19" s="114">
        <v>1</v>
      </c>
      <c r="AB19" s="181"/>
      <c r="AC19" s="181"/>
    </row>
    <row r="20" spans="1:29" x14ac:dyDescent="0.25">
      <c r="A20" s="143">
        <v>43738</v>
      </c>
      <c r="B20" s="135">
        <f t="shared" ref="B20:G20" si="10">B19*(B21/B17)^(1/4)</f>
        <v>99.600570312418824</v>
      </c>
      <c r="C20" s="135">
        <f t="shared" si="10"/>
        <v>99.600570312418824</v>
      </c>
      <c r="D20" s="135">
        <f t="shared" si="10"/>
        <v>100.96847808477254</v>
      </c>
      <c r="E20" s="135">
        <f t="shared" si="10"/>
        <v>100.96847808477254</v>
      </c>
      <c r="F20" s="135">
        <f t="shared" si="10"/>
        <v>103.34365507053722</v>
      </c>
      <c r="G20" s="135">
        <f t="shared" si="10"/>
        <v>103.34365507053722</v>
      </c>
      <c r="H20" s="135">
        <f>H21</f>
        <v>63.823599999999999</v>
      </c>
      <c r="I20" s="135">
        <f>H20/H16*100</f>
        <v>91.163548064562193</v>
      </c>
      <c r="J20" s="135">
        <f t="shared" ref="J20" si="11">J21</f>
        <v>63.823599999999999</v>
      </c>
      <c r="K20" s="135">
        <f>J20/J16*100</f>
        <v>91.163548064562193</v>
      </c>
      <c r="L20" s="135">
        <v>64.598100000000002</v>
      </c>
      <c r="M20" s="135">
        <f>L20/L16*100</f>
        <v>98.521072843682418</v>
      </c>
      <c r="N20" s="135">
        <v>64.598100000000002</v>
      </c>
      <c r="O20" s="135">
        <f>N20/N16*100</f>
        <v>98.521072843682418</v>
      </c>
      <c r="P20" s="145"/>
      <c r="Q20" s="145"/>
      <c r="R20" s="145"/>
      <c r="S20" s="145"/>
      <c r="T20" s="145"/>
      <c r="U20" s="141">
        <f t="shared" si="2"/>
        <v>0.12121212121212122</v>
      </c>
      <c r="V20" s="146"/>
      <c r="W20" s="141" t="e">
        <f t="shared" si="3"/>
        <v>#DIV/0!</v>
      </c>
      <c r="X20" s="146"/>
      <c r="Z20" s="181">
        <v>37</v>
      </c>
      <c r="AA20" s="114">
        <v>1</v>
      </c>
      <c r="AB20" s="181"/>
      <c r="AC20" s="181"/>
    </row>
    <row r="21" spans="1:29" x14ac:dyDescent="0.25">
      <c r="A21" s="131">
        <v>43830</v>
      </c>
      <c r="B21" s="132">
        <v>98.716683359250581</v>
      </c>
      <c r="C21" s="132">
        <v>98.716683359250581</v>
      </c>
      <c r="D21" s="132">
        <v>101.0247</v>
      </c>
      <c r="E21" s="132">
        <v>101.0247</v>
      </c>
      <c r="F21" s="132">
        <v>103.04</v>
      </c>
      <c r="G21" s="132">
        <v>103.04</v>
      </c>
      <c r="H21" s="132">
        <v>63.823599999999999</v>
      </c>
      <c r="I21" s="132">
        <f>H21/H17*100</f>
        <v>91.163548064562193</v>
      </c>
      <c r="J21" s="132">
        <v>63.823599999999999</v>
      </c>
      <c r="K21" s="132">
        <f>J21/J17*100</f>
        <v>91.163548064562193</v>
      </c>
      <c r="L21" s="132">
        <v>63.738700000000001</v>
      </c>
      <c r="M21" s="132">
        <f>L21/L17*100</f>
        <v>95.880109811590387</v>
      </c>
      <c r="N21" s="132">
        <v>63.738700000000001</v>
      </c>
      <c r="O21" s="132">
        <f>N21/N17*100</f>
        <v>95.880109811590387</v>
      </c>
      <c r="P21" s="140"/>
      <c r="Q21" s="140"/>
      <c r="R21" s="140"/>
      <c r="S21" s="140"/>
      <c r="T21" s="140"/>
      <c r="U21" s="141">
        <f t="shared" si="2"/>
        <v>0.1111111111111111</v>
      </c>
      <c r="V21" s="133"/>
      <c r="W21" s="141" t="e">
        <f t="shared" si="3"/>
        <v>#DIV/0!</v>
      </c>
      <c r="X21" s="133"/>
      <c r="Z21" s="181">
        <v>32</v>
      </c>
      <c r="AA21" s="114">
        <v>1</v>
      </c>
      <c r="AB21" s="181"/>
      <c r="AC21" s="181"/>
    </row>
    <row r="22" spans="1:29" x14ac:dyDescent="0.25">
      <c r="A22" s="143">
        <v>43921</v>
      </c>
      <c r="B22" s="144">
        <f>B21*(B25/B21)^(1/4)</f>
        <v>98.252887778496685</v>
      </c>
      <c r="C22" s="144">
        <f>C21*(C25/C21)^(1/4)</f>
        <v>98.252887778496685</v>
      </c>
      <c r="D22" s="144">
        <f>D21*(D25/D21)^(1/4)</f>
        <v>99.874014143574655</v>
      </c>
      <c r="E22" s="144">
        <f t="shared" ref="E22:F22" si="12">E21*(E25/E21)^(1/4)</f>
        <v>99.874014143574655</v>
      </c>
      <c r="F22" s="144">
        <f t="shared" si="12"/>
        <v>103.50435164521649</v>
      </c>
      <c r="G22" s="144">
        <f>G21*(G25/G21)^(1/4)</f>
        <v>103.50435164521649</v>
      </c>
      <c r="H22" s="135">
        <f>H25</f>
        <v>41.73</v>
      </c>
      <c r="I22" s="135">
        <f>H22/H18*100</f>
        <v>65.383337824879817</v>
      </c>
      <c r="J22" s="135">
        <f t="shared" ref="J22" si="13">J25</f>
        <v>41.73</v>
      </c>
      <c r="K22" s="135">
        <f>J22/J18*100</f>
        <v>65.383337824879817</v>
      </c>
      <c r="L22" s="135">
        <v>66.338800000000006</v>
      </c>
      <c r="M22" s="135">
        <f>L22/L18*100</f>
        <v>100.71308094387201</v>
      </c>
      <c r="N22" s="135">
        <v>66.338800000000006</v>
      </c>
      <c r="O22" s="135">
        <f>N22/N18*100</f>
        <v>100.71308094387201</v>
      </c>
      <c r="P22" s="145"/>
      <c r="Q22" s="145"/>
      <c r="R22" s="145"/>
      <c r="S22" s="145"/>
      <c r="T22" s="145"/>
      <c r="U22" s="141">
        <f t="shared" si="2"/>
        <v>0.10526315789473684</v>
      </c>
      <c r="V22" s="146"/>
      <c r="W22" s="141" t="e">
        <f t="shared" si="3"/>
        <v>#DIV/0!</v>
      </c>
      <c r="X22" s="146"/>
      <c r="Z22" s="181">
        <v>34</v>
      </c>
      <c r="AA22" s="114">
        <v>1</v>
      </c>
      <c r="AB22" s="181"/>
      <c r="AC22" s="181"/>
    </row>
    <row r="23" spans="1:29" x14ac:dyDescent="0.25">
      <c r="A23" s="143">
        <v>44012</v>
      </c>
      <c r="B23" s="135">
        <f>B22*(B25/B21)^(1/4)</f>
        <v>97.791271224969066</v>
      </c>
      <c r="C23" s="135">
        <f>C22*(C25/C21)^(1/4)</f>
        <v>97.791271224969066</v>
      </c>
      <c r="D23" s="135">
        <f>D22*(D25/D21)^(1/4)</f>
        <v>98.736434764477892</v>
      </c>
      <c r="E23" s="135">
        <f t="shared" ref="E23:G23" si="14">E22*(E25/E21)^(1/4)</f>
        <v>98.736434764477892</v>
      </c>
      <c r="F23" s="135">
        <f t="shared" si="14"/>
        <v>103.9707958996179</v>
      </c>
      <c r="G23" s="135">
        <f t="shared" si="14"/>
        <v>103.9707958996179</v>
      </c>
      <c r="H23" s="135">
        <f>H25</f>
        <v>41.73</v>
      </c>
      <c r="I23" s="135">
        <f>H23/H19*100</f>
        <v>65.383337824879817</v>
      </c>
      <c r="J23" s="135">
        <f t="shared" ref="J23" si="15">J25</f>
        <v>41.73</v>
      </c>
      <c r="K23" s="135">
        <f>J23/J19*100</f>
        <v>65.383337824879817</v>
      </c>
      <c r="L23" s="135">
        <v>72.219700000000003</v>
      </c>
      <c r="M23" s="135">
        <f>L23/L19*100</f>
        <v>111.87919723011859</v>
      </c>
      <c r="N23" s="135">
        <v>72.219700000000003</v>
      </c>
      <c r="O23" s="135">
        <f>N23/N19*100</f>
        <v>111.87919723011859</v>
      </c>
      <c r="P23" s="145"/>
      <c r="Q23" s="145"/>
      <c r="R23" s="145"/>
      <c r="S23" s="145"/>
      <c r="T23" s="145"/>
      <c r="U23" s="141">
        <f t="shared" si="2"/>
        <v>0.10256410256410256</v>
      </c>
      <c r="V23" s="146"/>
      <c r="W23" s="141" t="e">
        <f t="shared" si="3"/>
        <v>#DIV/0!</v>
      </c>
      <c r="X23" s="146"/>
      <c r="Z23" s="181">
        <v>36</v>
      </c>
      <c r="AA23" s="114">
        <v>1</v>
      </c>
      <c r="AB23" s="181"/>
      <c r="AC23" s="181"/>
    </row>
    <row r="24" spans="1:29" x14ac:dyDescent="0.25">
      <c r="A24" s="143">
        <v>44104</v>
      </c>
      <c r="B24" s="135">
        <f>B23*(B25/B21)^(1/4)</f>
        <v>97.331823461054739</v>
      </c>
      <c r="C24" s="135">
        <f>C23*(C25/C21)^(1/4)</f>
        <v>97.331823461054739</v>
      </c>
      <c r="D24" s="135">
        <f>D23*(D25/D21)^(1/4)</f>
        <v>97.611812578048742</v>
      </c>
      <c r="E24" s="135">
        <f t="shared" ref="E24:G24" si="16">E23*(E25/E21)^(1/4)</f>
        <v>97.611812578048742</v>
      </c>
      <c r="F24" s="135">
        <f t="shared" si="16"/>
        <v>104.43934219358582</v>
      </c>
      <c r="G24" s="135">
        <f t="shared" si="16"/>
        <v>104.43934219358582</v>
      </c>
      <c r="H24" s="135">
        <f>H25</f>
        <v>41.73</v>
      </c>
      <c r="I24" s="135">
        <f t="shared" ref="I24:K24" si="17">H24/H20*100</f>
        <v>65.383337824879817</v>
      </c>
      <c r="J24" s="135">
        <f t="shared" ref="J24" si="18">J25</f>
        <v>41.73</v>
      </c>
      <c r="K24" s="135">
        <f t="shared" si="17"/>
        <v>65.383337824879817</v>
      </c>
      <c r="L24" s="135">
        <v>73.619600000000005</v>
      </c>
      <c r="M24" s="135">
        <f t="shared" ref="M24" si="19">L24/L20*100</f>
        <v>113.96558103102103</v>
      </c>
      <c r="N24" s="135">
        <v>73.619600000000005</v>
      </c>
      <c r="O24" s="135">
        <f t="shared" ref="O24" si="20">N24/N20*100</f>
        <v>113.96558103102103</v>
      </c>
      <c r="P24" s="145"/>
      <c r="Q24" s="145"/>
      <c r="R24" s="145"/>
      <c r="S24" s="145"/>
      <c r="T24" s="145"/>
      <c r="U24" s="141">
        <f t="shared" si="2"/>
        <v>0.10810810810810811</v>
      </c>
      <c r="V24" s="146"/>
      <c r="W24" s="141" t="e">
        <f t="shared" si="3"/>
        <v>#DIV/0!</v>
      </c>
      <c r="X24" s="146"/>
      <c r="Z24" s="181">
        <v>33</v>
      </c>
      <c r="AA24" s="114">
        <v>1</v>
      </c>
      <c r="AB24" s="181"/>
      <c r="AC24" s="181"/>
    </row>
    <row r="25" spans="1:29" x14ac:dyDescent="0.25">
      <c r="A25" s="131">
        <v>44196</v>
      </c>
      <c r="B25" s="132">
        <v>96.874534297239606</v>
      </c>
      <c r="C25" s="132">
        <v>96.874534297239606</v>
      </c>
      <c r="D25" s="132">
        <v>96.5</v>
      </c>
      <c r="E25" s="132">
        <v>96.5</v>
      </c>
      <c r="F25" s="132">
        <v>104.91</v>
      </c>
      <c r="G25" s="132">
        <v>104.91</v>
      </c>
      <c r="H25" s="132">
        <v>41.73</v>
      </c>
      <c r="I25" s="132">
        <f>H25/H21*100</f>
        <v>65.383337824879817</v>
      </c>
      <c r="J25" s="132">
        <f>H25</f>
        <v>41.73</v>
      </c>
      <c r="K25" s="132">
        <f>J25/J21*100</f>
        <v>65.383337824879817</v>
      </c>
      <c r="L25" s="132">
        <v>75.58</v>
      </c>
      <c r="M25" s="132">
        <f>L25/L21*100</f>
        <v>118.57788125581475</v>
      </c>
      <c r="N25" s="132">
        <v>75.58</v>
      </c>
      <c r="O25" s="132">
        <f>N25/N21*100</f>
        <v>118.57788125581475</v>
      </c>
      <c r="P25" s="140"/>
      <c r="Q25" s="140"/>
      <c r="R25" s="140"/>
      <c r="S25" s="140"/>
      <c r="T25" s="140"/>
      <c r="U25" s="141">
        <f t="shared" si="2"/>
        <v>0.125</v>
      </c>
      <c r="V25" s="140"/>
      <c r="W25" s="141" t="e">
        <f t="shared" si="3"/>
        <v>#DIV/0!</v>
      </c>
      <c r="X25" s="140"/>
      <c r="Z25" s="181">
        <v>32</v>
      </c>
      <c r="AA25" s="114">
        <v>1</v>
      </c>
      <c r="AB25" s="181"/>
      <c r="AC25" s="181"/>
    </row>
    <row r="26" spans="1:29" x14ac:dyDescent="0.25">
      <c r="A26" s="143">
        <v>44286</v>
      </c>
      <c r="B26" s="144">
        <f>B25*(B29/B25)^(1/4)</f>
        <v>98.656147089479106</v>
      </c>
      <c r="C26" s="144">
        <f>C25*(C29/C25)^(1/4)</f>
        <v>98.7742842273246</v>
      </c>
      <c r="D26" s="144">
        <f>D25*(D29/D25)^(1/4)</f>
        <v>98.087930491347706</v>
      </c>
      <c r="E26" s="144">
        <f t="shared" ref="E26:G26" si="21">E25*(E29/E25)^(1/4)</f>
        <v>97.817092817052455</v>
      </c>
      <c r="F26" s="144">
        <f t="shared" si="21"/>
        <v>104.59811193138376</v>
      </c>
      <c r="G26" s="144">
        <f t="shared" si="21"/>
        <v>104.56378999304945</v>
      </c>
      <c r="H26" s="135">
        <f>H29</f>
        <v>45.3125</v>
      </c>
      <c r="I26" s="135">
        <f>H26/H22*100</f>
        <v>108.58495087467051</v>
      </c>
      <c r="J26" s="135">
        <f t="shared" ref="J26:N26" si="22">J29</f>
        <v>43.254199999999997</v>
      </c>
      <c r="K26" s="135">
        <f>J26/J22*100</f>
        <v>103.65252815720105</v>
      </c>
      <c r="L26" s="135">
        <f t="shared" si="22"/>
        <v>72.410799999999995</v>
      </c>
      <c r="M26" s="135">
        <f>L26/L22*100</f>
        <v>109.15301452543609</v>
      </c>
      <c r="N26" s="135">
        <f t="shared" si="22"/>
        <v>73.425299999999993</v>
      </c>
      <c r="O26" s="135">
        <f>N26/N22*100</f>
        <v>110.68228547999057</v>
      </c>
      <c r="P26" s="145"/>
      <c r="Q26" s="145"/>
      <c r="R26" s="145"/>
      <c r="S26" s="145"/>
      <c r="T26" s="145"/>
      <c r="U26" s="141">
        <f t="shared" si="2"/>
        <v>0.11764705882352941</v>
      </c>
      <c r="V26" s="145"/>
      <c r="W26" s="141" t="e">
        <f t="shared" si="3"/>
        <v>#DIV/0!</v>
      </c>
      <c r="X26" s="145"/>
      <c r="Z26" s="181">
        <v>31</v>
      </c>
      <c r="AA26" s="114">
        <v>1</v>
      </c>
      <c r="AB26" s="181"/>
      <c r="AC26" s="181"/>
    </row>
    <row r="27" spans="1:29" x14ac:dyDescent="0.25">
      <c r="A27" s="143">
        <v>44377</v>
      </c>
      <c r="B27" s="135">
        <f>B26*(B29/B25)^(1/4)</f>
        <v>100.47052539811048</v>
      </c>
      <c r="C27" s="135">
        <f>C26*(C29/C25)^(1/4)</f>
        <v>100.71128904408378</v>
      </c>
      <c r="D27" s="135">
        <f>D26*(D29/D25)^(1/4)</f>
        <v>99.701990757258642</v>
      </c>
      <c r="E27" s="135">
        <f t="shared" ref="E27:G27" si="23">E26*(E29/E25)^(1/4)</f>
        <v>99.152162146941492</v>
      </c>
      <c r="F27" s="135">
        <f t="shared" si="23"/>
        <v>104.28715107816495</v>
      </c>
      <c r="G27" s="135">
        <f t="shared" si="23"/>
        <v>104.21872250224526</v>
      </c>
      <c r="H27" s="135">
        <f>H29</f>
        <v>45.3125</v>
      </c>
      <c r="I27" s="135">
        <f t="shared" ref="I27:I28" si="24">H27/H23*100</f>
        <v>108.58495087467051</v>
      </c>
      <c r="J27" s="135">
        <f t="shared" ref="J27:N27" si="25">J29</f>
        <v>43.254199999999997</v>
      </c>
      <c r="K27" s="135">
        <f t="shared" ref="K27:K28" si="26">J27/J23*100</f>
        <v>103.65252815720105</v>
      </c>
      <c r="L27" s="135">
        <f t="shared" si="25"/>
        <v>72.410799999999995</v>
      </c>
      <c r="M27" s="135">
        <f t="shared" ref="M27:M28" si="27">L27/L23*100</f>
        <v>100.26460924096887</v>
      </c>
      <c r="N27" s="135">
        <f t="shared" si="25"/>
        <v>73.425299999999993</v>
      </c>
      <c r="O27" s="135">
        <f t="shared" ref="O27:O28" si="28">N27/N23*100</f>
        <v>101.66935060655193</v>
      </c>
      <c r="P27" s="145"/>
      <c r="Q27" s="145"/>
      <c r="R27" s="145"/>
      <c r="S27" s="145"/>
      <c r="T27" s="145"/>
      <c r="U27" s="141">
        <f t="shared" si="2"/>
        <v>0.1111111111111111</v>
      </c>
      <c r="V27" s="145"/>
      <c r="W27" s="141" t="e">
        <f t="shared" si="3"/>
        <v>#DIV/0!</v>
      </c>
      <c r="X27" s="145"/>
      <c r="Z27" s="181">
        <v>30</v>
      </c>
      <c r="AA27" s="114">
        <v>1</v>
      </c>
      <c r="AB27" s="181"/>
      <c r="AC27" s="181"/>
    </row>
    <row r="28" spans="1:29" x14ac:dyDescent="0.25">
      <c r="A28" s="143">
        <v>44469</v>
      </c>
      <c r="B28" s="135">
        <f>B27*(B29/B25)^(1/4)</f>
        <v>102.31827181145658</v>
      </c>
      <c r="C28" s="135">
        <f>C27*(C29/C25)^(1/4)</f>
        <v>102.68627933134775</v>
      </c>
      <c r="D28" s="135">
        <f>D27*(D29/D25)^(1/4)</f>
        <v>101.34261076939872</v>
      </c>
      <c r="E28" s="135">
        <f t="shared" ref="E28:G28" si="29">E27*(E29/E25)^(1/4)</f>
        <v>100.50545334444364</v>
      </c>
      <c r="F28" s="135">
        <f t="shared" si="29"/>
        <v>103.97711468381495</v>
      </c>
      <c r="G28" s="135">
        <f t="shared" si="29"/>
        <v>103.87479375720781</v>
      </c>
      <c r="H28" s="135">
        <f>H29</f>
        <v>45.3125</v>
      </c>
      <c r="I28" s="135">
        <f t="shared" si="24"/>
        <v>108.58495087467051</v>
      </c>
      <c r="J28" s="135">
        <f t="shared" ref="J28" si="30">J29</f>
        <v>43.254199999999997</v>
      </c>
      <c r="K28" s="135">
        <f t="shared" si="26"/>
        <v>103.65252815720105</v>
      </c>
      <c r="L28" s="135">
        <f t="shared" ref="L28" si="31">L29</f>
        <v>72.410799999999995</v>
      </c>
      <c r="M28" s="135">
        <f t="shared" si="27"/>
        <v>98.35804595515323</v>
      </c>
      <c r="N28" s="135">
        <f t="shared" ref="N28" si="32">N29</f>
        <v>73.425299999999993</v>
      </c>
      <c r="O28" s="135">
        <f t="shared" si="28"/>
        <v>99.736075718966134</v>
      </c>
      <c r="P28" s="145"/>
      <c r="Q28" s="145"/>
      <c r="R28" s="145"/>
      <c r="S28" s="145"/>
      <c r="T28" s="145"/>
      <c r="U28" s="141">
        <f t="shared" si="2"/>
        <v>0.12121212121212122</v>
      </c>
      <c r="V28" s="145"/>
      <c r="W28" s="141" t="e">
        <f t="shared" si="3"/>
        <v>#DIV/0!</v>
      </c>
      <c r="X28" s="145"/>
      <c r="Z28" s="181">
        <v>33</v>
      </c>
      <c r="AA28" s="114">
        <v>1</v>
      </c>
      <c r="AB28" s="181"/>
      <c r="AC28" s="181"/>
    </row>
    <row r="29" spans="1:29" x14ac:dyDescent="0.25">
      <c r="A29" s="131">
        <v>44561</v>
      </c>
      <c r="B29" s="147">
        <v>104.2</v>
      </c>
      <c r="C29" s="147">
        <v>104.7</v>
      </c>
      <c r="D29" s="147">
        <v>103.01022757472001</v>
      </c>
      <c r="E29" s="147">
        <v>101.87721511309201</v>
      </c>
      <c r="F29" s="147">
        <v>103.66800000000001</v>
      </c>
      <c r="G29" s="147">
        <v>103.532</v>
      </c>
      <c r="H29" s="147">
        <v>45.3125</v>
      </c>
      <c r="I29" s="132">
        <f>H29/H25*100</f>
        <v>108.58495087467051</v>
      </c>
      <c r="J29" s="147">
        <v>43.254199999999997</v>
      </c>
      <c r="K29" s="132">
        <f>J29/J25*100</f>
        <v>103.65252815720105</v>
      </c>
      <c r="L29" s="147">
        <v>72.410799999999995</v>
      </c>
      <c r="M29" s="132">
        <f>L29/L25*100</f>
        <v>95.806827202963746</v>
      </c>
      <c r="N29" s="147">
        <v>73.425299999999993</v>
      </c>
      <c r="O29" s="132">
        <f>N29/N25*100</f>
        <v>97.149113522095789</v>
      </c>
      <c r="P29" s="140">
        <f t="shared" ref="P29:P45" si="33">($C$6/AVERAGE(B26:B33))+$C$7/AVERAGE(C26:C33)</f>
        <v>0.97510354338109995</v>
      </c>
      <c r="Q29" s="140">
        <f t="shared" ref="Q29:Q45" si="34">($C$6/AVERAGE(D26:D33))+$C$7/AVERAGE(E26:E33)</f>
        <v>0.98831297697766129</v>
      </c>
      <c r="R29" s="140">
        <f t="shared" ref="R29:R45" si="35">$C$6*AVERAGE(F26:F33)/10000+$C$7*AVERAGE(G26:G33)/10000</f>
        <v>1.0397210467632205</v>
      </c>
      <c r="S29" s="140">
        <f t="shared" ref="S29:S45" si="36">$C$6/AVERAGE(I26:I33)+$C$7/AVERAGE(K26:K33)</f>
        <v>0.95914491942964952</v>
      </c>
      <c r="T29" s="140">
        <f t="shared" ref="T29:T45" si="37">$C$6*AVERAGE(M26:M33)/10000+$C$7*AVERAGE(O26:O33)/10000</f>
        <v>1.0118238672972932</v>
      </c>
      <c r="U29" s="140"/>
      <c r="V29" s="140">
        <f t="shared" ref="V29:V45" si="38">P29*$Q$3+Q29*$Q$4+R29*$Q$5+S29*$Q$6+T29*$Q$7</f>
        <v>98.303245831378547</v>
      </c>
      <c r="W29" s="140"/>
      <c r="X29" s="140" t="e">
        <f t="shared" ref="X29:X45" si="39">P29*$U$3+Q29*$U$4+R29*$U$5+S29*$U$6+T29*$U$7</f>
        <v>#DIV/0!</v>
      </c>
      <c r="Z29" s="114"/>
      <c r="AA29" s="114"/>
      <c r="AB29" s="114"/>
      <c r="AC29" s="114"/>
    </row>
    <row r="30" spans="1:29" x14ac:dyDescent="0.25">
      <c r="A30" s="143">
        <v>44651</v>
      </c>
      <c r="B30" s="144">
        <f>B29*(B33/B29)^(1/4)</f>
        <v>103.89869564152777</v>
      </c>
      <c r="C30" s="144">
        <f>C29*(C33/C29)^(1/4)</f>
        <v>104.2723874624121</v>
      </c>
      <c r="D30" s="144">
        <f>D29*(D33/D29)^(1/4)</f>
        <v>102.86683134683196</v>
      </c>
      <c r="E30" s="144">
        <f t="shared" ref="E30:G30" si="40">E29*(E33/E29)^(1/4)</f>
        <v>101.81061419468017</v>
      </c>
      <c r="F30" s="144">
        <f t="shared" si="40"/>
        <v>103.75863108025946</v>
      </c>
      <c r="G30" s="144">
        <f t="shared" si="40"/>
        <v>103.64456628353656</v>
      </c>
      <c r="H30" s="135">
        <f>H33</f>
        <v>46.622900000000001</v>
      </c>
      <c r="I30" s="135">
        <f>H30/H26*100</f>
        <v>102.89191724137932</v>
      </c>
      <c r="J30" s="135">
        <f t="shared" ref="J30:N30" si="41">J33</f>
        <v>44.115099999999998</v>
      </c>
      <c r="K30" s="135">
        <f>J30/J26*100</f>
        <v>101.99032695090881</v>
      </c>
      <c r="L30" s="135">
        <f t="shared" si="41"/>
        <v>73.083699999999993</v>
      </c>
      <c r="M30" s="135">
        <f>L30/L26*100</f>
        <v>100.92928126743523</v>
      </c>
      <c r="N30" s="135">
        <f t="shared" si="41"/>
        <v>73.862499999999997</v>
      </c>
      <c r="O30" s="135">
        <f>N30/N26*100</f>
        <v>100.59543508845043</v>
      </c>
      <c r="P30" s="145">
        <f t="shared" si="33"/>
        <v>0.97006658569019932</v>
      </c>
      <c r="Q30" s="145">
        <f t="shared" si="34"/>
        <v>0.9833102027451377</v>
      </c>
      <c r="R30" s="145">
        <f t="shared" si="35"/>
        <v>1.0390095445047201</v>
      </c>
      <c r="S30" s="145">
        <f t="shared" si="36"/>
        <v>0.96383874695094751</v>
      </c>
      <c r="T30" s="145">
        <f t="shared" si="37"/>
        <v>1.0005639195116423</v>
      </c>
      <c r="U30" s="145"/>
      <c r="V30" s="145">
        <f t="shared" si="38"/>
        <v>98.120554251579208</v>
      </c>
      <c r="W30" s="145"/>
      <c r="X30" s="145" t="e">
        <f t="shared" si="39"/>
        <v>#DIV/0!</v>
      </c>
      <c r="Z30" s="114"/>
      <c r="AA30" s="114"/>
      <c r="AB30" s="114"/>
      <c r="AC30" s="114"/>
    </row>
    <row r="31" spans="1:29" x14ac:dyDescent="0.25">
      <c r="A31" s="143">
        <v>44742</v>
      </c>
      <c r="B31" s="135">
        <f>B30*(B33/B29)^(1/4)</f>
        <v>103.5982625336931</v>
      </c>
      <c r="C31" s="135">
        <f>C30*(C33/C29)^(1/4)</f>
        <v>103.84652136687102</v>
      </c>
      <c r="D31" s="135">
        <f>D30*(D33/D29)^(1/4)</f>
        <v>102.72363473483308</v>
      </c>
      <c r="E31" s="135">
        <f t="shared" ref="E31:G31" si="42">E30*(E33/E29)^(1/4)</f>
        <v>101.74405681576171</v>
      </c>
      <c r="F31" s="135">
        <f t="shared" si="42"/>
        <v>103.84934139415618</v>
      </c>
      <c r="G31" s="135">
        <f t="shared" si="42"/>
        <v>103.75725495597887</v>
      </c>
      <c r="H31" s="135">
        <f>H33</f>
        <v>46.622900000000001</v>
      </c>
      <c r="I31" s="135">
        <f t="shared" ref="I31:I32" si="43">H31/H27*100</f>
        <v>102.89191724137932</v>
      </c>
      <c r="J31" s="135">
        <f t="shared" ref="J31:N31" si="44">J33</f>
        <v>44.115099999999998</v>
      </c>
      <c r="K31" s="135">
        <f t="shared" ref="K31:K32" si="45">J31/J27*100</f>
        <v>101.99032695090881</v>
      </c>
      <c r="L31" s="135">
        <f t="shared" si="44"/>
        <v>73.083699999999993</v>
      </c>
      <c r="M31" s="135">
        <f t="shared" ref="M31:M32" si="46">L31/L27*100</f>
        <v>100.92928126743523</v>
      </c>
      <c r="N31" s="135">
        <f t="shared" si="44"/>
        <v>73.862499999999997</v>
      </c>
      <c r="O31" s="135">
        <f t="shared" ref="O31:O32" si="47">N31/N27*100</f>
        <v>100.59543508845043</v>
      </c>
      <c r="P31" s="145">
        <f t="shared" si="33"/>
        <v>0.96729916354384327</v>
      </c>
      <c r="Q31" s="145">
        <f t="shared" si="34"/>
        <v>0.980065557293747</v>
      </c>
      <c r="R31" s="145">
        <f t="shared" si="35"/>
        <v>1.0387139971092765</v>
      </c>
      <c r="S31" s="145">
        <f t="shared" si="36"/>
        <v>0.96859588393738427</v>
      </c>
      <c r="T31" s="145">
        <f t="shared" si="37"/>
        <v>1.000492309324682</v>
      </c>
      <c r="U31" s="145"/>
      <c r="V31" s="145">
        <f t="shared" si="38"/>
        <v>98.149934833066112</v>
      </c>
      <c r="W31" s="145"/>
      <c r="X31" s="145" t="e">
        <f t="shared" si="39"/>
        <v>#DIV/0!</v>
      </c>
      <c r="Z31" s="114"/>
      <c r="AA31" s="114"/>
      <c r="AB31" s="114"/>
      <c r="AC31" s="114"/>
    </row>
    <row r="32" spans="1:29" x14ac:dyDescent="0.25">
      <c r="A32" s="143">
        <v>44834</v>
      </c>
      <c r="B32" s="135">
        <f>B31*(B33/B29)^(1/4)</f>
        <v>103.29869815719069</v>
      </c>
      <c r="C32" s="135">
        <f>C31*(C33/C29)^(1/4)</f>
        <v>103.42239458061157</v>
      </c>
      <c r="D32" s="135">
        <f>D31*(D33/D29)^(1/4)</f>
        <v>102.58063746084648</v>
      </c>
      <c r="E32" s="135">
        <f t="shared" ref="E32:G32" si="48">E31*(E33/E29)^(1/4)</f>
        <v>101.67754294787325</v>
      </c>
      <c r="F32" s="135">
        <f t="shared" si="48"/>
        <v>103.94013101095967</v>
      </c>
      <c r="G32" s="135">
        <f t="shared" si="48"/>
        <v>103.87006615039557</v>
      </c>
      <c r="H32" s="135">
        <f>H33</f>
        <v>46.622900000000001</v>
      </c>
      <c r="I32" s="135">
        <f t="shared" si="43"/>
        <v>102.89191724137932</v>
      </c>
      <c r="J32" s="135">
        <f t="shared" ref="J32" si="49">J33</f>
        <v>44.115099999999998</v>
      </c>
      <c r="K32" s="135">
        <f t="shared" si="45"/>
        <v>101.99032695090881</v>
      </c>
      <c r="L32" s="135">
        <f t="shared" ref="L32" si="50">L33</f>
        <v>73.083699999999993</v>
      </c>
      <c r="M32" s="135">
        <f t="shared" si="46"/>
        <v>100.92928126743523</v>
      </c>
      <c r="N32" s="135">
        <f t="shared" ref="N32" si="51">N33</f>
        <v>73.862499999999997</v>
      </c>
      <c r="O32" s="135">
        <f t="shared" si="47"/>
        <v>100.59543508845043</v>
      </c>
      <c r="P32" s="145">
        <f t="shared" si="33"/>
        <v>0.96680458449269668</v>
      </c>
      <c r="Q32" s="145">
        <f t="shared" si="34"/>
        <v>0.97857133162272159</v>
      </c>
      <c r="R32" s="145">
        <f t="shared" si="35"/>
        <v>1.0388331157778361</v>
      </c>
      <c r="S32" s="145">
        <f t="shared" si="36"/>
        <v>0.97341778694958259</v>
      </c>
      <c r="T32" s="145">
        <f t="shared" si="37"/>
        <v>1.0028205979960978</v>
      </c>
      <c r="U32" s="145"/>
      <c r="V32" s="145">
        <f t="shared" si="38"/>
        <v>98.303357554613541</v>
      </c>
      <c r="W32" s="145"/>
      <c r="X32" s="145" t="e">
        <f t="shared" si="39"/>
        <v>#DIV/0!</v>
      </c>
      <c r="Z32" s="114"/>
      <c r="AA32" s="114"/>
      <c r="AB32" s="114"/>
      <c r="AC32" s="114"/>
    </row>
    <row r="33" spans="1:29" x14ac:dyDescent="0.25">
      <c r="A33" s="131">
        <v>44926</v>
      </c>
      <c r="B33" s="147">
        <v>103</v>
      </c>
      <c r="C33" s="147">
        <v>103</v>
      </c>
      <c r="D33" s="147">
        <v>102.437839247382</v>
      </c>
      <c r="E33" s="147">
        <v>101.61107256257</v>
      </c>
      <c r="F33" s="147">
        <v>104.03100000000001</v>
      </c>
      <c r="G33" s="147">
        <v>103.983</v>
      </c>
      <c r="H33" s="147">
        <v>46.622900000000001</v>
      </c>
      <c r="I33" s="132">
        <f>H33/H29*100</f>
        <v>102.89191724137932</v>
      </c>
      <c r="J33" s="147">
        <v>44.115099999999998</v>
      </c>
      <c r="K33" s="132">
        <f>J33/J29*100</f>
        <v>101.99032695090881</v>
      </c>
      <c r="L33" s="147">
        <v>73.083699999999993</v>
      </c>
      <c r="M33" s="132">
        <f>L33/L29*100</f>
        <v>100.92928126743523</v>
      </c>
      <c r="N33" s="147">
        <v>73.862499999999997</v>
      </c>
      <c r="O33" s="132">
        <f>N33/N29*100</f>
        <v>100.59543508845043</v>
      </c>
      <c r="P33" s="140">
        <f t="shared" si="33"/>
        <v>0.96861869059029848</v>
      </c>
      <c r="Q33" s="140">
        <f t="shared" si="34"/>
        <v>0.97883890174894961</v>
      </c>
      <c r="R33" s="140">
        <f t="shared" si="35"/>
        <v>1.0393656157778359</v>
      </c>
      <c r="S33" s="140">
        <f t="shared" si="36"/>
        <v>0.97830595916349772</v>
      </c>
      <c r="T33" s="140">
        <f t="shared" si="37"/>
        <v>1.0083602497606765</v>
      </c>
      <c r="U33" s="140"/>
      <c r="V33" s="140">
        <f t="shared" si="38"/>
        <v>98.590237142319467</v>
      </c>
      <c r="W33" s="140"/>
      <c r="X33" s="140" t="e">
        <f t="shared" si="39"/>
        <v>#DIV/0!</v>
      </c>
      <c r="Z33" s="114"/>
      <c r="AA33" s="114"/>
      <c r="AB33" s="114"/>
      <c r="AC33" s="114"/>
    </row>
    <row r="34" spans="1:29" x14ac:dyDescent="0.25">
      <c r="A34" s="143">
        <v>45016</v>
      </c>
      <c r="B34" s="144">
        <f>B33*(B37/B33)^(1/4)</f>
        <v>103</v>
      </c>
      <c r="C34" s="144">
        <f>C33*(C37/C33)^(1/4)</f>
        <v>102.94996355093932</v>
      </c>
      <c r="D34" s="144">
        <f>D33*(D37/D33)^(1/4)</f>
        <v>102.45100561956443</v>
      </c>
      <c r="E34" s="144">
        <f t="shared" ref="E34:G34" si="52">E33*(E37/E33)^(1/4)</f>
        <v>101.69450157444672</v>
      </c>
      <c r="F34" s="144">
        <f t="shared" si="52"/>
        <v>104.02974997747003</v>
      </c>
      <c r="G34" s="144">
        <f t="shared" si="52"/>
        <v>103.99374833336269</v>
      </c>
      <c r="H34" s="135">
        <f>H37</f>
        <v>47.533099999999997</v>
      </c>
      <c r="I34" s="135">
        <f>H34/H30*100</f>
        <v>101.95225951195657</v>
      </c>
      <c r="J34" s="135">
        <f t="shared" ref="J34:N34" si="53">J37</f>
        <v>45.013800000000003</v>
      </c>
      <c r="K34" s="135">
        <f>J34/J30*100</f>
        <v>102.03717094600262</v>
      </c>
      <c r="L34" s="135">
        <f t="shared" si="53"/>
        <v>73.7727</v>
      </c>
      <c r="M34" s="135">
        <f>L34/L30*100</f>
        <v>100.94275467717154</v>
      </c>
      <c r="N34" s="135">
        <f t="shared" si="53"/>
        <v>74.510000000000005</v>
      </c>
      <c r="O34" s="135">
        <f>N34/N30*100</f>
        <v>100.87662887121343</v>
      </c>
      <c r="P34" s="145">
        <f t="shared" si="33"/>
        <v>0.97001108287656401</v>
      </c>
      <c r="Q34" s="145">
        <f t="shared" si="34"/>
        <v>0.97898139100153414</v>
      </c>
      <c r="R34" s="145">
        <f t="shared" si="35"/>
        <v>1.0397711174254634</v>
      </c>
      <c r="S34" s="145">
        <f t="shared" si="36"/>
        <v>0.98123328549230082</v>
      </c>
      <c r="T34" s="145">
        <f t="shared" si="37"/>
        <v>1.0074073020382479</v>
      </c>
      <c r="U34" s="145"/>
      <c r="V34" s="145">
        <f t="shared" si="38"/>
        <v>98.729452269593367</v>
      </c>
      <c r="W34" s="145"/>
      <c r="X34" s="145" t="e">
        <f t="shared" si="39"/>
        <v>#DIV/0!</v>
      </c>
      <c r="Z34" s="114"/>
      <c r="AA34" s="114"/>
      <c r="AB34" s="114"/>
      <c r="AC34" s="114"/>
    </row>
    <row r="35" spans="1:29" x14ac:dyDescent="0.25">
      <c r="A35" s="143">
        <v>45107</v>
      </c>
      <c r="B35" s="135">
        <f>B34*(B37/B33)^(1/4)</f>
        <v>103</v>
      </c>
      <c r="C35" s="135">
        <f>C34*(C37/C33)^(1/4)</f>
        <v>102.89995140912363</v>
      </c>
      <c r="D35" s="135">
        <f>D34*(D37/D33)^(1/4)</f>
        <v>102.46417368402538</v>
      </c>
      <c r="E35" s="135">
        <f t="shared" ref="E35:G35" si="54">E34*(E37/E33)^(1/4)</f>
        <v>101.77799908673236</v>
      </c>
      <c r="F35" s="135">
        <f t="shared" si="54"/>
        <v>104.02849996996017</v>
      </c>
      <c r="G35" s="135">
        <f t="shared" si="54"/>
        <v>104.00449777774035</v>
      </c>
      <c r="H35" s="135">
        <f>H37</f>
        <v>47.533099999999997</v>
      </c>
      <c r="I35" s="135">
        <f t="shared" ref="I35:I36" si="55">H35/H31*100</f>
        <v>101.95225951195657</v>
      </c>
      <c r="J35" s="135">
        <f t="shared" ref="J35:N35" si="56">J37</f>
        <v>45.013800000000003</v>
      </c>
      <c r="K35" s="135">
        <f t="shared" ref="K35:K36" si="57">J35/J31*100</f>
        <v>102.03717094600262</v>
      </c>
      <c r="L35" s="135">
        <f t="shared" si="56"/>
        <v>73.7727</v>
      </c>
      <c r="M35" s="135">
        <f t="shared" ref="M35:M36" si="58">L35/L31*100</f>
        <v>100.94275467717154</v>
      </c>
      <c r="N35" s="135">
        <f t="shared" si="56"/>
        <v>74.510000000000005</v>
      </c>
      <c r="O35" s="135">
        <f t="shared" ref="O35:O36" si="59">N35/N31*100</f>
        <v>100.87662887121343</v>
      </c>
      <c r="P35" s="145">
        <f t="shared" si="33"/>
        <v>0.97097948328534978</v>
      </c>
      <c r="Q35" s="145">
        <f t="shared" si="34"/>
        <v>0.9789987499737336</v>
      </c>
      <c r="R35" s="145">
        <f t="shared" si="35"/>
        <v>1.0400494947066288</v>
      </c>
      <c r="S35" s="145">
        <f t="shared" si="36"/>
        <v>0.98417877705560219</v>
      </c>
      <c r="T35" s="145">
        <f t="shared" si="37"/>
        <v>1.0064543543158195</v>
      </c>
      <c r="U35" s="145"/>
      <c r="V35" s="145">
        <f t="shared" si="38"/>
        <v>98.853082412022573</v>
      </c>
      <c r="W35" s="145"/>
      <c r="X35" s="145" t="e">
        <f t="shared" si="39"/>
        <v>#DIV/0!</v>
      </c>
      <c r="Z35" s="114"/>
      <c r="AA35" s="114"/>
      <c r="AB35" s="114"/>
      <c r="AC35" s="114"/>
    </row>
    <row r="36" spans="1:29" x14ac:dyDescent="0.25">
      <c r="A36" s="143">
        <v>45199</v>
      </c>
      <c r="B36" s="135">
        <f>B35*(B37/B33)^(1/4)</f>
        <v>103</v>
      </c>
      <c r="C36" s="135">
        <f>C35*(C37/C33)^(1/4)</f>
        <v>102.8499635627447</v>
      </c>
      <c r="D36" s="135">
        <f>D35*(D37/D33)^(1/4)</f>
        <v>102.47734344098239</v>
      </c>
      <c r="E36" s="135">
        <f t="shared" ref="E36:G36" si="60">E35*(E37/E33)^(1/4)</f>
        <v>101.86156515567005</v>
      </c>
      <c r="F36" s="135">
        <f t="shared" si="60"/>
        <v>104.02724997747022</v>
      </c>
      <c r="G36" s="135">
        <f t="shared" si="60"/>
        <v>104.01524833324783</v>
      </c>
      <c r="H36" s="135">
        <f>H37</f>
        <v>47.533099999999997</v>
      </c>
      <c r="I36" s="135">
        <f t="shared" si="55"/>
        <v>101.95225951195657</v>
      </c>
      <c r="J36" s="135">
        <f t="shared" ref="J36:N36" si="61">J37</f>
        <v>45.013800000000003</v>
      </c>
      <c r="K36" s="135">
        <f t="shared" si="57"/>
        <v>102.03717094600262</v>
      </c>
      <c r="L36" s="135">
        <f t="shared" si="61"/>
        <v>73.7727</v>
      </c>
      <c r="M36" s="135">
        <f t="shared" si="58"/>
        <v>100.94275467717154</v>
      </c>
      <c r="N36" s="135">
        <f t="shared" si="61"/>
        <v>74.510000000000005</v>
      </c>
      <c r="O36" s="135">
        <f t="shared" si="59"/>
        <v>100.87662887121343</v>
      </c>
      <c r="P36" s="145">
        <f t="shared" si="33"/>
        <v>0.97152275910295538</v>
      </c>
      <c r="Q36" s="145">
        <f t="shared" si="34"/>
        <v>0.97889103776963093</v>
      </c>
      <c r="R36" s="145">
        <f t="shared" si="35"/>
        <v>1.040200621480782</v>
      </c>
      <c r="S36" s="145">
        <f t="shared" si="36"/>
        <v>0.98714260868440307</v>
      </c>
      <c r="T36" s="145">
        <f t="shared" si="37"/>
        <v>1.0055014065933909</v>
      </c>
      <c r="U36" s="145"/>
      <c r="V36" s="145">
        <f t="shared" si="38"/>
        <v>98.961098014284005</v>
      </c>
      <c r="W36" s="145"/>
      <c r="X36" s="145" t="e">
        <f t="shared" si="39"/>
        <v>#DIV/0!</v>
      </c>
      <c r="Z36" s="114"/>
      <c r="AA36" s="114"/>
      <c r="AB36" s="114"/>
      <c r="AC36" s="114"/>
    </row>
    <row r="37" spans="1:29" x14ac:dyDescent="0.25">
      <c r="A37" s="131">
        <v>45291</v>
      </c>
      <c r="B37" s="147">
        <v>103</v>
      </c>
      <c r="C37" s="147">
        <v>102.8</v>
      </c>
      <c r="D37" s="147">
        <v>102.490514890653</v>
      </c>
      <c r="E37" s="147">
        <v>101.945199837549</v>
      </c>
      <c r="F37" s="147">
        <v>104.026</v>
      </c>
      <c r="G37" s="147">
        <v>104.026</v>
      </c>
      <c r="H37" s="147">
        <v>47.533099999999997</v>
      </c>
      <c r="I37" s="132">
        <f>H37/H33*100</f>
        <v>101.95225951195657</v>
      </c>
      <c r="J37" s="147">
        <v>45.013800000000003</v>
      </c>
      <c r="K37" s="132">
        <f>J37/J33*100</f>
        <v>102.03717094600262</v>
      </c>
      <c r="L37" s="147">
        <v>73.7727</v>
      </c>
      <c r="M37" s="132">
        <f>L37/L33*100</f>
        <v>100.94275467717154</v>
      </c>
      <c r="N37" s="147">
        <v>74.510000000000005</v>
      </c>
      <c r="O37" s="132">
        <f>N37/N33*100</f>
        <v>100.87662887121343</v>
      </c>
      <c r="P37" s="140">
        <f t="shared" si="33"/>
        <v>0.97164092755747666</v>
      </c>
      <c r="Q37" s="140">
        <f t="shared" si="34"/>
        <v>0.97865842185487062</v>
      </c>
      <c r="R37" s="140">
        <f t="shared" si="35"/>
        <v>1.040224371480782</v>
      </c>
      <c r="S37" s="140">
        <f t="shared" si="36"/>
        <v>0.99012495751981999</v>
      </c>
      <c r="T37" s="140">
        <f t="shared" si="37"/>
        <v>1.0045484588709623</v>
      </c>
      <c r="U37" s="140"/>
      <c r="V37" s="140">
        <f t="shared" si="38"/>
        <v>99.053506268412804</v>
      </c>
      <c r="W37" s="140"/>
      <c r="X37" s="140" t="e">
        <f t="shared" si="39"/>
        <v>#DIV/0!</v>
      </c>
      <c r="Z37" s="114"/>
      <c r="AA37" s="114"/>
      <c r="AB37" s="114"/>
      <c r="AC37" s="114"/>
    </row>
    <row r="38" spans="1:29" x14ac:dyDescent="0.25">
      <c r="A38" s="143">
        <v>45382</v>
      </c>
      <c r="B38" s="144">
        <f>B37*(B41/B37)^(1/4)</f>
        <v>103</v>
      </c>
      <c r="C38" s="144">
        <f>C37*(C41/C37)^(1/4)</f>
        <v>102.8</v>
      </c>
      <c r="D38" s="144">
        <f>D37*(D41/D37)^(1/4)</f>
        <v>102.490514890653</v>
      </c>
      <c r="E38" s="144">
        <f t="shared" ref="E38:G38" si="62">E37*(E41/E37)^(1/4)</f>
        <v>101.945199837549</v>
      </c>
      <c r="F38" s="144">
        <f t="shared" si="62"/>
        <v>104.026</v>
      </c>
      <c r="G38" s="144">
        <f t="shared" si="62"/>
        <v>104.026</v>
      </c>
      <c r="H38" s="135">
        <f>H41</f>
        <v>47.533099999999997</v>
      </c>
      <c r="I38" s="135">
        <f>H38/H34*100</f>
        <v>100</v>
      </c>
      <c r="J38" s="135">
        <f t="shared" ref="J38" si="63">J41</f>
        <v>45.013800000000003</v>
      </c>
      <c r="K38" s="135">
        <f>J38/J34*100</f>
        <v>100</v>
      </c>
      <c r="L38" s="135">
        <f t="shared" ref="L38" si="64">L41</f>
        <v>73.7727</v>
      </c>
      <c r="M38" s="135">
        <f>L38/L34*100</f>
        <v>100</v>
      </c>
      <c r="N38" s="135">
        <f t="shared" ref="N38" si="65">N41</f>
        <v>74.510000000000005</v>
      </c>
      <c r="O38" s="135">
        <f>N38/N34*100</f>
        <v>100</v>
      </c>
      <c r="P38" s="145">
        <f t="shared" si="33"/>
        <v>0.97172957006067984</v>
      </c>
      <c r="Q38" s="145">
        <f t="shared" si="34"/>
        <v>0.97848400744578123</v>
      </c>
      <c r="R38" s="145">
        <f t="shared" si="35"/>
        <v>1.0402421850365113</v>
      </c>
      <c r="S38" s="145">
        <f t="shared" si="36"/>
        <v>0.99257538037073301</v>
      </c>
      <c r="T38" s="145">
        <f t="shared" si="37"/>
        <v>1.003411344153222</v>
      </c>
      <c r="U38" s="145"/>
      <c r="V38" s="145">
        <f t="shared" si="38"/>
        <v>99.125824577583018</v>
      </c>
      <c r="W38" s="145"/>
      <c r="X38" s="145" t="e">
        <f t="shared" si="39"/>
        <v>#DIV/0!</v>
      </c>
      <c r="Z38" s="114"/>
      <c r="AA38" s="114"/>
      <c r="AB38" s="114"/>
      <c r="AC38" s="114"/>
    </row>
    <row r="39" spans="1:29" x14ac:dyDescent="0.25">
      <c r="A39" s="143">
        <v>45473</v>
      </c>
      <c r="B39" s="135">
        <f>B38*(B41/B37)^(1/4)</f>
        <v>103</v>
      </c>
      <c r="C39" s="135">
        <f>C38*(C41/C37)^(1/4)</f>
        <v>102.8</v>
      </c>
      <c r="D39" s="135">
        <f>D38*(D41/D37)^(1/4)</f>
        <v>102.490514890653</v>
      </c>
      <c r="E39" s="135">
        <f t="shared" ref="E39:G39" si="66">E38*(E41/E37)^(1/4)</f>
        <v>101.945199837549</v>
      </c>
      <c r="F39" s="135">
        <f t="shared" si="66"/>
        <v>104.026</v>
      </c>
      <c r="G39" s="135">
        <f t="shared" si="66"/>
        <v>104.026</v>
      </c>
      <c r="H39" s="135">
        <f>H41</f>
        <v>47.533099999999997</v>
      </c>
      <c r="I39" s="135">
        <f t="shared" ref="I39:I40" si="67">H39/H35*100</f>
        <v>100</v>
      </c>
      <c r="J39" s="135">
        <f t="shared" ref="J39" si="68">J41</f>
        <v>45.013800000000003</v>
      </c>
      <c r="K39" s="135">
        <f t="shared" ref="K39:K40" si="69">J39/J35*100</f>
        <v>100</v>
      </c>
      <c r="L39" s="135">
        <f t="shared" ref="L39" si="70">L41</f>
        <v>73.7727</v>
      </c>
      <c r="M39" s="135">
        <f t="shared" ref="M39:M40" si="71">L39/L35*100</f>
        <v>100</v>
      </c>
      <c r="N39" s="135">
        <f t="shared" ref="N39" si="72">N41</f>
        <v>74.510000000000005</v>
      </c>
      <c r="O39" s="135">
        <f t="shared" ref="O39:O40" si="73">N39/N35*100</f>
        <v>100</v>
      </c>
      <c r="P39" s="145">
        <f t="shared" si="33"/>
        <v>0.9717886686568884</v>
      </c>
      <c r="Q39" s="145">
        <f t="shared" si="34"/>
        <v>0.97836774172269125</v>
      </c>
      <c r="R39" s="145">
        <f t="shared" si="35"/>
        <v>1.0402540614441986</v>
      </c>
      <c r="S39" s="145">
        <f t="shared" si="36"/>
        <v>0.99503796768514041</v>
      </c>
      <c r="T39" s="145">
        <f t="shared" si="37"/>
        <v>1.0022742294354812</v>
      </c>
      <c r="U39" s="145"/>
      <c r="V39" s="145">
        <f t="shared" si="38"/>
        <v>99.198343081390419</v>
      </c>
      <c r="W39" s="145"/>
      <c r="X39" s="145" t="e">
        <f t="shared" si="39"/>
        <v>#DIV/0!</v>
      </c>
      <c r="Z39" s="114"/>
      <c r="AA39" s="114"/>
      <c r="AB39" s="114"/>
      <c r="AC39" s="114"/>
    </row>
    <row r="40" spans="1:29" x14ac:dyDescent="0.25">
      <c r="A40" s="143">
        <v>45565</v>
      </c>
      <c r="B40" s="135">
        <f>B39*(B41/B37)^(1/4)</f>
        <v>103</v>
      </c>
      <c r="C40" s="135">
        <f>C39*(C41/C37)^(1/4)</f>
        <v>102.8</v>
      </c>
      <c r="D40" s="135">
        <f>D39*(D41/D37)^(1/4)</f>
        <v>102.490514890653</v>
      </c>
      <c r="E40" s="135">
        <f t="shared" ref="E40:G40" si="74">E39*(E41/E37)^(1/4)</f>
        <v>101.945199837549</v>
      </c>
      <c r="F40" s="135">
        <f t="shared" si="74"/>
        <v>104.026</v>
      </c>
      <c r="G40" s="135">
        <f t="shared" si="74"/>
        <v>104.026</v>
      </c>
      <c r="H40" s="135">
        <f>H41</f>
        <v>47.533099999999997</v>
      </c>
      <c r="I40" s="135">
        <f t="shared" si="67"/>
        <v>100</v>
      </c>
      <c r="J40" s="135">
        <f t="shared" ref="J40:N40" si="75">J41</f>
        <v>45.013800000000003</v>
      </c>
      <c r="K40" s="135">
        <f t="shared" si="69"/>
        <v>100</v>
      </c>
      <c r="L40" s="135">
        <f t="shared" si="75"/>
        <v>73.7727</v>
      </c>
      <c r="M40" s="135">
        <f t="shared" si="71"/>
        <v>100</v>
      </c>
      <c r="N40" s="135">
        <f t="shared" si="75"/>
        <v>74.510000000000005</v>
      </c>
      <c r="O40" s="135">
        <f t="shared" si="73"/>
        <v>100</v>
      </c>
      <c r="P40" s="145">
        <f t="shared" si="33"/>
        <v>0.97181821616108199</v>
      </c>
      <c r="Q40" s="145">
        <f t="shared" si="34"/>
        <v>0.9783096035711023</v>
      </c>
      <c r="R40" s="145">
        <f t="shared" si="35"/>
        <v>1.04026</v>
      </c>
      <c r="S40" s="145">
        <f t="shared" si="36"/>
        <v>0.9975128103101103</v>
      </c>
      <c r="T40" s="145">
        <f t="shared" si="37"/>
        <v>1.0011371147177406</v>
      </c>
      <c r="U40" s="145"/>
      <c r="V40" s="145">
        <f t="shared" si="38"/>
        <v>99.271064352789907</v>
      </c>
      <c r="W40" s="145"/>
      <c r="X40" s="145" t="e">
        <f t="shared" si="39"/>
        <v>#DIV/0!</v>
      </c>
      <c r="Z40" s="114"/>
      <c r="AA40" s="114"/>
      <c r="AB40" s="114"/>
      <c r="AC40" s="114"/>
    </row>
    <row r="41" spans="1:29" x14ac:dyDescent="0.25">
      <c r="A41" s="131">
        <v>45657</v>
      </c>
      <c r="B41" s="147">
        <v>103</v>
      </c>
      <c r="C41" s="147">
        <v>102.8</v>
      </c>
      <c r="D41" s="147">
        <v>102.490514890653</v>
      </c>
      <c r="E41" s="147">
        <v>101.945199837549</v>
      </c>
      <c r="F41" s="147">
        <v>104.026</v>
      </c>
      <c r="G41" s="147">
        <v>104.026</v>
      </c>
      <c r="H41" s="147">
        <v>47.533099999999997</v>
      </c>
      <c r="I41" s="132">
        <f>H41/H37*100</f>
        <v>100</v>
      </c>
      <c r="J41" s="147">
        <v>45.013800000000003</v>
      </c>
      <c r="K41" s="132">
        <f>J41/J37*100</f>
        <v>100</v>
      </c>
      <c r="L41" s="147">
        <v>73.7727</v>
      </c>
      <c r="M41" s="132">
        <f>L41/L37*100</f>
        <v>100</v>
      </c>
      <c r="N41" s="147">
        <v>74.510000000000005</v>
      </c>
      <c r="O41" s="132">
        <f>N41/N37*100</f>
        <v>100</v>
      </c>
      <c r="P41" s="140">
        <f t="shared" si="33"/>
        <v>0.97181821616108199</v>
      </c>
      <c r="Q41" s="140">
        <f t="shared" si="34"/>
        <v>0.9783096035711023</v>
      </c>
      <c r="R41" s="140">
        <f t="shared" si="35"/>
        <v>1.04026</v>
      </c>
      <c r="S41" s="140">
        <f t="shared" si="36"/>
        <v>1</v>
      </c>
      <c r="T41" s="140">
        <f t="shared" si="37"/>
        <v>1</v>
      </c>
      <c r="U41" s="140"/>
      <c r="V41" s="140">
        <f t="shared" si="38"/>
        <v>99.343991743180567</v>
      </c>
      <c r="W41" s="140"/>
      <c r="X41" s="140" t="e">
        <f t="shared" si="39"/>
        <v>#DIV/0!</v>
      </c>
      <c r="Z41" s="114"/>
      <c r="AA41" s="114"/>
      <c r="AB41" s="114"/>
      <c r="AC41" s="114"/>
    </row>
    <row r="42" spans="1:29" x14ac:dyDescent="0.25">
      <c r="A42" s="143">
        <v>45747</v>
      </c>
      <c r="B42" s="144">
        <f>B41*(B45/B41)^(1/4)</f>
        <v>103</v>
      </c>
      <c r="C42" s="144">
        <f>C41*(C45/C41)^(1/4)</f>
        <v>102.8</v>
      </c>
      <c r="D42" s="144">
        <f>D41*(D45/D41)^(1/4)</f>
        <v>102.490514890653</v>
      </c>
      <c r="E42" s="144">
        <f t="shared" ref="E42:G42" si="76">E41*(E45/E41)^(1/4)</f>
        <v>101.945199837549</v>
      </c>
      <c r="F42" s="144">
        <f t="shared" si="76"/>
        <v>104.026</v>
      </c>
      <c r="G42" s="144">
        <f t="shared" si="76"/>
        <v>104.026</v>
      </c>
      <c r="H42" s="135">
        <f>H45</f>
        <v>47.533099999999997</v>
      </c>
      <c r="I42" s="135">
        <f>H42/H38*100</f>
        <v>100</v>
      </c>
      <c r="J42" s="135">
        <f t="shared" ref="J42" si="77">J45</f>
        <v>45.013800000000003</v>
      </c>
      <c r="K42" s="135">
        <f>J42/J38*100</f>
        <v>100</v>
      </c>
      <c r="L42" s="135">
        <f t="shared" ref="L42" si="78">L45</f>
        <v>73.7727</v>
      </c>
      <c r="M42" s="135">
        <f>L42/L38*100</f>
        <v>100</v>
      </c>
      <c r="N42" s="135">
        <f t="shared" ref="N42" si="79">N45</f>
        <v>74.510000000000005</v>
      </c>
      <c r="O42" s="135">
        <f>N42/N38*100</f>
        <v>100</v>
      </c>
      <c r="P42" s="145">
        <f t="shared" si="33"/>
        <v>0.97181821616108199</v>
      </c>
      <c r="Q42" s="145">
        <f t="shared" si="34"/>
        <v>0.9783096035711023</v>
      </c>
      <c r="R42" s="145">
        <f t="shared" si="35"/>
        <v>1.04026</v>
      </c>
      <c r="S42" s="145">
        <f t="shared" si="36"/>
        <v>1</v>
      </c>
      <c r="T42" s="145">
        <f t="shared" si="37"/>
        <v>1</v>
      </c>
      <c r="U42" s="145"/>
      <c r="V42" s="145">
        <f t="shared" si="38"/>
        <v>99.343991743180567</v>
      </c>
      <c r="W42" s="145"/>
      <c r="X42" s="145" t="e">
        <f t="shared" si="39"/>
        <v>#DIV/0!</v>
      </c>
      <c r="Z42" s="114"/>
      <c r="AA42" s="114"/>
      <c r="AB42" s="114"/>
      <c r="AC42" s="114"/>
    </row>
    <row r="43" spans="1:29" x14ac:dyDescent="0.25">
      <c r="A43" s="143">
        <v>45838</v>
      </c>
      <c r="B43" s="135">
        <f>B42*(B45/B41)^(1/4)</f>
        <v>103</v>
      </c>
      <c r="C43" s="135">
        <f>C42*(C45/C41)^(1/4)</f>
        <v>102.8</v>
      </c>
      <c r="D43" s="135">
        <f>D42*(D45/D41)^(1/4)</f>
        <v>102.490514890653</v>
      </c>
      <c r="E43" s="135">
        <f t="shared" ref="E43:G43" si="80">E42*(E45/E41)^(1/4)</f>
        <v>101.945199837549</v>
      </c>
      <c r="F43" s="135">
        <f t="shared" si="80"/>
        <v>104.026</v>
      </c>
      <c r="G43" s="135">
        <f t="shared" si="80"/>
        <v>104.026</v>
      </c>
      <c r="H43" s="135">
        <f>H45</f>
        <v>47.533099999999997</v>
      </c>
      <c r="I43" s="135">
        <f t="shared" ref="I43:I44" si="81">H43/H39*100</f>
        <v>100</v>
      </c>
      <c r="J43" s="135">
        <f t="shared" ref="J43" si="82">J45</f>
        <v>45.013800000000003</v>
      </c>
      <c r="K43" s="135">
        <f t="shared" ref="K43:K44" si="83">J43/J39*100</f>
        <v>100</v>
      </c>
      <c r="L43" s="135">
        <f t="shared" ref="L43" si="84">L45</f>
        <v>73.7727</v>
      </c>
      <c r="M43" s="135">
        <f t="shared" ref="M43:M44" si="85">L43/L39*100</f>
        <v>100</v>
      </c>
      <c r="N43" s="135">
        <f t="shared" ref="N43" si="86">N45</f>
        <v>74.510000000000005</v>
      </c>
      <c r="O43" s="135">
        <f t="shared" ref="O43:O44" si="87">N43/N39*100</f>
        <v>100</v>
      </c>
      <c r="P43" s="145">
        <f t="shared" si="33"/>
        <v>0.97181821616108199</v>
      </c>
      <c r="Q43" s="145">
        <f t="shared" si="34"/>
        <v>0.9783096035711023</v>
      </c>
      <c r="R43" s="145">
        <f t="shared" si="35"/>
        <v>1.04026</v>
      </c>
      <c r="S43" s="145">
        <f t="shared" si="36"/>
        <v>1</v>
      </c>
      <c r="T43" s="145">
        <f t="shared" si="37"/>
        <v>1</v>
      </c>
      <c r="U43" s="145"/>
      <c r="V43" s="145">
        <f t="shared" si="38"/>
        <v>99.343991743180567</v>
      </c>
      <c r="W43" s="145"/>
      <c r="X43" s="145" t="e">
        <f t="shared" si="39"/>
        <v>#DIV/0!</v>
      </c>
      <c r="Z43" s="114"/>
      <c r="AA43" s="114"/>
      <c r="AB43" s="114"/>
      <c r="AC43" s="114"/>
    </row>
    <row r="44" spans="1:29" x14ac:dyDescent="0.25">
      <c r="A44" s="143">
        <v>45930</v>
      </c>
      <c r="B44" s="135">
        <f>B43*(B45/B41)^(1/4)</f>
        <v>103</v>
      </c>
      <c r="C44" s="135">
        <f>C43*(C45/C41)^(1/4)</f>
        <v>102.8</v>
      </c>
      <c r="D44" s="135">
        <f>D43*(D45/D41)^(1/4)</f>
        <v>102.490514890653</v>
      </c>
      <c r="E44" s="135">
        <f t="shared" ref="E44:G44" si="88">E43*(E45/E41)^(1/4)</f>
        <v>101.945199837549</v>
      </c>
      <c r="F44" s="135">
        <f t="shared" si="88"/>
        <v>104.026</v>
      </c>
      <c r="G44" s="135">
        <f t="shared" si="88"/>
        <v>104.026</v>
      </c>
      <c r="H44" s="135">
        <f>H45</f>
        <v>47.533099999999997</v>
      </c>
      <c r="I44" s="135">
        <f t="shared" si="81"/>
        <v>100</v>
      </c>
      <c r="J44" s="135">
        <f t="shared" ref="J44:N44" si="89">J45</f>
        <v>45.013800000000003</v>
      </c>
      <c r="K44" s="135">
        <f t="shared" si="83"/>
        <v>100</v>
      </c>
      <c r="L44" s="135">
        <f t="shared" si="89"/>
        <v>73.7727</v>
      </c>
      <c r="M44" s="135">
        <f t="shared" si="85"/>
        <v>100</v>
      </c>
      <c r="N44" s="135">
        <f t="shared" si="89"/>
        <v>74.510000000000005</v>
      </c>
      <c r="O44" s="135">
        <f t="shared" si="87"/>
        <v>100</v>
      </c>
      <c r="P44" s="145">
        <f t="shared" si="33"/>
        <v>0.97181821616108199</v>
      </c>
      <c r="Q44" s="145">
        <f t="shared" si="34"/>
        <v>0.9783096035711023</v>
      </c>
      <c r="R44" s="145">
        <f t="shared" si="35"/>
        <v>1.04026</v>
      </c>
      <c r="S44" s="145">
        <f t="shared" si="36"/>
        <v>1</v>
      </c>
      <c r="T44" s="145">
        <f t="shared" si="37"/>
        <v>1</v>
      </c>
      <c r="U44" s="145"/>
      <c r="V44" s="145">
        <f t="shared" si="38"/>
        <v>99.343991743180567</v>
      </c>
      <c r="W44" s="145"/>
      <c r="X44" s="145" t="e">
        <f t="shared" si="39"/>
        <v>#DIV/0!</v>
      </c>
      <c r="Z44" s="114"/>
      <c r="AA44" s="114"/>
      <c r="AB44" s="114"/>
      <c r="AC44" s="114"/>
    </row>
    <row r="45" spans="1:29" x14ac:dyDescent="0.25">
      <c r="A45" s="131">
        <v>46022</v>
      </c>
      <c r="B45" s="147">
        <v>103</v>
      </c>
      <c r="C45" s="147">
        <v>102.8</v>
      </c>
      <c r="D45" s="147">
        <v>102.490514890653</v>
      </c>
      <c r="E45" s="147">
        <v>101.945199837549</v>
      </c>
      <c r="F45" s="147">
        <v>104.026</v>
      </c>
      <c r="G45" s="147">
        <v>104.026</v>
      </c>
      <c r="H45" s="147">
        <v>47.533099999999997</v>
      </c>
      <c r="I45" s="132">
        <f>H45/H41*100</f>
        <v>100</v>
      </c>
      <c r="J45" s="147">
        <v>45.013800000000003</v>
      </c>
      <c r="K45" s="132">
        <f>J45/J41*100</f>
        <v>100</v>
      </c>
      <c r="L45" s="147">
        <v>73.7727</v>
      </c>
      <c r="M45" s="132">
        <f>L45/L41*100</f>
        <v>100</v>
      </c>
      <c r="N45" s="147">
        <v>74.510000000000005</v>
      </c>
      <c r="O45" s="132">
        <f>N45/N41*100</f>
        <v>100</v>
      </c>
      <c r="P45" s="140">
        <f t="shared" si="33"/>
        <v>0.97181821616108199</v>
      </c>
      <c r="Q45" s="140">
        <f t="shared" si="34"/>
        <v>0.9783096035711023</v>
      </c>
      <c r="R45" s="140">
        <f t="shared" si="35"/>
        <v>1.04026</v>
      </c>
      <c r="S45" s="140">
        <f t="shared" si="36"/>
        <v>1</v>
      </c>
      <c r="T45" s="140">
        <f t="shared" si="37"/>
        <v>1</v>
      </c>
      <c r="U45" s="140"/>
      <c r="V45" s="140">
        <f t="shared" si="38"/>
        <v>99.343991743180567</v>
      </c>
      <c r="W45" s="140"/>
      <c r="X45" s="140" t="e">
        <f t="shared" si="39"/>
        <v>#DIV/0!</v>
      </c>
      <c r="Z45" s="114"/>
      <c r="AA45" s="114"/>
      <c r="AB45" s="114"/>
      <c r="AC45" s="114"/>
    </row>
    <row r="53" spans="9:20" x14ac:dyDescent="0.25"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</row>
    <row r="54" spans="9:20" x14ac:dyDescent="0.25"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</row>
    <row r="55" spans="9:20" ht="15.75" x14ac:dyDescent="0.25">
      <c r="I55" s="61"/>
      <c r="J55" s="61"/>
      <c r="K55" s="148"/>
      <c r="L55" s="61"/>
      <c r="M55" s="61"/>
      <c r="N55" s="61"/>
      <c r="O55" s="61"/>
      <c r="P55" s="148"/>
      <c r="Q55" s="61"/>
      <c r="R55" s="61"/>
      <c r="S55" s="61"/>
      <c r="T55" s="61"/>
    </row>
    <row r="56" spans="9:20" x14ac:dyDescent="0.25">
      <c r="I56" s="61"/>
      <c r="J56" s="61"/>
      <c r="K56" s="193"/>
      <c r="L56" s="193"/>
      <c r="M56" s="193"/>
      <c r="N56" s="61"/>
      <c r="O56" s="61"/>
      <c r="P56" s="193"/>
      <c r="Q56" s="193"/>
      <c r="R56" s="193"/>
      <c r="S56" s="61"/>
      <c r="T56" s="61"/>
    </row>
    <row r="57" spans="9:20" x14ac:dyDescent="0.25"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</row>
    <row r="58" spans="9:20" x14ac:dyDescent="0.25">
      <c r="I58" s="61"/>
      <c r="J58" s="61"/>
      <c r="K58" s="61"/>
      <c r="L58" s="149"/>
      <c r="M58" s="150"/>
      <c r="N58" s="61"/>
      <c r="O58" s="61"/>
      <c r="P58" s="61"/>
      <c r="Q58" s="149"/>
      <c r="R58" s="150"/>
      <c r="S58" s="61"/>
      <c r="T58" s="61"/>
    </row>
    <row r="59" spans="9:20" x14ac:dyDescent="0.25">
      <c r="I59" s="61"/>
      <c r="J59" s="61"/>
      <c r="K59" s="61"/>
      <c r="L59" s="149"/>
      <c r="M59" s="150"/>
      <c r="N59" s="61"/>
      <c r="O59" s="61"/>
      <c r="P59" s="61"/>
      <c r="Q59" s="149"/>
      <c r="R59" s="150"/>
      <c r="S59" s="61"/>
      <c r="T59" s="61"/>
    </row>
    <row r="60" spans="9:20" x14ac:dyDescent="0.25">
      <c r="I60" s="61"/>
      <c r="J60" s="61"/>
      <c r="K60" s="61"/>
      <c r="L60" s="149"/>
      <c r="M60" s="150"/>
      <c r="N60" s="61"/>
      <c r="O60" s="61"/>
      <c r="P60" s="61"/>
      <c r="Q60" s="149"/>
      <c r="R60" s="150"/>
      <c r="S60" s="61"/>
      <c r="T60" s="61"/>
    </row>
    <row r="61" spans="9:20" x14ac:dyDescent="0.25">
      <c r="I61" s="61"/>
      <c r="J61" s="61"/>
      <c r="K61" s="61"/>
      <c r="L61" s="149"/>
      <c r="M61" s="150"/>
      <c r="N61" s="61"/>
      <c r="O61" s="61"/>
      <c r="P61" s="61"/>
      <c r="Q61" s="149"/>
      <c r="R61" s="150"/>
      <c r="S61" s="61"/>
      <c r="T61" s="61"/>
    </row>
    <row r="62" spans="9:20" x14ac:dyDescent="0.25">
      <c r="I62" s="61"/>
      <c r="J62" s="61"/>
      <c r="K62" s="61"/>
      <c r="L62" s="149"/>
      <c r="M62" s="150"/>
      <c r="N62" s="61"/>
      <c r="O62" s="61"/>
      <c r="P62" s="61"/>
      <c r="Q62" s="149"/>
      <c r="R62" s="150"/>
      <c r="S62" s="61"/>
      <c r="T62" s="61"/>
    </row>
    <row r="63" spans="9:20" x14ac:dyDescent="0.25"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</row>
  </sheetData>
  <mergeCells count="24">
    <mergeCell ref="AC10:AC12"/>
    <mergeCell ref="P1:R1"/>
    <mergeCell ref="T1:V1"/>
    <mergeCell ref="Z10:Z12"/>
    <mergeCell ref="AA10:AA12"/>
    <mergeCell ref="AB10:AB12"/>
    <mergeCell ref="V10:V12"/>
    <mergeCell ref="W10:W12"/>
    <mergeCell ref="X10:X12"/>
    <mergeCell ref="S10:S12"/>
    <mergeCell ref="T10:T12"/>
    <mergeCell ref="U10:U12"/>
    <mergeCell ref="B1:C1"/>
    <mergeCell ref="B5:C5"/>
    <mergeCell ref="B10:C10"/>
    <mergeCell ref="D10:E10"/>
    <mergeCell ref="F10:G10"/>
    <mergeCell ref="K56:M56"/>
    <mergeCell ref="P56:R56"/>
    <mergeCell ref="P10:P12"/>
    <mergeCell ref="Q10:Q12"/>
    <mergeCell ref="R10:R12"/>
    <mergeCell ref="H10:K10"/>
    <mergeCell ref="L10:O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ОКУ</vt:lpstr>
      <vt:lpstr>Рейтинг</vt:lpstr>
      <vt:lpstr>Переменные</vt:lpstr>
      <vt:lpstr>Матрица</vt:lpstr>
      <vt:lpstr>Приложение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2021-12-27T04:37:34Z</dcterms:modified>
</cp:coreProperties>
</file>