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baub\OneDrive\Documentos\Visual Studio 2013\Projects\Enterprise\TFI 2017\"/>
    </mc:Choice>
  </mc:AlternateContent>
  <bookViews>
    <workbookView xWindow="0" yWindow="0" windowWidth="28800" windowHeight="11640" firstSheet="2" activeTab="7"/>
  </bookViews>
  <sheets>
    <sheet name="Sheet3" sheetId="13" r:id="rId1"/>
    <sheet name="HIPOTESIS" sheetId="2" r:id="rId2"/>
    <sheet name="MODELO DE INGRESOS" sheetId="5" r:id="rId3"/>
    <sheet name="PROYECCION DE VENTAS" sheetId="4" r:id="rId4"/>
    <sheet name="CALCULO COSTO UNITARIO" sheetId="14" r:id="rId5"/>
    <sheet name="COSTOS FIJOS" sheetId="6" r:id="rId6"/>
    <sheet name="COSTOS VARIABLES" sheetId="12" r:id="rId7"/>
    <sheet name="COSTOS RRHH" sheetId="8" r:id="rId8"/>
    <sheet name="MODELO DE INVERSION INICIAL" sheetId="9" r:id="rId9"/>
    <sheet name="AMORTIZACIONES" sheetId="10" r:id="rId10"/>
  </sheets>
  <calcPr calcId="152511"/>
</workbook>
</file>

<file path=xl/calcChain.xml><?xml version="1.0" encoding="utf-8"?>
<calcChain xmlns="http://schemas.openxmlformats.org/spreadsheetml/2006/main">
  <c r="AK53" i="14" l="1"/>
  <c r="AL53" i="14" s="1"/>
  <c r="X84" i="14"/>
  <c r="V84" i="14"/>
  <c r="T84" i="14"/>
  <c r="R84" i="14"/>
  <c r="P84" i="14"/>
  <c r="N84" i="14"/>
  <c r="L84" i="14"/>
  <c r="J84" i="14"/>
  <c r="H84" i="14"/>
  <c r="F84" i="14"/>
  <c r="D84" i="14"/>
  <c r="B84" i="14"/>
  <c r="Y83" i="14"/>
  <c r="X83" i="14"/>
  <c r="W83" i="14"/>
  <c r="V83" i="14"/>
  <c r="U83" i="14"/>
  <c r="T83" i="14"/>
  <c r="S83" i="14"/>
  <c r="R83" i="14"/>
  <c r="Q83" i="14"/>
  <c r="P83" i="14"/>
  <c r="O83" i="14"/>
  <c r="N83" i="14"/>
  <c r="M83" i="14"/>
  <c r="L83" i="14"/>
  <c r="K83" i="14"/>
  <c r="J83" i="14"/>
  <c r="I83" i="14"/>
  <c r="H83" i="14"/>
  <c r="G83" i="14"/>
  <c r="F83" i="14"/>
  <c r="E83" i="14"/>
  <c r="D83" i="14"/>
  <c r="C83" i="14"/>
  <c r="B83" i="14"/>
  <c r="X82" i="14"/>
  <c r="V82" i="14"/>
  <c r="T82" i="14"/>
  <c r="R82" i="14"/>
  <c r="P82" i="14"/>
  <c r="N82" i="14"/>
  <c r="L82" i="14"/>
  <c r="J82" i="14"/>
  <c r="H82" i="14"/>
  <c r="F82" i="14"/>
  <c r="D82" i="14"/>
  <c r="B82" i="14"/>
  <c r="Y81" i="14"/>
  <c r="X81" i="14"/>
  <c r="W81" i="14"/>
  <c r="V81" i="14"/>
  <c r="U81" i="14"/>
  <c r="T81" i="14"/>
  <c r="S81" i="14"/>
  <c r="R81" i="14"/>
  <c r="Q81" i="14"/>
  <c r="P81" i="14"/>
  <c r="O81" i="14"/>
  <c r="N81" i="14"/>
  <c r="M81" i="14"/>
  <c r="L81" i="14"/>
  <c r="K81" i="14"/>
  <c r="J81" i="14"/>
  <c r="I81" i="14"/>
  <c r="H81" i="14"/>
  <c r="G81" i="14"/>
  <c r="F81" i="14"/>
  <c r="E81" i="14"/>
  <c r="D81" i="14"/>
  <c r="C81" i="14"/>
  <c r="B81" i="14"/>
  <c r="X80" i="14"/>
  <c r="V80" i="14"/>
  <c r="T80" i="14"/>
  <c r="R80" i="14"/>
  <c r="P80" i="14"/>
  <c r="N80" i="14"/>
  <c r="L80" i="14"/>
  <c r="J80" i="14"/>
  <c r="H80" i="14"/>
  <c r="F80" i="14"/>
  <c r="D80" i="14"/>
  <c r="B80" i="14"/>
  <c r="Y79" i="14"/>
  <c r="X79" i="14"/>
  <c r="W79" i="14"/>
  <c r="V79" i="14"/>
  <c r="U79" i="14"/>
  <c r="T79" i="14"/>
  <c r="S79" i="14"/>
  <c r="R79" i="14"/>
  <c r="Q79" i="14"/>
  <c r="P79" i="14"/>
  <c r="O79" i="14"/>
  <c r="N79" i="14"/>
  <c r="M79" i="14"/>
  <c r="L79" i="14"/>
  <c r="K79" i="14"/>
  <c r="J79" i="14"/>
  <c r="I79" i="14"/>
  <c r="H79" i="14"/>
  <c r="G79" i="14"/>
  <c r="F79" i="14"/>
  <c r="E79" i="14"/>
  <c r="D79" i="14"/>
  <c r="C79" i="14"/>
  <c r="B79" i="14"/>
  <c r="X70" i="14"/>
  <c r="V70" i="14"/>
  <c r="T70" i="14"/>
  <c r="R70" i="14"/>
  <c r="P70" i="14"/>
  <c r="N70" i="14"/>
  <c r="L70" i="14"/>
  <c r="J70" i="14"/>
  <c r="H70" i="14"/>
  <c r="F70" i="14"/>
  <c r="D70" i="14"/>
  <c r="B70" i="14"/>
  <c r="Y69" i="14"/>
  <c r="X69" i="14"/>
  <c r="W69" i="14"/>
  <c r="V69" i="14"/>
  <c r="U69" i="14"/>
  <c r="T69" i="14"/>
  <c r="S69" i="14"/>
  <c r="R69" i="14"/>
  <c r="Q69" i="14"/>
  <c r="P69" i="14"/>
  <c r="O69" i="14"/>
  <c r="N69" i="14"/>
  <c r="M69" i="14"/>
  <c r="L69" i="14"/>
  <c r="K69" i="14"/>
  <c r="J69" i="14"/>
  <c r="I69" i="14"/>
  <c r="H69" i="14"/>
  <c r="G69" i="14"/>
  <c r="F69" i="14"/>
  <c r="E69" i="14"/>
  <c r="D69" i="14"/>
  <c r="C69" i="14"/>
  <c r="B69" i="14"/>
  <c r="X68" i="14"/>
  <c r="V68" i="14"/>
  <c r="T68" i="14"/>
  <c r="R68" i="14"/>
  <c r="P68" i="14"/>
  <c r="N68" i="14"/>
  <c r="L68" i="14"/>
  <c r="J68" i="14"/>
  <c r="H68" i="14"/>
  <c r="F68" i="14"/>
  <c r="D68" i="14"/>
  <c r="B68" i="14"/>
  <c r="Y67" i="14"/>
  <c r="X67" i="14"/>
  <c r="W67" i="14"/>
  <c r="V67" i="14"/>
  <c r="U67" i="14"/>
  <c r="T67" i="14"/>
  <c r="S67" i="14"/>
  <c r="R67" i="14"/>
  <c r="Q67" i="14"/>
  <c r="P67" i="14"/>
  <c r="O67" i="14"/>
  <c r="N67" i="14"/>
  <c r="M67" i="14"/>
  <c r="L67" i="14"/>
  <c r="K67" i="14"/>
  <c r="J67" i="14"/>
  <c r="I67" i="14"/>
  <c r="H67" i="14"/>
  <c r="G67" i="14"/>
  <c r="F67" i="14"/>
  <c r="E67" i="14"/>
  <c r="D67" i="14"/>
  <c r="C67" i="14"/>
  <c r="B67" i="14"/>
  <c r="X66" i="14"/>
  <c r="V66" i="14"/>
  <c r="T66" i="14"/>
  <c r="R66" i="14"/>
  <c r="P66" i="14"/>
  <c r="N66" i="14"/>
  <c r="L66" i="14"/>
  <c r="J66" i="14"/>
  <c r="H66" i="14"/>
  <c r="F66" i="14"/>
  <c r="D66" i="14"/>
  <c r="B66" i="14"/>
  <c r="Y65" i="14"/>
  <c r="X65" i="14"/>
  <c r="W65" i="14"/>
  <c r="V65" i="14"/>
  <c r="U65" i="14"/>
  <c r="T65" i="14"/>
  <c r="S65" i="14"/>
  <c r="R65" i="14"/>
  <c r="Q65" i="14"/>
  <c r="P65" i="14"/>
  <c r="O65" i="14"/>
  <c r="N65" i="14"/>
  <c r="M65" i="14"/>
  <c r="L65" i="14"/>
  <c r="K65" i="14"/>
  <c r="J65" i="14"/>
  <c r="I65" i="14"/>
  <c r="H65" i="14"/>
  <c r="G65" i="14"/>
  <c r="F65" i="14"/>
  <c r="E65" i="14"/>
  <c r="D65" i="14"/>
  <c r="C65" i="14"/>
  <c r="B65" i="14"/>
  <c r="X56" i="14"/>
  <c r="V56" i="14"/>
  <c r="T56" i="14"/>
  <c r="R56" i="14"/>
  <c r="P56" i="14"/>
  <c r="N56" i="14"/>
  <c r="L56" i="14"/>
  <c r="J56" i="14"/>
  <c r="H56" i="14"/>
  <c r="F56" i="14"/>
  <c r="D56" i="14"/>
  <c r="B56" i="14"/>
  <c r="Y55" i="14"/>
  <c r="X55" i="14"/>
  <c r="W55" i="14"/>
  <c r="V55" i="14"/>
  <c r="U55" i="14"/>
  <c r="T55" i="14"/>
  <c r="S55" i="14"/>
  <c r="R55" i="14"/>
  <c r="Q55" i="14"/>
  <c r="P55" i="14"/>
  <c r="O55" i="14"/>
  <c r="N55" i="14"/>
  <c r="M55" i="14"/>
  <c r="L55" i="14"/>
  <c r="K55" i="14"/>
  <c r="J55" i="14"/>
  <c r="I55" i="14"/>
  <c r="H55" i="14"/>
  <c r="G55" i="14"/>
  <c r="F55" i="14"/>
  <c r="E55" i="14"/>
  <c r="D55" i="14"/>
  <c r="C55" i="14"/>
  <c r="B55" i="14"/>
  <c r="X54" i="14"/>
  <c r="V54" i="14"/>
  <c r="T54" i="14"/>
  <c r="R54" i="14"/>
  <c r="P54" i="14"/>
  <c r="N54" i="14"/>
  <c r="L54" i="14"/>
  <c r="J54" i="14"/>
  <c r="H54" i="14"/>
  <c r="F54" i="14"/>
  <c r="D54" i="14"/>
  <c r="B54" i="14"/>
  <c r="Y53" i="14"/>
  <c r="X53" i="14"/>
  <c r="W53" i="14"/>
  <c r="V53" i="14"/>
  <c r="U53" i="14"/>
  <c r="T53" i="14"/>
  <c r="S53" i="14"/>
  <c r="R53" i="14"/>
  <c r="Q53" i="14"/>
  <c r="P53" i="14"/>
  <c r="O53" i="14"/>
  <c r="N53" i="14"/>
  <c r="M53" i="14"/>
  <c r="L53" i="14"/>
  <c r="K53" i="14"/>
  <c r="J53" i="14"/>
  <c r="I53" i="14"/>
  <c r="H53" i="14"/>
  <c r="G53" i="14"/>
  <c r="F53" i="14"/>
  <c r="E53" i="14"/>
  <c r="D53" i="14"/>
  <c r="C53" i="14"/>
  <c r="B53" i="14"/>
  <c r="X52" i="14"/>
  <c r="V52" i="14"/>
  <c r="T52" i="14"/>
  <c r="R52" i="14"/>
  <c r="P52" i="14"/>
  <c r="N52" i="14"/>
  <c r="L52" i="14"/>
  <c r="J52" i="14"/>
  <c r="H52" i="14"/>
  <c r="F52" i="14"/>
  <c r="D52" i="14"/>
  <c r="B52" i="14"/>
  <c r="Y51" i="14"/>
  <c r="X51" i="14"/>
  <c r="W51" i="14"/>
  <c r="V51" i="14"/>
  <c r="U51" i="14"/>
  <c r="T51" i="14"/>
  <c r="S51" i="14"/>
  <c r="R51" i="14"/>
  <c r="Q51" i="14"/>
  <c r="P51" i="14"/>
  <c r="O51" i="14"/>
  <c r="N51" i="14"/>
  <c r="M51" i="14"/>
  <c r="L51" i="14"/>
  <c r="K51" i="14"/>
  <c r="J51" i="14"/>
  <c r="I51" i="14"/>
  <c r="H51" i="14"/>
  <c r="G51" i="14"/>
  <c r="F51" i="14"/>
  <c r="E51" i="14"/>
  <c r="D51" i="14"/>
  <c r="C51" i="14"/>
  <c r="B51" i="14"/>
  <c r="X84" i="4" l="1"/>
  <c r="X82" i="4"/>
  <c r="X80" i="4"/>
  <c r="P84" i="4"/>
  <c r="P82" i="4"/>
  <c r="P80" i="4"/>
  <c r="N80" i="4"/>
  <c r="N82" i="4"/>
  <c r="N84" i="4"/>
  <c r="H84" i="4"/>
  <c r="H82" i="4"/>
  <c r="H80" i="4"/>
  <c r="X70" i="4"/>
  <c r="X68" i="4"/>
  <c r="X66" i="4"/>
  <c r="P70" i="4"/>
  <c r="P68" i="4"/>
  <c r="P66" i="4"/>
  <c r="H70" i="4"/>
  <c r="H68" i="4"/>
  <c r="H66" i="4"/>
  <c r="F70" i="4"/>
  <c r="F68" i="4"/>
  <c r="F66" i="4"/>
  <c r="V56" i="4"/>
  <c r="V54" i="4"/>
  <c r="V52" i="4"/>
  <c r="N56" i="4"/>
  <c r="N54" i="4"/>
  <c r="N52" i="4"/>
  <c r="L56" i="4"/>
  <c r="L54" i="4"/>
  <c r="L52" i="4"/>
  <c r="J56" i="4"/>
  <c r="J54" i="4"/>
  <c r="J52" i="4"/>
  <c r="H56" i="4"/>
  <c r="H54" i="4"/>
  <c r="H52" i="4"/>
  <c r="B83" i="4" l="1"/>
  <c r="B81" i="4"/>
  <c r="B79" i="4"/>
  <c r="B65" i="4"/>
  <c r="B69" i="4"/>
  <c r="B67" i="4"/>
  <c r="G31" i="13" l="1"/>
  <c r="F31" i="13"/>
  <c r="AL50" i="14"/>
  <c r="Z83" i="14"/>
  <c r="AA83" i="14" s="1"/>
  <c r="Z81" i="14"/>
  <c r="AA81" i="14" s="1"/>
  <c r="Z79" i="14"/>
  <c r="AA79" i="14" s="1"/>
  <c r="Z69" i="14"/>
  <c r="AA69" i="14" s="1"/>
  <c r="Z67" i="14"/>
  <c r="AA67" i="14" s="1"/>
  <c r="Z65" i="14"/>
  <c r="AA65" i="14" s="1"/>
  <c r="Z56" i="14"/>
  <c r="AA56" i="14" s="1"/>
  <c r="Z55" i="14"/>
  <c r="AA55" i="14" s="1"/>
  <c r="Z54" i="14"/>
  <c r="AA54" i="14" s="1"/>
  <c r="Z53" i="14"/>
  <c r="AA53" i="14" s="1"/>
  <c r="Z52" i="14"/>
  <c r="AA52" i="14" s="1"/>
  <c r="Z51" i="14"/>
  <c r="AA51" i="14" s="1"/>
  <c r="A84" i="14"/>
  <c r="A83" i="14"/>
  <c r="A82" i="14"/>
  <c r="A81" i="14"/>
  <c r="A80" i="14"/>
  <c r="A79" i="14"/>
  <c r="A70" i="14"/>
  <c r="A69" i="14"/>
  <c r="A68" i="14"/>
  <c r="A67" i="14"/>
  <c r="A66" i="14"/>
  <c r="A65" i="14"/>
  <c r="D57" i="14"/>
  <c r="B57" i="14"/>
  <c r="B58" i="14" s="1"/>
  <c r="A56" i="14"/>
  <c r="A55" i="14"/>
  <c r="A54" i="14"/>
  <c r="A53" i="14"/>
  <c r="F57" i="14"/>
  <c r="A52" i="14"/>
  <c r="A51" i="14"/>
  <c r="C12" i="14"/>
  <c r="D20" i="9"/>
  <c r="AA57" i="14" l="1"/>
  <c r="AK51" i="14" s="1"/>
  <c r="AL51" i="14" s="1"/>
  <c r="D58" i="14"/>
  <c r="F58" i="14" s="1"/>
  <c r="P56" i="4"/>
  <c r="R56" i="4" s="1"/>
  <c r="T56" i="4" s="1"/>
  <c r="P54" i="4"/>
  <c r="R54" i="4" s="1"/>
  <c r="T54" i="4" s="1"/>
  <c r="P52" i="4"/>
  <c r="R52" i="4" s="1"/>
  <c r="T52" i="4" s="1"/>
  <c r="B14" i="12"/>
  <c r="N23" i="6"/>
  <c r="X54" i="4" l="1"/>
  <c r="B68" i="4" s="1"/>
  <c r="X56" i="4"/>
  <c r="B70" i="4" s="1"/>
  <c r="X52" i="4"/>
  <c r="B66" i="4" s="1"/>
  <c r="H57" i="14"/>
  <c r="H58" i="14" s="1"/>
  <c r="F14" i="12"/>
  <c r="J14" i="12" s="1"/>
  <c r="C14" i="6"/>
  <c r="D14" i="6"/>
  <c r="E14" i="6"/>
  <c r="F14" i="6"/>
  <c r="G14" i="6"/>
  <c r="H14" i="6"/>
  <c r="I14" i="6"/>
  <c r="J14" i="6"/>
  <c r="K14" i="6"/>
  <c r="L14" i="6"/>
  <c r="M14" i="6"/>
  <c r="B14" i="6"/>
  <c r="N124" i="8"/>
  <c r="H124" i="8"/>
  <c r="N111" i="8"/>
  <c r="H111" i="8"/>
  <c r="N97" i="8"/>
  <c r="H97" i="8"/>
  <c r="N84" i="8"/>
  <c r="H84" i="8"/>
  <c r="N71" i="8"/>
  <c r="H71" i="8"/>
  <c r="N58" i="8"/>
  <c r="H58" i="8"/>
  <c r="N45" i="8"/>
  <c r="H45" i="8"/>
  <c r="A27" i="8"/>
  <c r="A26" i="8"/>
  <c r="A25" i="8"/>
  <c r="A24" i="8"/>
  <c r="A23" i="8"/>
  <c r="J57" i="14" l="1"/>
  <c r="J58" i="14" s="1"/>
  <c r="N14" i="12"/>
  <c r="A15" i="10"/>
  <c r="A14" i="10"/>
  <c r="A13" i="10"/>
  <c r="A12" i="10"/>
  <c r="A11" i="10"/>
  <c r="A10" i="10"/>
  <c r="A8" i="10"/>
  <c r="A7" i="10"/>
  <c r="A6" i="10"/>
  <c r="A5" i="10"/>
  <c r="D17" i="9"/>
  <c r="C15" i="10" s="1"/>
  <c r="D16" i="9"/>
  <c r="C14" i="10" s="1"/>
  <c r="D15" i="9"/>
  <c r="C13" i="10" s="1"/>
  <c r="D14" i="9"/>
  <c r="C12" i="10" s="1"/>
  <c r="D13" i="9"/>
  <c r="C11" i="10" s="1"/>
  <c r="D12" i="9"/>
  <c r="C10" i="10" s="1"/>
  <c r="D10" i="9"/>
  <c r="C8" i="10" s="1"/>
  <c r="D9" i="9"/>
  <c r="C7" i="10" s="1"/>
  <c r="D8" i="9"/>
  <c r="C6" i="10" s="1"/>
  <c r="D7" i="9"/>
  <c r="C5" i="10" s="1"/>
  <c r="N123" i="8"/>
  <c r="M123" i="8"/>
  <c r="L123" i="8"/>
  <c r="K123" i="8"/>
  <c r="J123" i="8"/>
  <c r="I123" i="8"/>
  <c r="H123" i="8"/>
  <c r="G123" i="8"/>
  <c r="F123" i="8"/>
  <c r="E123" i="8"/>
  <c r="D123" i="8"/>
  <c r="C123" i="8"/>
  <c r="N122" i="8"/>
  <c r="M122" i="8"/>
  <c r="L122" i="8"/>
  <c r="K122" i="8"/>
  <c r="J122" i="8"/>
  <c r="I122" i="8"/>
  <c r="H122" i="8"/>
  <c r="G122" i="8"/>
  <c r="F122" i="8"/>
  <c r="E122" i="8"/>
  <c r="D122" i="8"/>
  <c r="C122" i="8"/>
  <c r="N121" i="8"/>
  <c r="M121" i="8"/>
  <c r="L121" i="8"/>
  <c r="K121" i="8"/>
  <c r="J121" i="8"/>
  <c r="I121" i="8"/>
  <c r="H121" i="8"/>
  <c r="G121" i="8"/>
  <c r="F121" i="8"/>
  <c r="E121" i="8"/>
  <c r="D121" i="8"/>
  <c r="C121" i="8"/>
  <c r="N120" i="8"/>
  <c r="M120" i="8"/>
  <c r="L120" i="8"/>
  <c r="K120" i="8"/>
  <c r="J120" i="8"/>
  <c r="I120" i="8"/>
  <c r="H120" i="8"/>
  <c r="G120" i="8"/>
  <c r="F120" i="8"/>
  <c r="E120" i="8"/>
  <c r="D120" i="8"/>
  <c r="C120" i="8"/>
  <c r="N119" i="8"/>
  <c r="M119" i="8"/>
  <c r="M125" i="8" s="1"/>
  <c r="L119" i="8"/>
  <c r="L125" i="8" s="1"/>
  <c r="K119" i="8"/>
  <c r="K125" i="8" s="1"/>
  <c r="J119" i="8"/>
  <c r="I119" i="8"/>
  <c r="I125" i="8" s="1"/>
  <c r="H119" i="8"/>
  <c r="H125" i="8" s="1"/>
  <c r="G119" i="8"/>
  <c r="G125" i="8" s="1"/>
  <c r="F119" i="8"/>
  <c r="E119" i="8"/>
  <c r="E125" i="8" s="1"/>
  <c r="D119" i="8"/>
  <c r="D125" i="8" s="1"/>
  <c r="C119" i="8"/>
  <c r="C125" i="8" s="1"/>
  <c r="N110" i="8"/>
  <c r="M110" i="8"/>
  <c r="L110" i="8"/>
  <c r="K110" i="8"/>
  <c r="J110" i="8"/>
  <c r="I110" i="8"/>
  <c r="H110" i="8"/>
  <c r="G110" i="8"/>
  <c r="F110" i="8"/>
  <c r="E110" i="8"/>
  <c r="D110" i="8"/>
  <c r="C110" i="8"/>
  <c r="N109" i="8"/>
  <c r="M109" i="8"/>
  <c r="L109" i="8"/>
  <c r="K109" i="8"/>
  <c r="J109" i="8"/>
  <c r="I109" i="8"/>
  <c r="H109" i="8"/>
  <c r="G109" i="8"/>
  <c r="F109" i="8"/>
  <c r="E109" i="8"/>
  <c r="D109" i="8"/>
  <c r="C109" i="8"/>
  <c r="N108" i="8"/>
  <c r="M108" i="8"/>
  <c r="L108" i="8"/>
  <c r="K108" i="8"/>
  <c r="J108" i="8"/>
  <c r="I108" i="8"/>
  <c r="H108" i="8"/>
  <c r="G108" i="8"/>
  <c r="F108" i="8"/>
  <c r="E108" i="8"/>
  <c r="D108" i="8"/>
  <c r="C108" i="8"/>
  <c r="N107" i="8"/>
  <c r="M107" i="8"/>
  <c r="L107" i="8"/>
  <c r="K107" i="8"/>
  <c r="J107" i="8"/>
  <c r="I107" i="8"/>
  <c r="H107" i="8"/>
  <c r="G107" i="8"/>
  <c r="F107" i="8"/>
  <c r="E107" i="8"/>
  <c r="D107" i="8"/>
  <c r="C107" i="8"/>
  <c r="N106" i="8"/>
  <c r="M106" i="8"/>
  <c r="M112" i="8" s="1"/>
  <c r="L106" i="8"/>
  <c r="L112" i="8" s="1"/>
  <c r="K106" i="8"/>
  <c r="K112" i="8" s="1"/>
  <c r="J106" i="8"/>
  <c r="J112" i="8" s="1"/>
  <c r="I106" i="8"/>
  <c r="I112" i="8" s="1"/>
  <c r="H106" i="8"/>
  <c r="H112" i="8" s="1"/>
  <c r="G106" i="8"/>
  <c r="G112" i="8" s="1"/>
  <c r="F106" i="8"/>
  <c r="F112" i="8" s="1"/>
  <c r="E106" i="8"/>
  <c r="E112" i="8" s="1"/>
  <c r="D106" i="8"/>
  <c r="D112" i="8" s="1"/>
  <c r="C106" i="8"/>
  <c r="C112" i="8" s="1"/>
  <c r="N96" i="8"/>
  <c r="M96" i="8"/>
  <c r="L96" i="8"/>
  <c r="K96" i="8"/>
  <c r="J96" i="8"/>
  <c r="I96" i="8"/>
  <c r="H96" i="8"/>
  <c r="G96" i="8"/>
  <c r="F96" i="8"/>
  <c r="E96" i="8"/>
  <c r="D96" i="8"/>
  <c r="C96" i="8"/>
  <c r="N95" i="8"/>
  <c r="M95" i="8"/>
  <c r="L95" i="8"/>
  <c r="K95" i="8"/>
  <c r="J95" i="8"/>
  <c r="I95" i="8"/>
  <c r="H95" i="8"/>
  <c r="G95" i="8"/>
  <c r="F95" i="8"/>
  <c r="E95" i="8"/>
  <c r="D95" i="8"/>
  <c r="C95" i="8"/>
  <c r="N94" i="8"/>
  <c r="M94" i="8"/>
  <c r="L94" i="8"/>
  <c r="K94" i="8"/>
  <c r="J94" i="8"/>
  <c r="I94" i="8"/>
  <c r="H94" i="8"/>
  <c r="G94" i="8"/>
  <c r="F94" i="8"/>
  <c r="E94" i="8"/>
  <c r="D94" i="8"/>
  <c r="C94" i="8"/>
  <c r="N93" i="8"/>
  <c r="M93" i="8"/>
  <c r="L93" i="8"/>
  <c r="K93" i="8"/>
  <c r="J93" i="8"/>
  <c r="I93" i="8"/>
  <c r="H93" i="8"/>
  <c r="G93" i="8"/>
  <c r="F93" i="8"/>
  <c r="E93" i="8"/>
  <c r="D93" i="8"/>
  <c r="C93" i="8"/>
  <c r="N92" i="8"/>
  <c r="M92" i="8"/>
  <c r="M98" i="8" s="1"/>
  <c r="L92" i="8"/>
  <c r="L98" i="8" s="1"/>
  <c r="K92" i="8"/>
  <c r="J92" i="8"/>
  <c r="J98" i="8" s="1"/>
  <c r="I92" i="8"/>
  <c r="I98" i="8" s="1"/>
  <c r="H92" i="8"/>
  <c r="H98" i="8" s="1"/>
  <c r="G92" i="8"/>
  <c r="G98" i="8" s="1"/>
  <c r="F92" i="8"/>
  <c r="E92" i="8"/>
  <c r="D92" i="8"/>
  <c r="D98" i="8" s="1"/>
  <c r="C92" i="8"/>
  <c r="C98" i="8" s="1"/>
  <c r="N83" i="8"/>
  <c r="M83" i="8"/>
  <c r="L83" i="8"/>
  <c r="K83" i="8"/>
  <c r="J83" i="8"/>
  <c r="I83" i="8"/>
  <c r="H83" i="8"/>
  <c r="G83" i="8"/>
  <c r="F83" i="8"/>
  <c r="E83" i="8"/>
  <c r="D83" i="8"/>
  <c r="C83" i="8"/>
  <c r="N82" i="8"/>
  <c r="M82" i="8"/>
  <c r="L82" i="8"/>
  <c r="K82" i="8"/>
  <c r="J82" i="8"/>
  <c r="I82" i="8"/>
  <c r="H82" i="8"/>
  <c r="G82" i="8"/>
  <c r="F82" i="8"/>
  <c r="E82" i="8"/>
  <c r="D82" i="8"/>
  <c r="C82" i="8"/>
  <c r="N81" i="8"/>
  <c r="M81" i="8"/>
  <c r="L81" i="8"/>
  <c r="K81" i="8"/>
  <c r="J81" i="8"/>
  <c r="I81" i="8"/>
  <c r="H81" i="8"/>
  <c r="G81" i="8"/>
  <c r="F81" i="8"/>
  <c r="E81" i="8"/>
  <c r="D81" i="8"/>
  <c r="C81" i="8"/>
  <c r="N80" i="8"/>
  <c r="M80" i="8"/>
  <c r="L80" i="8"/>
  <c r="K80" i="8"/>
  <c r="J80" i="8"/>
  <c r="I80" i="8"/>
  <c r="H80" i="8"/>
  <c r="G80" i="8"/>
  <c r="F80" i="8"/>
  <c r="E80" i="8"/>
  <c r="D80" i="8"/>
  <c r="C80" i="8"/>
  <c r="N79" i="8"/>
  <c r="N85" i="8" s="1"/>
  <c r="M79" i="8"/>
  <c r="M85" i="8" s="1"/>
  <c r="L79" i="8"/>
  <c r="L85" i="8" s="1"/>
  <c r="K79" i="8"/>
  <c r="K85" i="8" s="1"/>
  <c r="J79" i="8"/>
  <c r="J85" i="8" s="1"/>
  <c r="I79" i="8"/>
  <c r="I85" i="8" s="1"/>
  <c r="H79" i="8"/>
  <c r="H85" i="8" s="1"/>
  <c r="G79" i="8"/>
  <c r="G85" i="8" s="1"/>
  <c r="F79" i="8"/>
  <c r="F85" i="8" s="1"/>
  <c r="E79" i="8"/>
  <c r="E85" i="8" s="1"/>
  <c r="D79" i="8"/>
  <c r="D85" i="8" s="1"/>
  <c r="C79" i="8"/>
  <c r="C85" i="8" s="1"/>
  <c r="N70" i="8"/>
  <c r="M70" i="8"/>
  <c r="L70" i="8"/>
  <c r="K70" i="8"/>
  <c r="J70" i="8"/>
  <c r="I70" i="8"/>
  <c r="H70" i="8"/>
  <c r="G70" i="8"/>
  <c r="F70" i="8"/>
  <c r="E70" i="8"/>
  <c r="D70" i="8"/>
  <c r="C70" i="8"/>
  <c r="N69" i="8"/>
  <c r="M69" i="8"/>
  <c r="L69" i="8"/>
  <c r="K69" i="8"/>
  <c r="J69" i="8"/>
  <c r="I69" i="8"/>
  <c r="H69" i="8"/>
  <c r="G69" i="8"/>
  <c r="F69" i="8"/>
  <c r="E69" i="8"/>
  <c r="D69" i="8"/>
  <c r="C69" i="8"/>
  <c r="N68" i="8"/>
  <c r="M68" i="8"/>
  <c r="L68" i="8"/>
  <c r="K68" i="8"/>
  <c r="J68" i="8"/>
  <c r="I68" i="8"/>
  <c r="H68" i="8"/>
  <c r="G68" i="8"/>
  <c r="F68" i="8"/>
  <c r="E68" i="8"/>
  <c r="D68" i="8"/>
  <c r="C68" i="8"/>
  <c r="N67" i="8"/>
  <c r="M67" i="8"/>
  <c r="L67" i="8"/>
  <c r="K67" i="8"/>
  <c r="J67" i="8"/>
  <c r="I67" i="8"/>
  <c r="H67" i="8"/>
  <c r="G67" i="8"/>
  <c r="F67" i="8"/>
  <c r="E67" i="8"/>
  <c r="D67" i="8"/>
  <c r="C67" i="8"/>
  <c r="N66" i="8"/>
  <c r="M66" i="8"/>
  <c r="M72" i="8" s="1"/>
  <c r="L66" i="8"/>
  <c r="L72" i="8" s="1"/>
  <c r="K66" i="8"/>
  <c r="J66" i="8"/>
  <c r="J72" i="8" s="1"/>
  <c r="I66" i="8"/>
  <c r="I72" i="8" s="1"/>
  <c r="H66" i="8"/>
  <c r="H72" i="8" s="1"/>
  <c r="G66" i="8"/>
  <c r="G72" i="8" s="1"/>
  <c r="F66" i="8"/>
  <c r="F72" i="8" s="1"/>
  <c r="E66" i="8"/>
  <c r="E72" i="8" s="1"/>
  <c r="D66" i="8"/>
  <c r="D72" i="8" s="1"/>
  <c r="C66" i="8"/>
  <c r="N57" i="8"/>
  <c r="M57" i="8"/>
  <c r="L57" i="8"/>
  <c r="K57" i="8"/>
  <c r="J57" i="8"/>
  <c r="I57" i="8"/>
  <c r="H57" i="8"/>
  <c r="G57" i="8"/>
  <c r="F57" i="8"/>
  <c r="E57" i="8"/>
  <c r="D57" i="8"/>
  <c r="C57" i="8"/>
  <c r="N56" i="8"/>
  <c r="M56" i="8"/>
  <c r="L56" i="8"/>
  <c r="K56" i="8"/>
  <c r="J56" i="8"/>
  <c r="I56" i="8"/>
  <c r="H56" i="8"/>
  <c r="G56" i="8"/>
  <c r="F56" i="8"/>
  <c r="E56" i="8"/>
  <c r="D56" i="8"/>
  <c r="C56" i="8"/>
  <c r="N55" i="8"/>
  <c r="M55" i="8"/>
  <c r="L55" i="8"/>
  <c r="K55" i="8"/>
  <c r="J55" i="8"/>
  <c r="I55" i="8"/>
  <c r="H55" i="8"/>
  <c r="G55" i="8"/>
  <c r="F55" i="8"/>
  <c r="E55" i="8"/>
  <c r="D55" i="8"/>
  <c r="C55" i="8"/>
  <c r="N54" i="8"/>
  <c r="M54" i="8"/>
  <c r="L54" i="8"/>
  <c r="K54" i="8"/>
  <c r="J54" i="8"/>
  <c r="I54" i="8"/>
  <c r="H54" i="8"/>
  <c r="G54" i="8"/>
  <c r="F54" i="8"/>
  <c r="E54" i="8"/>
  <c r="D54" i="8"/>
  <c r="C54" i="8"/>
  <c r="N53" i="8"/>
  <c r="N59" i="8" s="1"/>
  <c r="M53" i="8"/>
  <c r="M59" i="8" s="1"/>
  <c r="L53" i="8"/>
  <c r="L59" i="8" s="1"/>
  <c r="K53" i="8"/>
  <c r="K59" i="8" s="1"/>
  <c r="J53" i="8"/>
  <c r="J59" i="8" s="1"/>
  <c r="I53" i="8"/>
  <c r="I59" i="8" s="1"/>
  <c r="H53" i="8"/>
  <c r="H59" i="8" s="1"/>
  <c r="G53" i="8"/>
  <c r="G59" i="8" s="1"/>
  <c r="F53" i="8"/>
  <c r="E53" i="8"/>
  <c r="E59" i="8" s="1"/>
  <c r="D53" i="8"/>
  <c r="D59" i="8" s="1"/>
  <c r="C53" i="8"/>
  <c r="C59" i="8" s="1"/>
  <c r="N44" i="8"/>
  <c r="M44" i="8"/>
  <c r="L44" i="8"/>
  <c r="K44" i="8"/>
  <c r="J44" i="8"/>
  <c r="I44" i="8"/>
  <c r="H44" i="8"/>
  <c r="G44" i="8"/>
  <c r="F44" i="8"/>
  <c r="E44" i="8"/>
  <c r="D44" i="8"/>
  <c r="C44" i="8"/>
  <c r="N43" i="8"/>
  <c r="M43" i="8"/>
  <c r="L43" i="8"/>
  <c r="K43" i="8"/>
  <c r="J43" i="8"/>
  <c r="I43" i="8"/>
  <c r="H43" i="8"/>
  <c r="G43" i="8"/>
  <c r="F43" i="8"/>
  <c r="E43" i="8"/>
  <c r="D43" i="8"/>
  <c r="C43" i="8"/>
  <c r="N42" i="8"/>
  <c r="M42" i="8"/>
  <c r="L42" i="8"/>
  <c r="K42" i="8"/>
  <c r="J42" i="8"/>
  <c r="I42" i="8"/>
  <c r="H42" i="8"/>
  <c r="G42" i="8"/>
  <c r="F42" i="8"/>
  <c r="E42" i="8"/>
  <c r="D42" i="8"/>
  <c r="C42" i="8"/>
  <c r="N41" i="8"/>
  <c r="M41" i="8"/>
  <c r="L41" i="8"/>
  <c r="K41" i="8"/>
  <c r="J41" i="8"/>
  <c r="I41" i="8"/>
  <c r="H41" i="8"/>
  <c r="G41" i="8"/>
  <c r="F41" i="8"/>
  <c r="E41" i="8"/>
  <c r="D41" i="8"/>
  <c r="C41" i="8"/>
  <c r="N40" i="8"/>
  <c r="N46" i="8" s="1"/>
  <c r="M40" i="8"/>
  <c r="L40" i="8"/>
  <c r="L46" i="8" s="1"/>
  <c r="K40" i="8"/>
  <c r="K46" i="8" s="1"/>
  <c r="J40" i="8"/>
  <c r="J46" i="8" s="1"/>
  <c r="I40" i="8"/>
  <c r="I46" i="8" s="1"/>
  <c r="H40" i="8"/>
  <c r="H46" i="8" s="1"/>
  <c r="G40" i="8"/>
  <c r="F40" i="8"/>
  <c r="E40" i="8"/>
  <c r="E46" i="8" s="1"/>
  <c r="D40" i="8"/>
  <c r="D46" i="8" s="1"/>
  <c r="C40" i="8"/>
  <c r="C46" i="8" s="1"/>
  <c r="N24" i="6"/>
  <c r="N20" i="6"/>
  <c r="N17" i="6"/>
  <c r="N16" i="6"/>
  <c r="N15" i="6"/>
  <c r="N13" i="6"/>
  <c r="N12" i="6"/>
  <c r="N11" i="6"/>
  <c r="N10" i="6"/>
  <c r="N7" i="6"/>
  <c r="L57" i="14" l="1"/>
  <c r="L58" i="14" s="1"/>
  <c r="M46" i="8"/>
  <c r="G46" i="8"/>
  <c r="E98" i="8"/>
  <c r="R14" i="12"/>
  <c r="F98" i="8"/>
  <c r="N112" i="8"/>
  <c r="B113" i="8" s="1"/>
  <c r="C72" i="8"/>
  <c r="K98" i="8"/>
  <c r="F46" i="8"/>
  <c r="N98" i="8"/>
  <c r="F125" i="8"/>
  <c r="J125" i="8"/>
  <c r="N125" i="8"/>
  <c r="N72" i="8"/>
  <c r="K72" i="8"/>
  <c r="F59" i="8"/>
  <c r="B60" i="8" s="1"/>
  <c r="N14" i="6"/>
  <c r="N25" i="6" s="1"/>
  <c r="B86" i="8"/>
  <c r="D5" i="10"/>
  <c r="D6" i="10"/>
  <c r="D7" i="10"/>
  <c r="D8" i="10"/>
  <c r="D10" i="10"/>
  <c r="D11" i="10"/>
  <c r="D12" i="10"/>
  <c r="D13" i="10"/>
  <c r="D14" i="10"/>
  <c r="D15" i="10"/>
  <c r="B20" i="13"/>
  <c r="E5" i="10"/>
  <c r="E6" i="10"/>
  <c r="E7" i="10"/>
  <c r="E8" i="10"/>
  <c r="E10" i="10"/>
  <c r="E11" i="10"/>
  <c r="E12" i="10"/>
  <c r="E13" i="10"/>
  <c r="E14" i="10"/>
  <c r="E15" i="10"/>
  <c r="C16" i="10"/>
  <c r="C10" i="13" s="1"/>
  <c r="C19" i="13" s="1"/>
  <c r="N57" i="14" l="1"/>
  <c r="N58" i="14" s="1"/>
  <c r="E29" i="8"/>
  <c r="G29" i="8"/>
  <c r="G26" i="8"/>
  <c r="E26" i="8"/>
  <c r="E28" i="8"/>
  <c r="C28" i="8"/>
  <c r="G28" i="8"/>
  <c r="B47" i="8"/>
  <c r="B126" i="8"/>
  <c r="V14" i="12"/>
  <c r="B99" i="8"/>
  <c r="B73" i="8"/>
  <c r="C26" i="8"/>
  <c r="C29" i="8"/>
  <c r="D16" i="10"/>
  <c r="D10" i="13" s="1"/>
  <c r="D19" i="13" s="1"/>
  <c r="E16" i="10"/>
  <c r="E10" i="13" s="1"/>
  <c r="E19" i="13" s="1"/>
  <c r="G24" i="8"/>
  <c r="E24" i="8"/>
  <c r="C24" i="8"/>
  <c r="P57" i="14" l="1"/>
  <c r="P58" i="14" s="1"/>
  <c r="C30" i="8"/>
  <c r="E30" i="8"/>
  <c r="G30" i="8"/>
  <c r="G27" i="8"/>
  <c r="E27" i="8"/>
  <c r="G25" i="8"/>
  <c r="E25" i="8"/>
  <c r="E23" i="8"/>
  <c r="G23" i="8"/>
  <c r="C23" i="8"/>
  <c r="C27" i="8"/>
  <c r="C25" i="8"/>
  <c r="R57" i="14" l="1"/>
  <c r="R58" i="14" s="1"/>
  <c r="E31" i="8"/>
  <c r="D9" i="13" s="1"/>
  <c r="C31" i="8"/>
  <c r="C9" i="13" s="1"/>
  <c r="G31" i="8"/>
  <c r="E9" i="13" s="1"/>
  <c r="C18" i="2"/>
  <c r="AE63" i="14" l="1"/>
  <c r="AM52" i="14" s="1"/>
  <c r="T57" i="14"/>
  <c r="T58" i="14" s="1"/>
  <c r="F13" i="5"/>
  <c r="F11" i="5"/>
  <c r="F9" i="5"/>
  <c r="D13" i="5"/>
  <c r="D11" i="5"/>
  <c r="D9" i="5"/>
  <c r="B13" i="5"/>
  <c r="B11" i="5"/>
  <c r="B9" i="5"/>
  <c r="C12" i="4"/>
  <c r="C79" i="4"/>
  <c r="E79" i="4"/>
  <c r="G79" i="4"/>
  <c r="I79" i="4"/>
  <c r="K79" i="4"/>
  <c r="M79" i="4"/>
  <c r="C81" i="4"/>
  <c r="E81" i="4"/>
  <c r="G81" i="4"/>
  <c r="I81" i="4"/>
  <c r="K81" i="4"/>
  <c r="M81" i="4"/>
  <c r="C83" i="4"/>
  <c r="E83" i="4"/>
  <c r="G83" i="4"/>
  <c r="I83" i="4"/>
  <c r="K83" i="4"/>
  <c r="M83" i="4"/>
  <c r="W65" i="4"/>
  <c r="W67" i="4"/>
  <c r="W69" i="4"/>
  <c r="D65" i="2"/>
  <c r="D66" i="2"/>
  <c r="D67" i="2"/>
  <c r="C46" i="2"/>
  <c r="C27" i="2"/>
  <c r="C15" i="2"/>
  <c r="C16" i="2" s="1"/>
  <c r="AF64" i="14" l="1"/>
  <c r="AK54" i="14" s="1"/>
  <c r="AM51" i="14"/>
  <c r="AM50" i="14"/>
  <c r="AM53" i="14"/>
  <c r="AM54" i="14"/>
  <c r="AL52" i="14"/>
  <c r="V57" i="14"/>
  <c r="V58" i="14" s="1"/>
  <c r="C17" i="2"/>
  <c r="AL54" i="14" l="1"/>
  <c r="X57" i="14"/>
  <c r="X58" i="14" s="1"/>
  <c r="D66" i="4"/>
  <c r="D68" i="4"/>
  <c r="D70" i="4"/>
  <c r="D43" i="2"/>
  <c r="D44" i="2"/>
  <c r="D45" i="2"/>
  <c r="D46" i="2"/>
  <c r="D26" i="2"/>
  <c r="D25" i="2"/>
  <c r="D27" i="2"/>
  <c r="A10" i="5"/>
  <c r="A11" i="5"/>
  <c r="A12" i="5"/>
  <c r="A13" i="5"/>
  <c r="A14" i="5"/>
  <c r="A9" i="5"/>
  <c r="A80" i="4"/>
  <c r="A81" i="4"/>
  <c r="A82" i="4"/>
  <c r="A83" i="4"/>
  <c r="A84" i="4"/>
  <c r="A79" i="4"/>
  <c r="A66" i="4"/>
  <c r="A67" i="4"/>
  <c r="A68" i="4"/>
  <c r="A69" i="4"/>
  <c r="A70" i="4"/>
  <c r="A65" i="4"/>
  <c r="Y83" i="4"/>
  <c r="W83" i="4"/>
  <c r="U83" i="4"/>
  <c r="S83" i="4"/>
  <c r="Q83" i="4"/>
  <c r="O83" i="4"/>
  <c r="Y81" i="4"/>
  <c r="W81" i="4"/>
  <c r="U81" i="4"/>
  <c r="S81" i="4"/>
  <c r="Q81" i="4"/>
  <c r="O81" i="4"/>
  <c r="Y79" i="4"/>
  <c r="W79" i="4"/>
  <c r="U79" i="4"/>
  <c r="S79" i="4"/>
  <c r="Q79" i="4"/>
  <c r="O79" i="4"/>
  <c r="Y69" i="4"/>
  <c r="U69" i="4"/>
  <c r="S69" i="4"/>
  <c r="Q69" i="4"/>
  <c r="O69" i="4"/>
  <c r="M69" i="4"/>
  <c r="K69" i="4"/>
  <c r="I69" i="4"/>
  <c r="G69" i="4"/>
  <c r="E69" i="4"/>
  <c r="C69" i="4"/>
  <c r="Y67" i="4"/>
  <c r="U67" i="4"/>
  <c r="S67" i="4"/>
  <c r="Q67" i="4"/>
  <c r="O67" i="4"/>
  <c r="M67" i="4"/>
  <c r="K67" i="4"/>
  <c r="I67" i="4"/>
  <c r="G67" i="4"/>
  <c r="E67" i="4"/>
  <c r="C67" i="4"/>
  <c r="Y65" i="4"/>
  <c r="U65" i="4"/>
  <c r="S65" i="4"/>
  <c r="Q65" i="4"/>
  <c r="O65" i="4"/>
  <c r="M65" i="4"/>
  <c r="K65" i="4"/>
  <c r="I65" i="4"/>
  <c r="G65" i="4"/>
  <c r="E65" i="4"/>
  <c r="C65" i="4"/>
  <c r="E52" i="4"/>
  <c r="G52" i="4"/>
  <c r="G52" i="14" s="1"/>
  <c r="I52" i="4"/>
  <c r="I52" i="14" s="1"/>
  <c r="K52" i="4"/>
  <c r="K52" i="14" s="1"/>
  <c r="M52" i="4"/>
  <c r="M52" i="14" s="1"/>
  <c r="O52" i="4"/>
  <c r="O52" i="14" s="1"/>
  <c r="Q52" i="4"/>
  <c r="Q52" i="14" s="1"/>
  <c r="S52" i="4"/>
  <c r="S52" i="14" s="1"/>
  <c r="U52" i="4"/>
  <c r="U52" i="14" s="1"/>
  <c r="E53" i="4"/>
  <c r="G53" i="4"/>
  <c r="I53" i="4"/>
  <c r="K53" i="4"/>
  <c r="M53" i="4"/>
  <c r="O53" i="4"/>
  <c r="Q53" i="4"/>
  <c r="S53" i="4"/>
  <c r="U53" i="4"/>
  <c r="W53" i="4"/>
  <c r="Y53" i="4"/>
  <c r="E54" i="4"/>
  <c r="E54" i="14" s="1"/>
  <c r="G54" i="4"/>
  <c r="G54" i="14" s="1"/>
  <c r="I54" i="4"/>
  <c r="I54" i="14" s="1"/>
  <c r="K54" i="4"/>
  <c r="K54" i="14" s="1"/>
  <c r="M54" i="4"/>
  <c r="M54" i="14" s="1"/>
  <c r="O54" i="4"/>
  <c r="O54" i="14" s="1"/>
  <c r="Q54" i="4"/>
  <c r="Q54" i="14" s="1"/>
  <c r="S54" i="4"/>
  <c r="S54" i="14" s="1"/>
  <c r="U54" i="4"/>
  <c r="U54" i="14" s="1"/>
  <c r="E55" i="4"/>
  <c r="G55" i="4"/>
  <c r="I55" i="4"/>
  <c r="K55" i="4"/>
  <c r="M55" i="4"/>
  <c r="O55" i="4"/>
  <c r="Q55" i="4"/>
  <c r="S55" i="4"/>
  <c r="U55" i="4"/>
  <c r="W55" i="4"/>
  <c r="Y55" i="4"/>
  <c r="E56" i="4"/>
  <c r="E56" i="14" s="1"/>
  <c r="G56" i="4"/>
  <c r="G56" i="14" s="1"/>
  <c r="I56" i="4"/>
  <c r="I56" i="14" s="1"/>
  <c r="K56" i="4"/>
  <c r="K56" i="14" s="1"/>
  <c r="M56" i="4"/>
  <c r="M56" i="14" s="1"/>
  <c r="O56" i="4"/>
  <c r="O56" i="14" s="1"/>
  <c r="Q56" i="4"/>
  <c r="Q56" i="14" s="1"/>
  <c r="S56" i="4"/>
  <c r="S56" i="14" s="1"/>
  <c r="U56" i="4"/>
  <c r="U56" i="14" s="1"/>
  <c r="C56" i="4"/>
  <c r="C56" i="14" s="1"/>
  <c r="C55" i="4"/>
  <c r="C54" i="4"/>
  <c r="C54" i="14" s="1"/>
  <c r="C53" i="4"/>
  <c r="C52" i="4"/>
  <c r="G51" i="4"/>
  <c r="I51" i="4"/>
  <c r="K51" i="4"/>
  <c r="M51" i="4"/>
  <c r="O51" i="4"/>
  <c r="Q51" i="4"/>
  <c r="S51" i="4"/>
  <c r="U51" i="4"/>
  <c r="W51" i="4"/>
  <c r="Y51" i="4"/>
  <c r="E51" i="4"/>
  <c r="C51" i="4"/>
  <c r="A53" i="4"/>
  <c r="A54" i="4"/>
  <c r="A55" i="4"/>
  <c r="A56" i="4"/>
  <c r="A52" i="4"/>
  <c r="A51" i="4"/>
  <c r="T57" i="4"/>
  <c r="R57" i="4"/>
  <c r="P57" i="4"/>
  <c r="N57" i="4"/>
  <c r="L57" i="4"/>
  <c r="J57" i="4"/>
  <c r="H57" i="4"/>
  <c r="F57" i="4"/>
  <c r="D57" i="4"/>
  <c r="B57" i="4"/>
  <c r="B58" i="4" s="1"/>
  <c r="Q57" i="14" l="1"/>
  <c r="O57" i="14"/>
  <c r="G57" i="14"/>
  <c r="U57" i="14"/>
  <c r="M57" i="14"/>
  <c r="I57" i="14"/>
  <c r="S57" i="14"/>
  <c r="K57" i="14"/>
  <c r="C52" i="14"/>
  <c r="C57" i="14" s="1"/>
  <c r="C58" i="14" s="1"/>
  <c r="B11" i="12"/>
  <c r="B13" i="12" s="1"/>
  <c r="D14" i="12" s="1"/>
  <c r="E52" i="14"/>
  <c r="E57" i="14" s="1"/>
  <c r="D11" i="12"/>
  <c r="D13" i="12" s="1"/>
  <c r="J70" i="4"/>
  <c r="L70" i="4" s="1"/>
  <c r="N70" i="4" s="1"/>
  <c r="J68" i="4"/>
  <c r="L68" i="4" s="1"/>
  <c r="N68" i="4" s="1"/>
  <c r="J66" i="4"/>
  <c r="L66" i="4" s="1"/>
  <c r="N66" i="4" s="1"/>
  <c r="B71" i="14"/>
  <c r="B72" i="14" s="1"/>
  <c r="F11" i="12"/>
  <c r="F13" i="12" s="1"/>
  <c r="N11" i="12"/>
  <c r="N13" i="12" s="1"/>
  <c r="W56" i="4"/>
  <c r="W56" i="14" s="1"/>
  <c r="W52" i="4"/>
  <c r="W52" i="14" s="1"/>
  <c r="W57" i="14" s="1"/>
  <c r="Y52" i="4"/>
  <c r="Y52" i="14" s="1"/>
  <c r="B10" i="5"/>
  <c r="P11" i="12"/>
  <c r="P13" i="12" s="1"/>
  <c r="H11" i="12"/>
  <c r="Y54" i="4"/>
  <c r="Y54" i="14" s="1"/>
  <c r="T11" i="12"/>
  <c r="T13" i="12" s="1"/>
  <c r="L11" i="12"/>
  <c r="L13" i="12" s="1"/>
  <c r="V57" i="4"/>
  <c r="R11" i="12"/>
  <c r="R13" i="12" s="1"/>
  <c r="J11" i="12"/>
  <c r="J13" i="12" s="1"/>
  <c r="W54" i="4"/>
  <c r="W54" i="14" s="1"/>
  <c r="B12" i="5"/>
  <c r="C11" i="5"/>
  <c r="C13" i="5"/>
  <c r="E13" i="5"/>
  <c r="G13" i="5"/>
  <c r="E11" i="5"/>
  <c r="G11" i="5"/>
  <c r="C9" i="5"/>
  <c r="E9" i="5"/>
  <c r="G9" i="5"/>
  <c r="D58" i="4"/>
  <c r="F58" i="4" s="1"/>
  <c r="H58" i="4" s="1"/>
  <c r="J58" i="4" s="1"/>
  <c r="L58" i="4" s="1"/>
  <c r="N58" i="4" s="1"/>
  <c r="P58" i="4" s="1"/>
  <c r="R58" i="4" s="1"/>
  <c r="T58" i="4" s="1"/>
  <c r="E57" i="4"/>
  <c r="C57" i="4"/>
  <c r="C58" i="4" s="1"/>
  <c r="K57" i="4"/>
  <c r="S57" i="4"/>
  <c r="G57" i="4"/>
  <c r="O57" i="4"/>
  <c r="M57" i="4"/>
  <c r="I57" i="4"/>
  <c r="Q57" i="4"/>
  <c r="U57" i="4"/>
  <c r="H14" i="12" l="1"/>
  <c r="L14" i="12" s="1"/>
  <c r="E58" i="14"/>
  <c r="G58" i="14" s="1"/>
  <c r="I58" i="14" s="1"/>
  <c r="K58" i="14" s="1"/>
  <c r="M58" i="14" s="1"/>
  <c r="O58" i="14" s="1"/>
  <c r="Q58" i="14" s="1"/>
  <c r="S58" i="14" s="1"/>
  <c r="U58" i="14" s="1"/>
  <c r="W58" i="14" s="1"/>
  <c r="D71" i="14"/>
  <c r="D72" i="14" s="1"/>
  <c r="H13" i="12"/>
  <c r="V11" i="12"/>
  <c r="V13" i="12" s="1"/>
  <c r="B14" i="5"/>
  <c r="Y56" i="4"/>
  <c r="C70" i="4"/>
  <c r="C70" i="14" s="1"/>
  <c r="X57" i="4"/>
  <c r="C10" i="5"/>
  <c r="C12" i="5"/>
  <c r="B71" i="4"/>
  <c r="B72" i="4" s="1"/>
  <c r="W57" i="4"/>
  <c r="V58" i="4"/>
  <c r="C66" i="4"/>
  <c r="C66" i="14" s="1"/>
  <c r="C68" i="4"/>
  <c r="C68" i="14" s="1"/>
  <c r="E58" i="4"/>
  <c r="G58" i="4" s="1"/>
  <c r="I58" i="4" s="1"/>
  <c r="K58" i="4" s="1"/>
  <c r="M58" i="4" s="1"/>
  <c r="O58" i="4" s="1"/>
  <c r="Q58" i="4" s="1"/>
  <c r="S58" i="4" s="1"/>
  <c r="U58" i="4" s="1"/>
  <c r="C71" i="14" l="1"/>
  <c r="C72" i="14" s="1"/>
  <c r="C14" i="5"/>
  <c r="C15" i="5" s="1"/>
  <c r="C5" i="13" s="1"/>
  <c r="C6" i="13" s="1"/>
  <c r="Y56" i="14"/>
  <c r="Y57" i="14" s="1"/>
  <c r="Y58" i="14" s="1"/>
  <c r="P14" i="12"/>
  <c r="T14" i="12" s="1"/>
  <c r="X14" i="12" s="1"/>
  <c r="Y57" i="4"/>
  <c r="X11" i="12"/>
  <c r="X13" i="12" s="1"/>
  <c r="Y13" i="12" s="1"/>
  <c r="X58" i="4"/>
  <c r="F71" i="14"/>
  <c r="F72" i="14" s="1"/>
  <c r="G70" i="4"/>
  <c r="G70" i="14" s="1"/>
  <c r="E70" i="4"/>
  <c r="E70" i="14" s="1"/>
  <c r="C71" i="4"/>
  <c r="C72" i="4" s="1"/>
  <c r="W58" i="4"/>
  <c r="Y58" i="4" s="1"/>
  <c r="E66" i="4"/>
  <c r="E66" i="14" s="1"/>
  <c r="B25" i="12"/>
  <c r="B27" i="12" s="1"/>
  <c r="D71" i="4"/>
  <c r="D72" i="4" s="1"/>
  <c r="E68" i="4"/>
  <c r="E68" i="14" s="1"/>
  <c r="E71" i="14" l="1"/>
  <c r="E72" i="14" s="1"/>
  <c r="C8" i="13"/>
  <c r="H71" i="14"/>
  <c r="H72" i="14" s="1"/>
  <c r="B28" i="12"/>
  <c r="C21" i="5"/>
  <c r="G66" i="4"/>
  <c r="G66" i="14" s="1"/>
  <c r="G68" i="4"/>
  <c r="G68" i="14" s="1"/>
  <c r="F71" i="4"/>
  <c r="F72" i="4" s="1"/>
  <c r="D25" i="12"/>
  <c r="D27" i="12" s="1"/>
  <c r="E71" i="4"/>
  <c r="E72" i="4" s="1"/>
  <c r="G71" i="14" l="1"/>
  <c r="G72" i="14" s="1"/>
  <c r="C11" i="13"/>
  <c r="C13" i="13" s="1"/>
  <c r="C15" i="13" s="1"/>
  <c r="C17" i="13" s="1"/>
  <c r="C20" i="13" s="1"/>
  <c r="F32" i="13" s="1"/>
  <c r="G32" i="13" s="1"/>
  <c r="J71" i="14"/>
  <c r="J72" i="14" s="1"/>
  <c r="D28" i="12"/>
  <c r="R70" i="4"/>
  <c r="T70" i="4" s="1"/>
  <c r="V70" i="4" s="1"/>
  <c r="I70" i="4"/>
  <c r="I70" i="14" s="1"/>
  <c r="I66" i="4"/>
  <c r="I66" i="14" s="1"/>
  <c r="G71" i="4"/>
  <c r="G72" i="4" s="1"/>
  <c r="F25" i="12"/>
  <c r="F27" i="12" s="1"/>
  <c r="I68" i="4"/>
  <c r="I68" i="14" s="1"/>
  <c r="H71" i="4"/>
  <c r="H72" i="4" s="1"/>
  <c r="I71" i="14" l="1"/>
  <c r="I72" i="14" s="1"/>
  <c r="L71" i="14"/>
  <c r="L72" i="14" s="1"/>
  <c r="F28" i="12"/>
  <c r="M70" i="4"/>
  <c r="M70" i="14" s="1"/>
  <c r="K70" i="4"/>
  <c r="K70" i="14" s="1"/>
  <c r="K66" i="4"/>
  <c r="K66" i="14" s="1"/>
  <c r="R66" i="4"/>
  <c r="T66" i="4" s="1"/>
  <c r="V66" i="4" s="1"/>
  <c r="K68" i="4"/>
  <c r="K68" i="14" s="1"/>
  <c r="R68" i="4"/>
  <c r="T68" i="4" s="1"/>
  <c r="V68" i="4" s="1"/>
  <c r="J71" i="4"/>
  <c r="J72" i="4" s="1"/>
  <c r="I71" i="4"/>
  <c r="I72" i="4" s="1"/>
  <c r="H25" i="12"/>
  <c r="H27" i="12" s="1"/>
  <c r="K71" i="14" l="1"/>
  <c r="K72" i="14" s="1"/>
  <c r="N71" i="14"/>
  <c r="N72" i="14" s="1"/>
  <c r="O70" i="4"/>
  <c r="O70" i="14" s="1"/>
  <c r="O66" i="4"/>
  <c r="O66" i="14" s="1"/>
  <c r="M66" i="4"/>
  <c r="M66" i="14" s="1"/>
  <c r="K71" i="4"/>
  <c r="K72" i="4" s="1"/>
  <c r="J25" i="12"/>
  <c r="J27" i="12" s="1"/>
  <c r="M68" i="4"/>
  <c r="M68" i="14" s="1"/>
  <c r="L71" i="4"/>
  <c r="L72" i="4" s="1"/>
  <c r="M71" i="14" l="1"/>
  <c r="M72" i="14" s="1"/>
  <c r="O71" i="14"/>
  <c r="O72" i="14" s="1"/>
  <c r="P71" i="14"/>
  <c r="P72" i="14" s="1"/>
  <c r="J28" i="12"/>
  <c r="H28" i="12"/>
  <c r="Q70" i="4"/>
  <c r="Q70" i="14" s="1"/>
  <c r="L25" i="12"/>
  <c r="L27" i="12" s="1"/>
  <c r="M71" i="4"/>
  <c r="M72" i="4" s="1"/>
  <c r="O68" i="4"/>
  <c r="O68" i="14" s="1"/>
  <c r="N71" i="4"/>
  <c r="N72" i="4" s="1"/>
  <c r="R71" i="14" l="1"/>
  <c r="R72" i="14" s="1"/>
  <c r="Z68" i="14"/>
  <c r="AA68" i="14" s="1"/>
  <c r="Z70" i="14"/>
  <c r="AA70" i="14" s="1"/>
  <c r="L28" i="12"/>
  <c r="S70" i="4"/>
  <c r="S70" i="14" s="1"/>
  <c r="Q66" i="4"/>
  <c r="Q66" i="14" s="1"/>
  <c r="Q68" i="4"/>
  <c r="Q68" i="14" s="1"/>
  <c r="P71" i="4"/>
  <c r="P72" i="4" s="1"/>
  <c r="N25" i="12"/>
  <c r="N27" i="12" s="1"/>
  <c r="O71" i="4"/>
  <c r="O72" i="4" s="1"/>
  <c r="Q71" i="14" l="1"/>
  <c r="Q72" i="14" s="1"/>
  <c r="T71" i="14"/>
  <c r="T72" i="14" s="1"/>
  <c r="U70" i="4"/>
  <c r="U70" i="14" s="1"/>
  <c r="S66" i="4"/>
  <c r="S66" i="14" s="1"/>
  <c r="S68" i="4"/>
  <c r="S68" i="14" s="1"/>
  <c r="R71" i="4"/>
  <c r="R72" i="4" s="1"/>
  <c r="Q71" i="4"/>
  <c r="Q72" i="4" s="1"/>
  <c r="P25" i="12"/>
  <c r="P27" i="12" s="1"/>
  <c r="S71" i="14" l="1"/>
  <c r="S72" i="14" s="1"/>
  <c r="V71" i="14"/>
  <c r="V72" i="14" s="1"/>
  <c r="Z66" i="14"/>
  <c r="AA66" i="14" s="1"/>
  <c r="AA71" i="14" s="1"/>
  <c r="N28" i="12"/>
  <c r="W70" i="4"/>
  <c r="W70" i="14" s="1"/>
  <c r="U66" i="4"/>
  <c r="U66" i="14" s="1"/>
  <c r="U68" i="4"/>
  <c r="U68" i="14" s="1"/>
  <c r="T71" i="4"/>
  <c r="T72" i="4" s="1"/>
  <c r="P28" i="12"/>
  <c r="S71" i="4"/>
  <c r="S72" i="4" s="1"/>
  <c r="R25" i="12"/>
  <c r="R27" i="12" s="1"/>
  <c r="U71" i="14" l="1"/>
  <c r="U72" i="14" s="1"/>
  <c r="B84" i="4"/>
  <c r="D84" i="4" s="1"/>
  <c r="F84" i="4" s="1"/>
  <c r="X71" i="14"/>
  <c r="X72" i="14" s="1"/>
  <c r="Y70" i="4"/>
  <c r="D14" i="5"/>
  <c r="W66" i="4"/>
  <c r="W66" i="14" s="1"/>
  <c r="U71" i="4"/>
  <c r="U72" i="4" s="1"/>
  <c r="T25" i="12"/>
  <c r="T27" i="12" s="1"/>
  <c r="W68" i="4"/>
  <c r="W68" i="14" s="1"/>
  <c r="V71" i="4"/>
  <c r="V72" i="4" s="1"/>
  <c r="E14" i="5" l="1"/>
  <c r="Y70" i="14"/>
  <c r="W71" i="14"/>
  <c r="W72" i="14" s="1"/>
  <c r="B82" i="4"/>
  <c r="D82" i="4" s="1"/>
  <c r="F82" i="4" s="1"/>
  <c r="B80" i="4"/>
  <c r="D80" i="4" s="1"/>
  <c r="F80" i="4" s="1"/>
  <c r="B85" i="14"/>
  <c r="B86" i="14" s="1"/>
  <c r="R28" i="12"/>
  <c r="C84" i="4"/>
  <c r="C84" i="14" s="1"/>
  <c r="D10" i="5"/>
  <c r="Y66" i="4"/>
  <c r="T28" i="12"/>
  <c r="V25" i="12"/>
  <c r="V27" i="12" s="1"/>
  <c r="W71" i="4"/>
  <c r="W72" i="4" s="1"/>
  <c r="Y68" i="4"/>
  <c r="X71" i="4"/>
  <c r="X72" i="4" s="1"/>
  <c r="D12" i="5"/>
  <c r="E12" i="5" l="1"/>
  <c r="Y68" i="14"/>
  <c r="E10" i="5"/>
  <c r="Y66" i="14"/>
  <c r="Y71" i="14" s="1"/>
  <c r="Y72" i="14" s="1"/>
  <c r="J84" i="4"/>
  <c r="D85" i="14"/>
  <c r="D86" i="14" s="1"/>
  <c r="V28" i="12"/>
  <c r="E84" i="4"/>
  <c r="E84" i="14" s="1"/>
  <c r="E15" i="5"/>
  <c r="C22" i="5" s="1"/>
  <c r="C80" i="4"/>
  <c r="C80" i="14" s="1"/>
  <c r="C82" i="4"/>
  <c r="C82" i="14" s="1"/>
  <c r="B85" i="4"/>
  <c r="B86" i="4" s="1"/>
  <c r="Y71" i="4"/>
  <c r="Y72" i="4" s="1"/>
  <c r="X25" i="12"/>
  <c r="X27" i="12" s="1"/>
  <c r="Y27" i="12" s="1"/>
  <c r="C85" i="14" l="1"/>
  <c r="C86" i="14" s="1"/>
  <c r="J82" i="4"/>
  <c r="J80" i="4"/>
  <c r="F85" i="14"/>
  <c r="F86" i="14" s="1"/>
  <c r="D8" i="13"/>
  <c r="D5" i="13"/>
  <c r="D6" i="13" s="1"/>
  <c r="G84" i="4"/>
  <c r="G84" i="14" s="1"/>
  <c r="E80" i="4"/>
  <c r="E80" i="14" s="1"/>
  <c r="E85" i="14" s="1"/>
  <c r="B39" i="12"/>
  <c r="C85" i="4"/>
  <c r="C86" i="4" s="1"/>
  <c r="E82" i="4"/>
  <c r="E82" i="14" s="1"/>
  <c r="D85" i="4"/>
  <c r="D86" i="4" s="1"/>
  <c r="E86" i="14" l="1"/>
  <c r="D11" i="13"/>
  <c r="D13" i="13" s="1"/>
  <c r="D15" i="13" s="1"/>
  <c r="H85" i="14"/>
  <c r="H86" i="14" s="1"/>
  <c r="B41" i="12"/>
  <c r="B42" i="12" s="1"/>
  <c r="X28" i="12"/>
  <c r="I84" i="4"/>
  <c r="I84" i="14" s="1"/>
  <c r="G80" i="4"/>
  <c r="G80" i="14" s="1"/>
  <c r="D39" i="12"/>
  <c r="E85" i="4"/>
  <c r="E86" i="4" s="1"/>
  <c r="G82" i="4"/>
  <c r="G82" i="14" s="1"/>
  <c r="F85" i="4"/>
  <c r="F86" i="4" s="1"/>
  <c r="G85" i="14" l="1"/>
  <c r="G86" i="14" s="1"/>
  <c r="J85" i="14"/>
  <c r="J86" i="14" s="1"/>
  <c r="D17" i="13"/>
  <c r="D20" i="13" s="1"/>
  <c r="F33" i="13" s="1"/>
  <c r="G33" i="13" s="1"/>
  <c r="D41" i="12"/>
  <c r="D42" i="12" s="1"/>
  <c r="K84" i="4"/>
  <c r="K84" i="14" s="1"/>
  <c r="L84" i="4"/>
  <c r="I80" i="4"/>
  <c r="I80" i="14" s="1"/>
  <c r="I85" i="14" s="1"/>
  <c r="I86" i="14" s="1"/>
  <c r="F39" i="12"/>
  <c r="G85" i="4"/>
  <c r="G86" i="4" s="1"/>
  <c r="I82" i="4"/>
  <c r="I82" i="14" s="1"/>
  <c r="H85" i="4"/>
  <c r="H86" i="4" s="1"/>
  <c r="L85" i="14" l="1"/>
  <c r="L86" i="14" s="1"/>
  <c r="F41" i="12"/>
  <c r="F42" i="12" s="1"/>
  <c r="M84" i="4"/>
  <c r="M84" i="14" s="1"/>
  <c r="K80" i="4"/>
  <c r="K80" i="14" s="1"/>
  <c r="L80" i="4"/>
  <c r="I85" i="4"/>
  <c r="I86" i="4" s="1"/>
  <c r="H39" i="12"/>
  <c r="K82" i="4"/>
  <c r="K82" i="14" s="1"/>
  <c r="L82" i="4"/>
  <c r="J85" i="4"/>
  <c r="J86" i="4" s="1"/>
  <c r="K85" i="14" l="1"/>
  <c r="K86" i="14" s="1"/>
  <c r="N85" i="14"/>
  <c r="N86" i="14" s="1"/>
  <c r="H41" i="12"/>
  <c r="H42" i="12" s="1"/>
  <c r="R84" i="4"/>
  <c r="T84" i="4" s="1"/>
  <c r="V84" i="4" s="1"/>
  <c r="O84" i="4"/>
  <c r="O84" i="14" s="1"/>
  <c r="M80" i="4"/>
  <c r="M80" i="14" s="1"/>
  <c r="M82" i="4"/>
  <c r="M82" i="14" s="1"/>
  <c r="L85" i="4"/>
  <c r="L86" i="4" s="1"/>
  <c r="J39" i="12"/>
  <c r="K85" i="4"/>
  <c r="K86" i="4" s="1"/>
  <c r="M85" i="14" l="1"/>
  <c r="M86" i="14" s="1"/>
  <c r="P85" i="14"/>
  <c r="P86" i="14" s="1"/>
  <c r="J41" i="12"/>
  <c r="J42" i="12" s="1"/>
  <c r="Q84" i="4"/>
  <c r="Q84" i="14" s="1"/>
  <c r="O80" i="4"/>
  <c r="O80" i="14" s="1"/>
  <c r="M85" i="4"/>
  <c r="M86" i="4" s="1"/>
  <c r="L39" i="12"/>
  <c r="O82" i="4"/>
  <c r="O82" i="14" s="1"/>
  <c r="N85" i="4"/>
  <c r="N86" i="4" s="1"/>
  <c r="O85" i="14" l="1"/>
  <c r="O86" i="14" s="1"/>
  <c r="R80" i="4"/>
  <c r="R82" i="4"/>
  <c r="R85" i="14"/>
  <c r="R86" i="14" s="1"/>
  <c r="L41" i="12"/>
  <c r="L42" i="12" s="1"/>
  <c r="S84" i="4"/>
  <c r="S84" i="14" s="1"/>
  <c r="Q80" i="4"/>
  <c r="Q80" i="14" s="1"/>
  <c r="Q82" i="4"/>
  <c r="Q82" i="14" s="1"/>
  <c r="P85" i="4"/>
  <c r="P86" i="4" s="1"/>
  <c r="O85" i="4"/>
  <c r="O86" i="4" s="1"/>
  <c r="N39" i="12"/>
  <c r="Q85" i="14" l="1"/>
  <c r="Q86" i="14" s="1"/>
  <c r="Z84" i="14"/>
  <c r="AA84" i="14" s="1"/>
  <c r="T80" i="4"/>
  <c r="V80" i="4" s="1"/>
  <c r="T82" i="4"/>
  <c r="V82" i="4" s="1"/>
  <c r="Z82" i="14"/>
  <c r="AA82" i="14" s="1"/>
  <c r="T85" i="14"/>
  <c r="T86" i="14" s="1"/>
  <c r="N41" i="12"/>
  <c r="N42" i="12" s="1"/>
  <c r="U84" i="4"/>
  <c r="U84" i="14" s="1"/>
  <c r="S80" i="4"/>
  <c r="S80" i="14" s="1"/>
  <c r="S82" i="4"/>
  <c r="S82" i="14" s="1"/>
  <c r="R85" i="4"/>
  <c r="R86" i="4" s="1"/>
  <c r="P39" i="12"/>
  <c r="Q85" i="4"/>
  <c r="Q86" i="4" s="1"/>
  <c r="S85" i="14" l="1"/>
  <c r="S86" i="14" s="1"/>
  <c r="Z80" i="14"/>
  <c r="AA80" i="14" s="1"/>
  <c r="AA85" i="14" s="1"/>
  <c r="AB51" i="14" s="1"/>
  <c r="V85" i="14"/>
  <c r="V86" i="14" s="1"/>
  <c r="P41" i="12"/>
  <c r="P42" i="12" s="1"/>
  <c r="W84" i="4"/>
  <c r="W84" i="14" s="1"/>
  <c r="U80" i="4"/>
  <c r="U80" i="14" s="1"/>
  <c r="U85" i="14" s="1"/>
  <c r="R39" i="12"/>
  <c r="S85" i="4"/>
  <c r="S86" i="4" s="1"/>
  <c r="U82" i="4"/>
  <c r="U82" i="14" s="1"/>
  <c r="T85" i="4"/>
  <c r="T86" i="4" s="1"/>
  <c r="U86" i="14" l="1"/>
  <c r="AB50" i="14"/>
  <c r="AD51" i="14"/>
  <c r="X85" i="14"/>
  <c r="X86" i="14" s="1"/>
  <c r="R41" i="12"/>
  <c r="R42" i="12" s="1"/>
  <c r="F14" i="5"/>
  <c r="Y84" i="4"/>
  <c r="W80" i="4"/>
  <c r="W80" i="14" s="1"/>
  <c r="U85" i="4"/>
  <c r="U86" i="4" s="1"/>
  <c r="T39" i="12"/>
  <c r="W82" i="4"/>
  <c r="W82" i="14" s="1"/>
  <c r="V85" i="4"/>
  <c r="V86" i="4" s="1"/>
  <c r="G14" i="5" l="1"/>
  <c r="Y84" i="14"/>
  <c r="W85" i="14"/>
  <c r="W86" i="14" s="1"/>
  <c r="T41" i="12"/>
  <c r="T42" i="12" s="1"/>
  <c r="F10" i="5"/>
  <c r="Y80" i="4"/>
  <c r="Y82" i="4"/>
  <c r="Y82" i="14" s="1"/>
  <c r="X85" i="4"/>
  <c r="X86" i="4" s="1"/>
  <c r="V39" i="12"/>
  <c r="W85" i="4"/>
  <c r="W86" i="4" s="1"/>
  <c r="F12" i="5"/>
  <c r="G10" i="5" l="1"/>
  <c r="Y80" i="14"/>
  <c r="Y85" i="14" s="1"/>
  <c r="Y86" i="14" s="1"/>
  <c r="V41" i="12"/>
  <c r="V42" i="12" s="1"/>
  <c r="G12" i="5"/>
  <c r="G15" i="5" s="1"/>
  <c r="X39" i="12"/>
  <c r="Y85" i="4"/>
  <c r="Y86" i="4" s="1"/>
  <c r="X41" i="12" l="1"/>
  <c r="X42" i="12" s="1"/>
  <c r="C23" i="5"/>
  <c r="C24" i="5" s="1"/>
  <c r="E5" i="13"/>
  <c r="E6" i="13" s="1"/>
  <c r="F6" i="13" s="1"/>
  <c r="Y41" i="12" l="1"/>
  <c r="E8" i="13" l="1"/>
  <c r="AC54" i="14"/>
  <c r="AD54" i="14" s="1"/>
  <c r="AD55" i="14" l="1"/>
  <c r="AE55" i="14"/>
  <c r="E11" i="13"/>
  <c r="E13" i="13" s="1"/>
  <c r="E15" i="13" s="1"/>
  <c r="E17" i="13" s="1"/>
  <c r="E20" i="13" s="1"/>
  <c r="F34" i="13" s="1"/>
  <c r="G34" i="13" s="1"/>
  <c r="G35" i="13" s="1"/>
  <c r="AN53" i="14" l="1"/>
  <c r="AO53" i="14" s="1"/>
  <c r="AP53" i="14" s="1"/>
  <c r="AN54" i="14"/>
  <c r="AO54" i="14" s="1"/>
  <c r="AP54" i="14" s="1"/>
  <c r="AN51" i="14"/>
  <c r="AO51" i="14" s="1"/>
  <c r="AP51" i="14" s="1"/>
  <c r="AN50" i="14"/>
  <c r="AO50" i="14" s="1"/>
  <c r="AP50" i="14" s="1"/>
  <c r="AN52" i="14"/>
  <c r="AO52" i="14" s="1"/>
  <c r="AP52" i="14" s="1"/>
  <c r="AE61" i="14"/>
  <c r="AF63" i="14" s="1"/>
  <c r="B23" i="13"/>
  <c r="B24" i="13"/>
  <c r="F8" i="13"/>
  <c r="I6" i="13" s="1"/>
</calcChain>
</file>

<file path=xl/sharedStrings.xml><?xml version="1.0" encoding="utf-8"?>
<sst xmlns="http://schemas.openxmlformats.org/spreadsheetml/2006/main" count="731" uniqueCount="239">
  <si>
    <t>Total</t>
  </si>
  <si>
    <t>Proyección de Ventas</t>
  </si>
  <si>
    <t>Modelo de Ingresos</t>
  </si>
  <si>
    <t>LISTADO DE PRECIOS</t>
  </si>
  <si>
    <t>Productos x Kg</t>
  </si>
  <si>
    <t>Precio</t>
  </si>
  <si>
    <t>PARTICIPACION DEL MERCADO</t>
  </si>
  <si>
    <t>Empresas</t>
  </si>
  <si>
    <t>Participación</t>
  </si>
  <si>
    <t>Monto</t>
  </si>
  <si>
    <t>Periodo</t>
  </si>
  <si>
    <t>CRECIMIENTO DE VENTAS</t>
  </si>
  <si>
    <t>ESTACIONALIDAD</t>
  </si>
  <si>
    <t>CAPACIDAD OPERATIVA</t>
  </si>
  <si>
    <t>PROYECCION DE VENTAS 1er AÑO MENSUAL</t>
  </si>
  <si>
    <t>Enero</t>
  </si>
  <si>
    <t>Febrero</t>
  </si>
  <si>
    <t>Marzo</t>
  </si>
  <si>
    <t>Abril</t>
  </si>
  <si>
    <t>Mayo</t>
  </si>
  <si>
    <t>Junio</t>
  </si>
  <si>
    <t>Julio</t>
  </si>
  <si>
    <t>Agosto</t>
  </si>
  <si>
    <t>Septiembre</t>
  </si>
  <si>
    <t>Octubre</t>
  </si>
  <si>
    <t>Noviembre</t>
  </si>
  <si>
    <t>Diciembre</t>
  </si>
  <si>
    <t>Total de ingresos</t>
  </si>
  <si>
    <t>Total acumulado</t>
  </si>
  <si>
    <t>Producto</t>
  </si>
  <si>
    <t>PROYECCION DE VENTAS 2do AÑO MENSUAL</t>
  </si>
  <si>
    <t>PROYECCION DE VENTAS 3er AÑO MENSUAL</t>
  </si>
  <si>
    <t>Cantidad</t>
  </si>
  <si>
    <t>Modelo de Ingreso</t>
  </si>
  <si>
    <t>Totales</t>
  </si>
  <si>
    <t>Primer Año</t>
  </si>
  <si>
    <t>Segundo Año</t>
  </si>
  <si>
    <t>Tercer Año</t>
  </si>
  <si>
    <t>MODELO DE INGRESOS (ANUALIZADO)</t>
  </si>
  <si>
    <t>PROYECCION DE VENTAS (ANUALIZADO)</t>
  </si>
  <si>
    <t>1er AÑO</t>
  </si>
  <si>
    <t>2do AÑO</t>
  </si>
  <si>
    <t>3er AÑO</t>
  </si>
  <si>
    <t>Descripción</t>
  </si>
  <si>
    <t>Hipótesis</t>
  </si>
  <si>
    <t>VALORIZACION MERCADO META</t>
  </si>
  <si>
    <t>SEGMENTACION MERCADO</t>
  </si>
  <si>
    <t>Segmentación geográfica</t>
  </si>
  <si>
    <t>Segmentación por tipo de cliente</t>
  </si>
  <si>
    <t>Segmentación por tamaño de cliente</t>
  </si>
  <si>
    <t>Toda la república Argentina, focalizado en Capital Federal y Gran Buenos Aires.</t>
  </si>
  <si>
    <t>Empresas dedicadas a la venta de productos Alimenticios y para Kioscos</t>
  </si>
  <si>
    <t>Grandes y medianas empresas.</t>
  </si>
  <si>
    <t>Empresas invierten 1,3% de ingresos en Informatica (Gartner)</t>
  </si>
  <si>
    <t>PBI Argentino (Bco. Mundial)</t>
  </si>
  <si>
    <t>Mercado Alimentos,  Bebidas y tabaco (4,6% del PBI) (C.O.P.A.L)</t>
  </si>
  <si>
    <t>Grandes empresas concentran 75% del total del mercado (Indec)</t>
  </si>
  <si>
    <t>Otros (Custom, sin cobertura)</t>
  </si>
  <si>
    <t>Digital Express</t>
  </si>
  <si>
    <t>Mobile Systems</t>
  </si>
  <si>
    <t>Escenario Actual</t>
  </si>
  <si>
    <t>Estos criterios de segmentación nos permiten cuantificar el mercado meta con respecto al PBI argentino. 
Teniendo en cuenta los datos del Banco mundial para el 2014, el PBI de Argentina ascendía a $ 4.860.000M (U$S 540.000 M).
Según datos de la COPAL, el mercado de Alimentos,  Bebidas y tabaco, corresponde a un 4,6% del PBI. Esto nos da un mercado de $ 223.560 M.
Según datos de Gartner, las empresas de manufactura de invierten un 1,3% de sus ingresos en tecnología informática. Aplicado a los números anteriores eso nos da un segmento con un posible gasto en sistemas de $ 2.898 M.
Nuestro objetivo es capturar un 20% de las empresas de este rubro. Esto nos deja con el siguiente Mercado meta.</t>
  </si>
  <si>
    <t>Enterprise Solutions</t>
  </si>
  <si>
    <t>Intencion de Participación</t>
  </si>
  <si>
    <t>Crecimiento</t>
  </si>
  <si>
    <t xml:space="preserve">La estacionalidad no se aplica a nuestros productos. El tipo de software que construimos es licenciable y dichas licencias son mensuales, </t>
  </si>
  <si>
    <t>por lo que la cantidad de software vendido no se ve afectado por la epoca del año. Las ventas se mantendran estables durante todo el año.</t>
  </si>
  <si>
    <t>Unid</t>
  </si>
  <si>
    <t>Enterprise Almacenamiento (Producto)</t>
  </si>
  <si>
    <t>Enterprise Transporte (Producto)</t>
  </si>
  <si>
    <t>Enterprise Distribución (Producto)</t>
  </si>
  <si>
    <t>Enterprise Distribución (Licencia)</t>
  </si>
  <si>
    <t>Enterprise Almacenamiento (Licencia Mens.)</t>
  </si>
  <si>
    <t>Estamos planteando un escenario donde tenemos que llegar al 20% de las empresas del mercado meta, que segun C.O.P.A.L es de 400 empresas</t>
  </si>
  <si>
    <t>grandes del rubro de Alimentos y bebidas, lo que nos lleva a un objetivo de 80 empresas conectadas al final de los 3 años.</t>
  </si>
  <si>
    <t>Importe</t>
  </si>
  <si>
    <t>Cantidades de licencias por empresa (estimado)</t>
  </si>
  <si>
    <t>Cantidad de empresas</t>
  </si>
  <si>
    <t>Total grandes empresas del rubro Alimentos y bebidas</t>
  </si>
  <si>
    <t>Objetivo (20%)</t>
  </si>
  <si>
    <t>Estamos ademas, asumiendo las siguientes cantidades:</t>
  </si>
  <si>
    <t>El software es un producto que no necesita ser manufacturado por unidad. Una vez desarrollado, se pueden comercializar copias con</t>
  </si>
  <si>
    <t>un relativo bajo costo. Por lo tanto, nuestra capacidad operativa se centra principalmente en dos areas:</t>
  </si>
  <si>
    <t>* RRHH de sistemas para mantenimiento y soporte a los clientes</t>
  </si>
  <si>
    <t>* RRHH de ventas para comercializar y atender a los clientes</t>
  </si>
  <si>
    <t>1er Año</t>
  </si>
  <si>
    <t>2do Año</t>
  </si>
  <si>
    <t>Objetivo de participacion final del mercado (5%)</t>
  </si>
  <si>
    <t>Costos Fijos</t>
  </si>
  <si>
    <t>Concepto</t>
  </si>
  <si>
    <t>TOTAL</t>
  </si>
  <si>
    <t>ALQUILERES</t>
  </si>
  <si>
    <t>Alquiler Oficina (100m2)</t>
  </si>
  <si>
    <t>SERVICIOS</t>
  </si>
  <si>
    <t>Agua</t>
  </si>
  <si>
    <t>Gas</t>
  </si>
  <si>
    <t>Telefonía Fija</t>
  </si>
  <si>
    <t>ABL</t>
  </si>
  <si>
    <t>HONORARIOS</t>
  </si>
  <si>
    <t>Honorarios Contables</t>
  </si>
  <si>
    <t>PUBLICIDAD</t>
  </si>
  <si>
    <t>Costos Variables</t>
  </si>
  <si>
    <t>Costos RRHH</t>
  </si>
  <si>
    <t>Analista Funcional, ocupa también el rol de Técnico en Telecomunicaciones</t>
  </si>
  <si>
    <t>1° AÑO</t>
  </si>
  <si>
    <t>2° AÑO</t>
  </si>
  <si>
    <t>3° AÑO</t>
  </si>
  <si>
    <t>EMPLEADOS \ AÑO</t>
  </si>
  <si>
    <t>CANT 1</t>
  </si>
  <si>
    <t>SUELDOS 1</t>
  </si>
  <si>
    <t>CANT 2</t>
  </si>
  <si>
    <t>SUELDOS 2</t>
  </si>
  <si>
    <t>CANT 3</t>
  </si>
  <si>
    <t>SUELDOS 3</t>
  </si>
  <si>
    <t>TOTAL COSTOS RRHH</t>
  </si>
  <si>
    <t>Fuente: http://www.trabajo.gov.ar/derechos/#ancla17</t>
  </si>
  <si>
    <t>Sueldo Bruto</t>
  </si>
  <si>
    <t>CONCEPTO \ MES</t>
  </si>
  <si>
    <t>%</t>
  </si>
  <si>
    <t>ENE</t>
  </si>
  <si>
    <t>FEB</t>
  </si>
  <si>
    <t>MAR</t>
  </si>
  <si>
    <t>ABR</t>
  </si>
  <si>
    <t>MAY</t>
  </si>
  <si>
    <t>JUN</t>
  </si>
  <si>
    <t>JUL</t>
  </si>
  <si>
    <t>AGO</t>
  </si>
  <si>
    <t>SEP</t>
  </si>
  <si>
    <t>OCT</t>
  </si>
  <si>
    <t>NOV</t>
  </si>
  <si>
    <t>DIC</t>
  </si>
  <si>
    <t>SAC</t>
  </si>
  <si>
    <t>Asignaciones Familiares</t>
  </si>
  <si>
    <t>Fondo Nacional de Empleo</t>
  </si>
  <si>
    <t>Obra Social</t>
  </si>
  <si>
    <t>TOTAL COSTO</t>
  </si>
  <si>
    <t>Modelo de Inversión Inicial</t>
  </si>
  <si>
    <t>Precio Unitario</t>
  </si>
  <si>
    <t>Referencia</t>
  </si>
  <si>
    <t>MOBILIARIOS Y UTILES</t>
  </si>
  <si>
    <t>Escritorios</t>
  </si>
  <si>
    <t>http://articulo.mercadolibre.com.ar/MLA-539627330-puesto-de-trabajo-platinum-escritorio-esquinero-mesa-pc-_JM</t>
  </si>
  <si>
    <t>Sillas</t>
  </si>
  <si>
    <t>http://articulo.mercadolibre.com.ar/MLA-538510210-silla-oficina-ergonomica-pc-regulable-entrega-ya-3-anos-gtia-_JM</t>
  </si>
  <si>
    <t>Luminarias</t>
  </si>
  <si>
    <t>Varios</t>
  </si>
  <si>
    <t>Celulares</t>
  </si>
  <si>
    <t>HARDWARE / SOFTWARE</t>
  </si>
  <si>
    <t>Notebook Lenovo G480</t>
  </si>
  <si>
    <t>Servidor IBM</t>
  </si>
  <si>
    <t>Impresora Laser</t>
  </si>
  <si>
    <t>Toner Impresora</t>
  </si>
  <si>
    <t>Accesorios informáticos</t>
  </si>
  <si>
    <t>Cable UTP, fichas RJ45, otros</t>
  </si>
  <si>
    <t>Licencia Microsoft SQL Server</t>
  </si>
  <si>
    <t>Amortizaciones</t>
  </si>
  <si>
    <t>Años</t>
  </si>
  <si>
    <t>MOBILIARIOS</t>
  </si>
  <si>
    <t>Electricidad</t>
  </si>
  <si>
    <t>http://www.zonaprop.com.ar/propiedades/ph-planta-baja-sin-expensas-100-m-comercial-tres-41226641.html</t>
  </si>
  <si>
    <t>Año 1</t>
  </si>
  <si>
    <t>Internet (Fibercorp 2Mbps)</t>
  </si>
  <si>
    <t>https://www.fibercorp.com.ar/pymes/productos/acceso_simetrico</t>
  </si>
  <si>
    <t xml:space="preserve">Seguros Oficina </t>
  </si>
  <si>
    <t>Director</t>
  </si>
  <si>
    <t>Analista de Sistemas</t>
  </si>
  <si>
    <t>Programador</t>
  </si>
  <si>
    <t>Gerente RRHH</t>
  </si>
  <si>
    <t>Gerente de Ventas</t>
  </si>
  <si>
    <t>Vendedor</t>
  </si>
  <si>
    <t>Gerente de Sistemas (Cubierto por Director)</t>
  </si>
  <si>
    <t>Gerente Ventas</t>
  </si>
  <si>
    <t>Director, ocupa también rol de Gerente de Sistemas</t>
  </si>
  <si>
    <t>Se agrega vendedor</t>
  </si>
  <si>
    <t>Se agrega programador</t>
  </si>
  <si>
    <t>Sin cambios</t>
  </si>
  <si>
    <t>Analista cumple rol de programador</t>
  </si>
  <si>
    <t>Puestos</t>
  </si>
  <si>
    <t>INSSJP (PAMI Ley 19032)</t>
  </si>
  <si>
    <t>Jubilacion</t>
  </si>
  <si>
    <t>Celulares (Gerentes y Vendedores)</t>
  </si>
  <si>
    <t>http://www.personal.com.ar/tienda/planesypacks/#/planes/telefonos/factura/factura-black-conexion-total-490</t>
  </si>
  <si>
    <t>http://www.derechodeltrabajo.com.ar/asesoramiento-laboral-/aportes-jubilatorios-seguridad-social/</t>
  </si>
  <si>
    <t>Aportes</t>
  </si>
  <si>
    <t>Publicidad Ieco Clarin</t>
  </si>
  <si>
    <t>Publicidad Online Cadmira.org</t>
  </si>
  <si>
    <t>Comision vendedores</t>
  </si>
  <si>
    <t>Porcentajes de comision</t>
  </si>
  <si>
    <t>Venta de producto</t>
  </si>
  <si>
    <t>Licencia</t>
  </si>
  <si>
    <t>Gerente Compras (Cubierto por director)</t>
  </si>
  <si>
    <t>https://articulo.mercadolibre.com.ar/MLA-662058974-samsung-j3-outlet-j320m-libre-original-_JM</t>
  </si>
  <si>
    <t>https://articulo.mercadolibre.com.ar/MLA-684664924-notebook-lenovo-quad-core-a6-24ghz-156-1tb-8gb-video-ati-_JM</t>
  </si>
  <si>
    <t>https://articulo.mercadolibre.com.ar/MLA-618995899-servidor-rackeable-hp-dl120-gen9-intel-xeon-e5-2603v4-8gb-_JM</t>
  </si>
  <si>
    <t>https://articulo.mercadolibre.com.ar/MLA-620680250-impresora-laser-samsung-sl-m2020w-wifi-2020w-2020-usb-nfc-_JM</t>
  </si>
  <si>
    <t>https://articulo.mercadolibre.com.ar/MLA-620886746-toner-original-samsung-111s-mlt-d111s-cartucho-m2020-m2070fw-_JM</t>
  </si>
  <si>
    <t>https://articulo.mercadolibre.com.ar/MLA-675000681-licencia-original-sql-server-2012-business-intelligencefact-_JM</t>
  </si>
  <si>
    <t>Cash Flow (ARS)</t>
  </si>
  <si>
    <t>(0)</t>
  </si>
  <si>
    <t>1</t>
  </si>
  <si>
    <t>2</t>
  </si>
  <si>
    <t>3</t>
  </si>
  <si>
    <t>Ventas</t>
  </si>
  <si>
    <t>Resultado antes de Imp Gan</t>
  </si>
  <si>
    <t>Resultado final</t>
  </si>
  <si>
    <t>Flujo de Fondos Neto</t>
  </si>
  <si>
    <t>Tasa interes</t>
  </si>
  <si>
    <t>VAN</t>
  </si>
  <si>
    <t>TIR</t>
  </si>
  <si>
    <t>Inflacion</t>
  </si>
  <si>
    <t>Entradas</t>
  </si>
  <si>
    <t>Salidas</t>
  </si>
  <si>
    <t>Enterprise Distribución (Licencia Mens.)</t>
  </si>
  <si>
    <t>Enterprise Transporte (Licencia Mens.)</t>
  </si>
  <si>
    <t>Ene</t>
  </si>
  <si>
    <t>Feb</t>
  </si>
  <si>
    <t>Mar</t>
  </si>
  <si>
    <t>Abr</t>
  </si>
  <si>
    <t>May</t>
  </si>
  <si>
    <t>Jun</t>
  </si>
  <si>
    <t>Jul</t>
  </si>
  <si>
    <t>Ago</t>
  </si>
  <si>
    <t>Sep</t>
  </si>
  <si>
    <t>Oct</t>
  </si>
  <si>
    <t>Nov</t>
  </si>
  <si>
    <t>Dic</t>
  </si>
  <si>
    <t>Horas extras de desarrollo por bugs</t>
  </si>
  <si>
    <t>Costos VARIABLES</t>
  </si>
  <si>
    <t>Solucion Informatica</t>
  </si>
  <si>
    <t>Desarrollo de solucion informartica</t>
  </si>
  <si>
    <t>Imp Ganancias</t>
  </si>
  <si>
    <t xml:space="preserve">Contribucion marginal = </t>
  </si>
  <si>
    <t xml:space="preserve">Punto equilibreio  = </t>
  </si>
  <si>
    <t>Precio unitario</t>
  </si>
  <si>
    <t>Costos fijos</t>
  </si>
  <si>
    <t>costo var unit</t>
  </si>
  <si>
    <t>costo total</t>
  </si>
  <si>
    <t>Costo Variable</t>
  </si>
  <si>
    <t>ROI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</si>
</sst>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quot;$&quot;\ #,##0;&quot;$&quot;\ \-#,##0"/>
    <numFmt numFmtId="165" formatCode="&quot;$&quot;\ #,##0.00;[Red]&quot;$&quot;\ \-#,##0.00"/>
    <numFmt numFmtId="166" formatCode="_ &quot;$&quot;\ * #,##0.00_ ;_ &quot;$&quot;\ * \-#,##0.00_ ;_ &quot;$&quot;\ * &quot;-&quot;??_ ;_ @_ "/>
    <numFmt numFmtId="167" formatCode="_ &quot;$&quot;\ * #,##0_ ;_ &quot;$&quot;\ * \-#,##0_ ;_ &quot;$&quot;\ * &quot;-&quot;??_ ;_ @_ "/>
    <numFmt numFmtId="168" formatCode="&quot;$&quot;\ #,##0.00"/>
    <numFmt numFmtId="169" formatCode="_ * #,##0.00_ ;_ * \-#,##0.00_ ;_ * &quot;-&quot;??_ ;_ @_ "/>
    <numFmt numFmtId="170" formatCode="* #,##0_);* \(#,##0\);* &quot;0&quot;_)"/>
    <numFmt numFmtId="171" formatCode="_ [$$-2C0A]\ * #,##0.00_ ;_ [$$-2C0A]\ * \-#,##0.00_ ;_ [$$-2C0A]\ * &quot;-&quot;??_ ;_ @_ "/>
    <numFmt numFmtId="172" formatCode="&quot;$&quot;#,##0"/>
    <numFmt numFmtId="173" formatCode="&quot;$&quot;#,##0.00"/>
  </numFmts>
  <fonts count="1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1"/>
      <name val="Arial"/>
      <family val="2"/>
    </font>
    <font>
      <b/>
      <sz val="16"/>
      <color theme="0"/>
      <name val="Calibri"/>
      <family val="2"/>
      <scheme val="minor"/>
    </font>
    <font>
      <sz val="10"/>
      <color theme="1"/>
      <name val="Calibri"/>
      <family val="2"/>
      <scheme val="minor"/>
    </font>
    <font>
      <b/>
      <sz val="12"/>
      <color theme="1"/>
      <name val="Calibri"/>
      <family val="2"/>
      <scheme val="minor"/>
    </font>
    <font>
      <sz val="10"/>
      <color theme="0"/>
      <name val="Calibri"/>
      <family val="2"/>
      <scheme val="minor"/>
    </font>
    <font>
      <b/>
      <sz val="28"/>
      <color theme="0"/>
      <name val="Calibri"/>
      <family val="2"/>
      <scheme val="minor"/>
    </font>
    <font>
      <sz val="12"/>
      <color theme="1"/>
      <name val="Calibri"/>
      <family val="2"/>
      <scheme val="minor"/>
    </font>
    <font>
      <u/>
      <sz val="11"/>
      <color theme="10"/>
      <name val="Calibri"/>
      <family val="2"/>
      <scheme val="minor"/>
    </font>
    <font>
      <sz val="10"/>
      <name val="Arial"/>
      <family val="2"/>
    </font>
    <font>
      <b/>
      <sz val="10"/>
      <color indexed="12"/>
      <name val="Arial"/>
      <family val="2"/>
    </font>
    <font>
      <b/>
      <sz val="10"/>
      <name val="Arial"/>
      <family val="2"/>
    </font>
    <font>
      <b/>
      <sz val="8"/>
      <name val="Arial"/>
      <family val="2"/>
    </font>
    <font>
      <sz val="8"/>
      <color theme="1"/>
      <name val="Calibri"/>
      <family val="2"/>
      <scheme val="minor"/>
    </font>
    <font>
      <b/>
      <sz val="10"/>
      <color theme="0"/>
      <name val="Calibri"/>
      <family val="2"/>
      <scheme val="minor"/>
    </font>
    <font>
      <b/>
      <sz val="14"/>
      <color theme="1"/>
      <name val="Calibri"/>
      <family val="2"/>
      <scheme val="minor"/>
    </font>
  </fonts>
  <fills count="13">
    <fill>
      <patternFill patternType="none"/>
    </fill>
    <fill>
      <patternFill patternType="gray125"/>
    </fill>
    <fill>
      <patternFill patternType="solid">
        <fgColor theme="7" tint="-0.249977111117893"/>
        <bgColor indexed="64"/>
      </patternFill>
    </fill>
    <fill>
      <patternFill patternType="solid">
        <fgColor theme="7" tint="-0.249977111117893"/>
        <bgColor theme="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theme="4" tint="0.79998168889431442"/>
      </patternFill>
    </fill>
    <fill>
      <patternFill patternType="solid">
        <fgColor theme="7" tint="0.39997558519241921"/>
        <bgColor theme="4" tint="0.59999389629810485"/>
      </patternFill>
    </fill>
    <fill>
      <patternFill patternType="solid">
        <fgColor theme="7" tint="0.59999389629810485"/>
        <bgColor theme="4" tint="0.59999389629810485"/>
      </patternFill>
    </fill>
    <fill>
      <patternFill patternType="solid">
        <fgColor theme="7" tint="0.79998168889431442"/>
        <bgColor theme="4" tint="0.59999389629810485"/>
      </patternFill>
    </fill>
    <fill>
      <patternFill patternType="solid">
        <fgColor theme="7" tint="0.79998168889431442"/>
        <bgColor theme="4" tint="0.79998168889431442"/>
      </patternFill>
    </fill>
    <fill>
      <patternFill patternType="solid">
        <fgColor theme="4"/>
        <bgColor theme="4"/>
      </patternFill>
    </fill>
    <fill>
      <patternFill patternType="solid">
        <fgColor theme="1"/>
        <bgColor indexed="64"/>
      </patternFill>
    </fill>
  </fills>
  <borders count="24">
    <border>
      <left/>
      <right/>
      <top/>
      <bottom/>
      <diagonal/>
    </border>
    <border>
      <left/>
      <right style="thin">
        <color theme="0"/>
      </right>
      <top/>
      <bottom style="thick">
        <color theme="0"/>
      </bottom>
      <diagonal/>
    </border>
    <border>
      <left style="thin">
        <color theme="0"/>
      </left>
      <right/>
      <top/>
      <bottom style="thick">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ck">
        <color theme="0"/>
      </bottom>
      <diagonal/>
    </border>
    <border>
      <left/>
      <right style="thin">
        <color theme="0"/>
      </right>
      <top style="thick">
        <color theme="0"/>
      </top>
      <bottom style="thin">
        <color theme="0"/>
      </bottom>
      <diagonal/>
    </border>
    <border>
      <left/>
      <right/>
      <top style="thick">
        <color theme="0"/>
      </top>
      <bottom style="thin">
        <color theme="0"/>
      </bottom>
      <diagonal/>
    </border>
    <border>
      <left/>
      <right style="thin">
        <color theme="0"/>
      </right>
      <top/>
      <bottom style="thin">
        <color theme="0"/>
      </bottom>
      <diagonal/>
    </border>
    <border>
      <left/>
      <right style="thin">
        <color theme="0"/>
      </right>
      <top/>
      <bottom/>
      <diagonal/>
    </border>
    <border>
      <left/>
      <right/>
      <top style="medium">
        <color rgb="FFFFFFFF"/>
      </top>
      <bottom style="thick">
        <color theme="0"/>
      </bottom>
      <diagonal/>
    </border>
    <border>
      <left style="thin">
        <color theme="0"/>
      </left>
      <right style="medium">
        <color rgb="FFFFFFFF"/>
      </right>
      <top style="thick">
        <color theme="0"/>
      </top>
      <bottom style="thin">
        <color theme="0"/>
      </bottom>
      <diagonal/>
    </border>
    <border>
      <left style="thin">
        <color theme="0"/>
      </left>
      <right style="medium">
        <color rgb="FFFFFFFF"/>
      </right>
      <top/>
      <bottom style="thin">
        <color theme="0"/>
      </bottom>
      <diagonal/>
    </border>
    <border>
      <left style="thin">
        <color rgb="FFFFFFFF"/>
      </left>
      <right style="medium">
        <color rgb="FFFFFFFF"/>
      </right>
      <top style="medium">
        <color rgb="FFFFFFFF"/>
      </top>
      <bottom style="thick">
        <color theme="0"/>
      </bottom>
      <diagonal/>
    </border>
    <border>
      <left style="thin">
        <color theme="0"/>
      </left>
      <right/>
      <top/>
      <bottom/>
      <diagonal/>
    </border>
    <border>
      <left style="thin">
        <color theme="0"/>
      </left>
      <right style="thin">
        <color theme="0"/>
      </right>
      <top/>
      <bottom style="thin">
        <color theme="0"/>
      </bottom>
      <diagonal/>
    </border>
    <border>
      <left/>
      <right style="thin">
        <color rgb="FFFFFFFF"/>
      </right>
      <top style="medium">
        <color rgb="FFFFFFFF"/>
      </top>
      <bottom style="thick">
        <color theme="0"/>
      </bottom>
      <diagonal/>
    </border>
    <border>
      <left/>
      <right/>
      <top/>
      <bottom style="thin">
        <color theme="0"/>
      </bottom>
      <diagonal/>
    </border>
    <border>
      <left/>
      <right/>
      <top style="thick">
        <color theme="0"/>
      </top>
      <bottom/>
      <diagonal/>
    </border>
    <border>
      <left style="thin">
        <color theme="0"/>
      </left>
      <right/>
      <top style="thick">
        <color theme="0"/>
      </top>
      <bottom/>
      <diagonal/>
    </border>
    <border>
      <left style="thin">
        <color theme="0"/>
      </left>
      <right/>
      <top/>
      <bottom style="thin">
        <color theme="0"/>
      </bottom>
      <diagonal/>
    </border>
    <border>
      <left style="thin">
        <color theme="0"/>
      </left>
      <right/>
      <top style="thin">
        <color theme="0"/>
      </top>
      <bottom/>
      <diagonal/>
    </border>
    <border>
      <left/>
      <right/>
      <top style="thin">
        <color theme="0"/>
      </top>
      <bottom/>
      <diagonal/>
    </border>
    <border>
      <left/>
      <right/>
      <top/>
      <bottom style="thick">
        <color theme="0"/>
      </bottom>
      <diagonal/>
    </border>
  </borders>
  <cellStyleXfs count="4">
    <xf numFmtId="0" fontId="0" fillId="0" borderId="0"/>
    <xf numFmtId="166" fontId="1" fillId="0" borderId="0" applyFont="0" applyFill="0" applyBorder="0" applyAlignment="0" applyProtection="0"/>
    <xf numFmtId="169" fontId="1" fillId="0" borderId="0" applyFont="0" applyFill="0" applyBorder="0" applyAlignment="0" applyProtection="0"/>
    <xf numFmtId="0" fontId="11" fillId="0" borderId="0" applyNumberFormat="0" applyFill="0" applyBorder="0" applyAlignment="0" applyProtection="0"/>
  </cellStyleXfs>
  <cellXfs count="117">
    <xf numFmtId="0" fontId="0" fillId="0" borderId="0" xfId="0"/>
    <xf numFmtId="0" fontId="7" fillId="0" borderId="0" xfId="0" applyFont="1"/>
    <xf numFmtId="0" fontId="0" fillId="0" borderId="0" xfId="0" applyFont="1"/>
    <xf numFmtId="0" fontId="4" fillId="0" borderId="0" xfId="0" applyFont="1"/>
    <xf numFmtId="0" fontId="2" fillId="3" borderId="0" xfId="0" applyFont="1" applyFill="1" applyBorder="1" applyAlignment="1">
      <alignment horizontal="center"/>
    </xf>
    <xf numFmtId="0" fontId="2" fillId="3" borderId="14" xfId="0" applyFont="1" applyFill="1" applyBorder="1" applyAlignment="1">
      <alignment horizontal="center" vertical="center"/>
    </xf>
    <xf numFmtId="0" fontId="2" fillId="2" borderId="22" xfId="0" applyFont="1" applyFill="1" applyBorder="1"/>
    <xf numFmtId="3" fontId="8" fillId="2" borderId="21" xfId="1" applyNumberFormat="1" applyFont="1" applyFill="1" applyBorder="1"/>
    <xf numFmtId="164" fontId="8" fillId="2" borderId="21" xfId="1" applyNumberFormat="1" applyFont="1" applyFill="1" applyBorder="1"/>
    <xf numFmtId="3" fontId="6" fillId="4" borderId="19" xfId="1" applyNumberFormat="1" applyFont="1" applyFill="1" applyBorder="1"/>
    <xf numFmtId="164" fontId="6" fillId="4" borderId="19" xfId="1" applyNumberFormat="1" applyFont="1" applyFill="1" applyBorder="1"/>
    <xf numFmtId="3" fontId="6" fillId="5" borderId="21" xfId="1" applyNumberFormat="1" applyFont="1" applyFill="1" applyBorder="1"/>
    <xf numFmtId="164" fontId="6" fillId="5" borderId="21" xfId="1" applyNumberFormat="1" applyFont="1" applyFill="1" applyBorder="1"/>
    <xf numFmtId="0" fontId="3" fillId="6" borderId="18" xfId="0" applyFont="1" applyFill="1" applyBorder="1"/>
    <xf numFmtId="0" fontId="3" fillId="6" borderId="22" xfId="0" applyFont="1" applyFill="1" applyBorder="1"/>
    <xf numFmtId="0" fontId="2" fillId="3" borderId="13" xfId="0" applyFont="1" applyFill="1" applyBorder="1" applyAlignment="1">
      <alignment horizontal="center" vertical="center"/>
    </xf>
    <xf numFmtId="165" fontId="0" fillId="8" borderId="12" xfId="0" applyNumberFormat="1" applyFont="1" applyFill="1" applyBorder="1" applyAlignment="1">
      <alignment vertical="center"/>
    </xf>
    <xf numFmtId="165" fontId="0" fillId="8" borderId="11" xfId="0" applyNumberFormat="1" applyFont="1" applyFill="1" applyBorder="1" applyAlignment="1">
      <alignment vertical="center"/>
    </xf>
    <xf numFmtId="165" fontId="0" fillId="10" borderId="12" xfId="0" applyNumberFormat="1" applyFont="1" applyFill="1" applyBorder="1" applyAlignment="1">
      <alignment vertical="center"/>
    </xf>
    <xf numFmtId="0" fontId="0" fillId="10" borderId="12" xfId="0" applyNumberFormat="1" applyFont="1" applyFill="1" applyBorder="1" applyAlignment="1">
      <alignment vertical="center"/>
    </xf>
    <xf numFmtId="0" fontId="2" fillId="12" borderId="0" xfId="0" applyFont="1" applyFill="1" applyAlignment="1">
      <alignment horizontal="right"/>
    </xf>
    <xf numFmtId="168" fontId="2" fillId="12" borderId="0" xfId="0" applyNumberFormat="1" applyFont="1" applyFill="1"/>
    <xf numFmtId="0" fontId="2" fillId="12" borderId="4" xfId="0" applyFont="1" applyFill="1" applyBorder="1"/>
    <xf numFmtId="166" fontId="2" fillId="12" borderId="4" xfId="1" applyFont="1" applyFill="1" applyBorder="1"/>
    <xf numFmtId="0" fontId="10" fillId="0" borderId="0" xfId="0" applyFont="1"/>
    <xf numFmtId="0" fontId="0" fillId="0" borderId="0" xfId="0" applyFont="1" applyBorder="1" applyAlignment="1">
      <alignment horizontal="center"/>
    </xf>
    <xf numFmtId="167" fontId="0" fillId="0" borderId="0" xfId="1" applyNumberFormat="1" applyFont="1" applyBorder="1" applyAlignment="1">
      <alignment horizontal="right"/>
    </xf>
    <xf numFmtId="167" fontId="0" fillId="0" borderId="0" xfId="0" applyNumberFormat="1" applyFont="1" applyAlignment="1">
      <alignment horizontal="right"/>
    </xf>
    <xf numFmtId="0" fontId="3" fillId="0" borderId="0" xfId="0" applyFont="1" applyBorder="1"/>
    <xf numFmtId="166" fontId="3" fillId="0" borderId="0" xfId="1" applyFont="1" applyBorder="1" applyAlignment="1">
      <alignment horizontal="center"/>
    </xf>
    <xf numFmtId="166" fontId="2" fillId="12" borderId="0" xfId="0" applyNumberFormat="1" applyFont="1" applyFill="1"/>
    <xf numFmtId="0" fontId="2" fillId="3" borderId="1" xfId="0" applyFont="1" applyFill="1" applyBorder="1" applyAlignment="1">
      <alignment horizontal="center" vertical="center"/>
    </xf>
    <xf numFmtId="0" fontId="2" fillId="3" borderId="5" xfId="0" applyFont="1" applyFill="1" applyBorder="1" applyAlignment="1">
      <alignment horizontal="center" vertical="center"/>
    </xf>
    <xf numFmtId="0" fontId="3" fillId="7" borderId="8" xfId="0" applyFont="1" applyFill="1" applyBorder="1"/>
    <xf numFmtId="3" fontId="0" fillId="9" borderId="15" xfId="0" applyNumberFormat="1" applyFont="1" applyFill="1" applyBorder="1"/>
    <xf numFmtId="0" fontId="3" fillId="6" borderId="8" xfId="0" applyFont="1" applyFill="1" applyBorder="1"/>
    <xf numFmtId="0" fontId="2" fillId="3" borderId="1" xfId="0" applyFont="1" applyFill="1" applyBorder="1" applyAlignment="1">
      <alignment horizontal="left" vertical="center"/>
    </xf>
    <xf numFmtId="168" fontId="2" fillId="3" borderId="5" xfId="0" applyNumberFormat="1" applyFont="1" applyFill="1" applyBorder="1" applyAlignment="1">
      <alignment horizontal="center" vertical="center"/>
    </xf>
    <xf numFmtId="0" fontId="2" fillId="7" borderId="8" xfId="0" applyFont="1" applyFill="1" applyBorder="1"/>
    <xf numFmtId="10" fontId="0" fillId="8" borderId="3" xfId="0" applyNumberFormat="1" applyFont="1" applyFill="1" applyBorder="1"/>
    <xf numFmtId="0" fontId="2" fillId="6" borderId="8" xfId="0" applyFont="1" applyFill="1" applyBorder="1"/>
    <xf numFmtId="10" fontId="0" fillId="10" borderId="15" xfId="0" applyNumberFormat="1" applyFont="1" applyFill="1" applyBorder="1"/>
    <xf numFmtId="0" fontId="7" fillId="4" borderId="4" xfId="0" applyFont="1" applyFill="1" applyBorder="1" applyAlignment="1">
      <alignment vertical="center"/>
    </xf>
    <xf numFmtId="0" fontId="7" fillId="5" borderId="4" xfId="0" applyFont="1" applyFill="1" applyBorder="1" applyAlignment="1">
      <alignment vertical="center"/>
    </xf>
    <xf numFmtId="0" fontId="10" fillId="0" borderId="0" xfId="0" applyFont="1" applyAlignment="1">
      <alignment horizontal="left" wrapText="1"/>
    </xf>
    <xf numFmtId="167" fontId="7" fillId="4" borderId="20" xfId="1" applyNumberFormat="1" applyFont="1" applyFill="1" applyBorder="1" applyAlignment="1">
      <alignment vertical="center"/>
    </xf>
    <xf numFmtId="0" fontId="3" fillId="2" borderId="0" xfId="0" applyFont="1" applyFill="1" applyAlignment="1">
      <alignment horizontal="center" vertical="center"/>
    </xf>
    <xf numFmtId="0" fontId="2" fillId="2" borderId="0" xfId="0" applyFont="1" applyFill="1"/>
    <xf numFmtId="10" fontId="0" fillId="4" borderId="0" xfId="0" applyNumberFormat="1" applyFont="1" applyFill="1"/>
    <xf numFmtId="167" fontId="0" fillId="4" borderId="0" xfId="1" applyNumberFormat="1" applyFont="1" applyFill="1"/>
    <xf numFmtId="10" fontId="0" fillId="5" borderId="0" xfId="0" applyNumberFormat="1" applyFont="1" applyFill="1"/>
    <xf numFmtId="0" fontId="0" fillId="0" borderId="0" xfId="0" applyFont="1" applyAlignment="1">
      <alignment vertical="center" wrapText="1"/>
    </xf>
    <xf numFmtId="0" fontId="0" fillId="0" borderId="0" xfId="0" applyFont="1" applyFill="1"/>
    <xf numFmtId="10" fontId="0" fillId="0" borderId="0" xfId="0" applyNumberFormat="1" applyFont="1" applyFill="1"/>
    <xf numFmtId="167" fontId="0" fillId="0" borderId="0" xfId="1" applyNumberFormat="1" applyFont="1" applyFill="1"/>
    <xf numFmtId="167" fontId="0" fillId="5" borderId="0" xfId="1" applyNumberFormat="1" applyFont="1" applyFill="1"/>
    <xf numFmtId="0" fontId="5" fillId="3" borderId="0" xfId="0" applyFont="1" applyFill="1" applyBorder="1" applyAlignment="1">
      <alignment horizontal="center"/>
    </xf>
    <xf numFmtId="0" fontId="2" fillId="3" borderId="1" xfId="0" applyFont="1" applyFill="1" applyBorder="1" applyAlignment="1">
      <alignment horizontal="center" vertical="center"/>
    </xf>
    <xf numFmtId="0" fontId="2" fillId="3" borderId="10" xfId="0" applyFont="1" applyFill="1" applyBorder="1" applyAlignment="1">
      <alignment horizontal="left" vertical="center"/>
    </xf>
    <xf numFmtId="0" fontId="0" fillId="8" borderId="7" xfId="0" applyFont="1" applyFill="1" applyBorder="1" applyAlignment="1">
      <alignment horizontal="left" vertical="center" wrapText="1"/>
    </xf>
    <xf numFmtId="0" fontId="2" fillId="3" borderId="0" xfId="0" applyFont="1" applyFill="1" applyBorder="1" applyAlignment="1">
      <alignment horizontal="center" vertical="center"/>
    </xf>
    <xf numFmtId="0" fontId="11" fillId="0" borderId="0" xfId="3"/>
    <xf numFmtId="0" fontId="2" fillId="3" borderId="14" xfId="0" applyFont="1" applyFill="1" applyBorder="1" applyAlignment="1">
      <alignment vertical="center"/>
    </xf>
    <xf numFmtId="0" fontId="2" fillId="3" borderId="9" xfId="0" applyFont="1" applyFill="1" applyBorder="1" applyAlignment="1">
      <alignment vertical="center"/>
    </xf>
    <xf numFmtId="0" fontId="2" fillId="3" borderId="0" xfId="0" applyFont="1" applyFill="1" applyBorder="1" applyAlignment="1">
      <alignment vertical="center"/>
    </xf>
    <xf numFmtId="10" fontId="0" fillId="8" borderId="11" xfId="0" applyNumberFormat="1" applyFont="1" applyFill="1" applyBorder="1" applyAlignment="1">
      <alignment vertical="center"/>
    </xf>
    <xf numFmtId="10" fontId="0" fillId="10" borderId="12" xfId="0" applyNumberFormat="1" applyFont="1" applyFill="1" applyBorder="1" applyAlignment="1">
      <alignment vertical="center"/>
    </xf>
    <xf numFmtId="0" fontId="0" fillId="9" borderId="17" xfId="0" applyFont="1" applyFill="1" applyBorder="1" applyAlignment="1">
      <alignment horizontal="left" vertical="center" wrapText="1"/>
    </xf>
    <xf numFmtId="10" fontId="0" fillId="8" borderId="0" xfId="0" applyNumberFormat="1" applyFont="1" applyFill="1" applyBorder="1" applyAlignment="1">
      <alignment vertical="center"/>
    </xf>
    <xf numFmtId="10" fontId="0" fillId="10" borderId="0" xfId="0" applyNumberFormat="1" applyFont="1" applyFill="1" applyBorder="1" applyAlignment="1">
      <alignment vertical="center"/>
    </xf>
    <xf numFmtId="170" fontId="13" fillId="0" borderId="0" xfId="0" applyNumberFormat="1" applyFont="1"/>
    <xf numFmtId="49" fontId="12" fillId="0" borderId="0" xfId="0" applyNumberFormat="1" applyFont="1" applyAlignment="1">
      <alignment horizontal="center"/>
    </xf>
    <xf numFmtId="170" fontId="14" fillId="0" borderId="0" xfId="0" applyNumberFormat="1" applyFont="1"/>
    <xf numFmtId="170" fontId="15" fillId="0" borderId="0" xfId="0" applyNumberFormat="1" applyFont="1"/>
    <xf numFmtId="171" fontId="15" fillId="0" borderId="0" xfId="1" applyNumberFormat="1" applyFont="1"/>
    <xf numFmtId="171" fontId="15" fillId="0" borderId="0" xfId="1" applyNumberFormat="1" applyFont="1" applyBorder="1"/>
    <xf numFmtId="0" fontId="16" fillId="0" borderId="0" xfId="0" applyFont="1"/>
    <xf numFmtId="0" fontId="2" fillId="3" borderId="14" xfId="0" applyFont="1" applyFill="1" applyBorder="1" applyAlignment="1">
      <alignment horizontal="center" vertical="center"/>
    </xf>
    <xf numFmtId="0" fontId="3" fillId="6" borderId="0" xfId="0" applyFont="1" applyFill="1" applyBorder="1"/>
    <xf numFmtId="164" fontId="6" fillId="4" borderId="14" xfId="1" applyNumberFormat="1" applyFont="1" applyFill="1" applyBorder="1"/>
    <xf numFmtId="3" fontId="6" fillId="4" borderId="14" xfId="1" applyNumberFormat="1" applyFont="1" applyFill="1" applyBorder="1"/>
    <xf numFmtId="9" fontId="6" fillId="5" borderId="21" xfId="1" applyNumberFormat="1" applyFont="1" applyFill="1" applyBorder="1"/>
    <xf numFmtId="9" fontId="6" fillId="4" borderId="19" xfId="1" applyNumberFormat="1" applyFont="1" applyFill="1" applyBorder="1"/>
    <xf numFmtId="9" fontId="2" fillId="3" borderId="5" xfId="0" applyNumberFormat="1" applyFont="1" applyFill="1" applyBorder="1" applyAlignment="1">
      <alignment horizontal="center" vertical="center"/>
    </xf>
    <xf numFmtId="172" fontId="17" fillId="3" borderId="5" xfId="0" applyNumberFormat="1" applyFont="1" applyFill="1" applyBorder="1" applyAlignment="1">
      <alignment horizontal="right" vertical="center"/>
    </xf>
    <xf numFmtId="3" fontId="0" fillId="0" borderId="0" xfId="0" applyNumberFormat="1" applyFont="1"/>
    <xf numFmtId="172" fontId="0" fillId="0" borderId="0" xfId="0" applyNumberFormat="1"/>
    <xf numFmtId="173" fontId="0" fillId="0" borderId="0" xfId="0" applyNumberFormat="1"/>
    <xf numFmtId="0" fontId="4" fillId="0" borderId="0" xfId="0" applyFont="1" applyAlignment="1">
      <alignment horizontal="justify" vertical="center"/>
    </xf>
    <xf numFmtId="0" fontId="0" fillId="7" borderId="8" xfId="0" applyFont="1" applyFill="1" applyBorder="1"/>
    <xf numFmtId="10" fontId="0" fillId="7" borderId="8" xfId="0" applyNumberFormat="1" applyFont="1" applyFill="1" applyBorder="1"/>
    <xf numFmtId="0" fontId="18" fillId="7" borderId="8" xfId="0" applyFont="1" applyFill="1" applyBorder="1"/>
    <xf numFmtId="10" fontId="18" fillId="7" borderId="8" xfId="0" applyNumberFormat="1" applyFont="1" applyFill="1" applyBorder="1"/>
    <xf numFmtId="0" fontId="3" fillId="7" borderId="17" xfId="0" applyFont="1" applyFill="1" applyBorder="1" applyAlignment="1">
      <alignment horizontal="center"/>
    </xf>
    <xf numFmtId="0" fontId="3" fillId="7" borderId="8" xfId="0" applyFont="1" applyFill="1" applyBorder="1" applyAlignment="1">
      <alignment horizontal="center"/>
    </xf>
    <xf numFmtId="0" fontId="3" fillId="7" borderId="7" xfId="0" applyFont="1" applyFill="1" applyBorder="1" applyAlignment="1">
      <alignment horizontal="center"/>
    </xf>
    <xf numFmtId="0" fontId="3" fillId="7" borderId="6" xfId="0" applyFont="1" applyFill="1" applyBorder="1" applyAlignment="1">
      <alignment horizontal="center"/>
    </xf>
    <xf numFmtId="0" fontId="9" fillId="2" borderId="0" xfId="0" applyFont="1" applyFill="1" applyAlignment="1">
      <alignment horizontal="center"/>
    </xf>
    <xf numFmtId="0" fontId="7" fillId="4" borderId="17" xfId="0" applyFont="1" applyFill="1" applyBorder="1" applyAlignment="1">
      <alignment vertical="center"/>
    </xf>
    <xf numFmtId="0" fontId="7" fillId="4" borderId="8" xfId="0" applyFont="1" applyFill="1" applyBorder="1" applyAlignment="1">
      <alignment vertical="center"/>
    </xf>
    <xf numFmtId="0" fontId="5" fillId="3" borderId="0" xfId="0" applyFont="1" applyFill="1" applyBorder="1" applyAlignment="1">
      <alignment horizontal="center"/>
    </xf>
    <xf numFmtId="0" fontId="10" fillId="0" borderId="0" xfId="0" applyFont="1" applyAlignment="1">
      <alignment horizontal="left" wrapText="1"/>
    </xf>
    <xf numFmtId="0" fontId="7" fillId="5" borderId="22" xfId="0" applyFont="1" applyFill="1" applyBorder="1" applyAlignment="1">
      <alignment vertical="center"/>
    </xf>
    <xf numFmtId="0" fontId="2" fillId="3" borderId="2"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10" xfId="0" applyFont="1" applyFill="1" applyBorder="1" applyAlignment="1">
      <alignment horizontal="left" vertical="center"/>
    </xf>
    <xf numFmtId="0" fontId="2" fillId="3" borderId="16" xfId="0" applyFont="1" applyFill="1" applyBorder="1" applyAlignment="1">
      <alignment horizontal="left" vertical="center"/>
    </xf>
    <xf numFmtId="0" fontId="0" fillId="9" borderId="7" xfId="0" applyFont="1" applyFill="1" applyBorder="1" applyAlignment="1">
      <alignment horizontal="left" vertical="center" wrapText="1"/>
    </xf>
    <xf numFmtId="0" fontId="0" fillId="9" borderId="6" xfId="0" applyFont="1" applyFill="1" applyBorder="1" applyAlignment="1">
      <alignment horizontal="left" vertical="center" wrapText="1"/>
    </xf>
    <xf numFmtId="0" fontId="0" fillId="8" borderId="7" xfId="0" applyFont="1" applyFill="1" applyBorder="1" applyAlignment="1">
      <alignment horizontal="left" vertical="center" wrapText="1"/>
    </xf>
    <xf numFmtId="0" fontId="0" fillId="8" borderId="6" xfId="0" applyFont="1" applyFill="1" applyBorder="1" applyAlignment="1">
      <alignment horizontal="left" vertical="center" wrapText="1"/>
    </xf>
    <xf numFmtId="0" fontId="5" fillId="11" borderId="23" xfId="0" applyFont="1" applyFill="1" applyBorder="1" applyAlignment="1">
      <alignment horizontal="center"/>
    </xf>
    <xf numFmtId="0" fontId="5" fillId="11" borderId="1" xfId="0" applyFont="1" applyFill="1" applyBorder="1" applyAlignment="1">
      <alignment horizontal="center"/>
    </xf>
    <xf numFmtId="0" fontId="2" fillId="3" borderId="0" xfId="0" applyFont="1" applyFill="1" applyBorder="1" applyAlignment="1">
      <alignment horizontal="center"/>
    </xf>
  </cellXfs>
  <cellStyles count="4">
    <cellStyle name="Comma 2" xfId="2"/>
    <cellStyle name="Currency" xfId="1" builtinId="4"/>
    <cellStyle name="Hyperlink" xfId="3" builtinId="8"/>
    <cellStyle name="Normal" xfId="0" builtinId="0"/>
  </cellStyles>
  <dxfs count="15">
    <dxf>
      <font>
        <b val="0"/>
        <i val="0"/>
        <strike val="0"/>
        <condense val="0"/>
        <extend val="0"/>
        <outline val="0"/>
        <shadow val="0"/>
        <u val="none"/>
        <vertAlign val="baseline"/>
        <sz val="11"/>
        <color theme="1"/>
        <name val="Calibri"/>
        <scheme val="minor"/>
      </font>
      <numFmt numFmtId="167" formatCode="_ &quot;$&quot;\ * #,##0_ ;_ &quot;$&quot;\ * \-#,##0_ ;_ &quot;$&quot;\ * &quot;-&quot;??_ ;_ @_ "/>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solid">
          <fgColor indexed="64"/>
          <bgColor theme="7" tint="-0.249977111117893"/>
        </patternFill>
      </fill>
    </dxf>
    <dxf>
      <font>
        <strike val="0"/>
        <outline val="0"/>
        <shadow val="0"/>
        <u val="none"/>
        <vertAlign val="baseline"/>
        <sz val="11"/>
        <name val="Calibri"/>
        <scheme val="minor"/>
      </font>
    </dxf>
    <dxf>
      <font>
        <b/>
        <i val="0"/>
        <strike val="0"/>
        <condense val="0"/>
        <extend val="0"/>
        <outline val="0"/>
        <shadow val="0"/>
        <u val="none"/>
        <vertAlign val="baseline"/>
        <sz val="11"/>
        <color theme="1"/>
        <name val="Calibri"/>
        <scheme val="minor"/>
      </font>
      <fill>
        <patternFill patternType="solid">
          <fgColor indexed="64"/>
          <bgColor theme="7" tint="-0.249977111117893"/>
        </patternFill>
      </fill>
      <alignment horizontal="center" vertical="center"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_ &quot;$&quot;\ * #,##0_ ;_ &quot;$&quot;\ * \-#,##0_ ;_ &quot;$&quot;\ * &quot;-&quot;??_ ;_ @_ "/>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solid">
          <fgColor indexed="64"/>
          <bgColor theme="7" tint="-0.249977111117893"/>
        </patternFill>
      </fill>
    </dxf>
    <dxf>
      <font>
        <strike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fill>
        <patternFill patternType="solid">
          <fgColor indexed="64"/>
          <bgColor theme="7" tint="-0.249977111117893"/>
        </patternFill>
      </fill>
      <alignment horizontal="center" vertical="center"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_ &quot;$&quot;\ * #,##0_ ;_ &quot;$&quot;\ * \-#,##0_ ;_ &quot;$&quot;\ * &quot;-&quot;??_ ;_ @_ "/>
      <fill>
        <patternFill patternType="none">
          <fgColor indexed="64"/>
          <bgColor indexed="65"/>
        </patternFill>
      </fill>
    </dxf>
    <dxf>
      <font>
        <strike val="0"/>
        <outline val="0"/>
        <shadow val="0"/>
        <u val="none"/>
        <vertAlign val="baseline"/>
        <sz val="11"/>
        <color theme="1"/>
        <name val="Calibri"/>
        <scheme val="minor"/>
      </font>
      <numFmt numFmtId="14" formatCode="0.00%"/>
      <fill>
        <patternFill patternType="none">
          <fgColor indexed="64"/>
          <bgColor indexed="65"/>
        </patternFill>
      </fill>
    </dxf>
    <dxf>
      <font>
        <b/>
        <strike val="0"/>
        <outline val="0"/>
        <shadow val="0"/>
        <u val="none"/>
        <vertAlign val="baseline"/>
        <sz val="11"/>
        <color theme="0"/>
        <name val="Calibri"/>
        <scheme val="minor"/>
      </font>
      <fill>
        <patternFill patternType="solid">
          <fgColor indexed="64"/>
          <bgColor theme="7" tint="-0.249977111117893"/>
        </patternFill>
      </fill>
    </dxf>
    <dxf>
      <font>
        <strike val="0"/>
        <outline val="0"/>
        <shadow val="0"/>
        <u val="none"/>
        <vertAlign val="baseline"/>
        <sz val="11"/>
        <color theme="1"/>
        <name val="Calibri"/>
        <scheme val="minor"/>
      </font>
      <alignment textRotation="0" wrapText="0" relative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7" tint="-0.249977111117893"/>
        </patternFill>
      </fill>
      <alignment horizontal="center" vertical="center" textRotation="0" wrapText="0" relativeIndent="0" justifyLastLine="0" shrinkToFit="0" readingOrder="0"/>
    </dxf>
  </dxfs>
  <tableStyles count="0" defaultTableStyle="TableStyleMedium9" defaultPivotStyle="PivotStyleLight16"/>
  <colors>
    <mruColors>
      <color rgb="FFFF8585"/>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Intención</a:t>
            </a:r>
            <a:r>
              <a:rPr lang="es-AR" baseline="0"/>
              <a:t> de Participación</a:t>
            </a:r>
            <a:endParaRPr lang="es-AR"/>
          </a:p>
        </c:rich>
      </c:tx>
      <c:layout/>
      <c:overlay val="0"/>
      <c:spPr>
        <a:noFill/>
        <a:ln>
          <a:noFill/>
        </a:ln>
        <a:effectLst/>
      </c:spPr>
    </c:title>
    <c:autoTitleDeleted val="0"/>
    <c:plotArea>
      <c:layout/>
      <c:pieChart>
        <c:varyColors val="1"/>
        <c:ser>
          <c:idx val="3"/>
          <c:order val="0"/>
          <c:tx>
            <c:strRef>
              <c:f>HIPOTESIS!$D$42</c:f>
              <c:strCache>
                <c:ptCount val="1"/>
                <c:pt idx="0">
                  <c:v>Monto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explosion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solidFill>
                <a:schemeClr val="bg2">
                  <a:lumMod val="75000"/>
                </a:schemeClr>
              </a:solidFill>
              <a:ln>
                <a:noFill/>
              </a:ln>
              <a:effectLst>
                <a:outerShdw blurRad="57150" dist="19050" dir="5400000" algn="ctr" rotWithShape="0">
                  <a:srgbClr val="000000">
                    <a:alpha val="63000"/>
                  </a:srgbClr>
                </a:outerShdw>
              </a:effectLst>
            </c:spPr>
          </c:dPt>
          <c:cat>
            <c:strRef>
              <c:f>HIPOTESIS!$B$43:$B$46</c:f>
              <c:strCache>
                <c:ptCount val="4"/>
                <c:pt idx="0">
                  <c:v>Digital Express</c:v>
                </c:pt>
                <c:pt idx="1">
                  <c:v>Mobile Systems</c:v>
                </c:pt>
                <c:pt idx="2">
                  <c:v>Enterprise Solutions</c:v>
                </c:pt>
                <c:pt idx="3">
                  <c:v>Otros (Custom, sin cobertura)</c:v>
                </c:pt>
              </c:strCache>
            </c:strRef>
          </c:cat>
          <c:val>
            <c:numRef>
              <c:f>HIPOTESIS!$D$43:$D$46</c:f>
              <c:numCache>
                <c:formatCode>_ "$"\ * #,##0_ ;_ "$"\ * \-#,##0_ ;_ "$"\ * "-"??_ ;_ @_ </c:formatCode>
                <c:ptCount val="4"/>
                <c:pt idx="0">
                  <c:v>196173900</c:v>
                </c:pt>
                <c:pt idx="1">
                  <c:v>326956500</c:v>
                </c:pt>
                <c:pt idx="2">
                  <c:v>108985500</c:v>
                </c:pt>
                <c:pt idx="3">
                  <c:v>1547594100</c:v>
                </c:pt>
              </c:numCache>
            </c:numRef>
          </c:val>
        </c:ser>
        <c:ser>
          <c:idx val="2"/>
          <c:order val="1"/>
          <c:tx>
            <c:strRef>
              <c:f>HIPOTESIS!$C$42</c:f>
              <c:strCache>
                <c:ptCount val="1"/>
                <c:pt idx="0">
                  <c:v>Participación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HIPOTESIS!$B$43:$B$46</c:f>
              <c:strCache>
                <c:ptCount val="4"/>
                <c:pt idx="0">
                  <c:v>Digital Express</c:v>
                </c:pt>
                <c:pt idx="1">
                  <c:v>Mobile Systems</c:v>
                </c:pt>
                <c:pt idx="2">
                  <c:v>Enterprise Solutions</c:v>
                </c:pt>
                <c:pt idx="3">
                  <c:v>Otros (Custom, sin cobertura)</c:v>
                </c:pt>
              </c:strCache>
            </c:strRef>
          </c:cat>
          <c:val>
            <c:numRef>
              <c:f>HIPOTESIS!$C$43:$C$46</c:f>
              <c:numCache>
                <c:formatCode>0.00%</c:formatCode>
                <c:ptCount val="4"/>
                <c:pt idx="0">
                  <c:v>0.09</c:v>
                </c:pt>
                <c:pt idx="1">
                  <c:v>0.15</c:v>
                </c:pt>
                <c:pt idx="2">
                  <c:v>0.05</c:v>
                </c:pt>
                <c:pt idx="3">
                  <c:v>0.71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255" l="0.70000000000000062" r="0.70000000000000062" t="0.750000000000002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Escenario Actual</a:t>
            </a:r>
          </a:p>
        </c:rich>
      </c:tx>
      <c:layout/>
      <c:overlay val="0"/>
      <c:spPr>
        <a:noFill/>
        <a:ln>
          <a:noFill/>
        </a:ln>
        <a:effectLst/>
      </c:spPr>
    </c:title>
    <c:autoTitleDeleted val="0"/>
    <c:plotArea>
      <c:layout>
        <c:manualLayout>
          <c:layoutTarget val="inner"/>
          <c:xMode val="edge"/>
          <c:yMode val="edge"/>
          <c:x val="8.7048734292828764E-2"/>
          <c:y val="0.1061880341880342"/>
          <c:w val="0.29724053724053723"/>
          <c:h val="0.83227350427350433"/>
        </c:manualLayout>
      </c:layout>
      <c:pieChart>
        <c:varyColors val="1"/>
        <c:ser>
          <c:idx val="3"/>
          <c:order val="0"/>
          <c:tx>
            <c:strRef>
              <c:f>HIPOTESIS!$D$24</c:f>
              <c:strCache>
                <c:ptCount val="1"/>
                <c:pt idx="0">
                  <c:v>Monto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solidFill>
                <a:schemeClr val="bg2">
                  <a:lumMod val="75000"/>
                </a:schemeClr>
              </a:soli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HIPOTESIS!$B$25:$B$27</c:f>
              <c:strCache>
                <c:ptCount val="3"/>
                <c:pt idx="0">
                  <c:v>Digital Express</c:v>
                </c:pt>
                <c:pt idx="1">
                  <c:v>Mobile Systems</c:v>
                </c:pt>
                <c:pt idx="2">
                  <c:v>Otros (Custom, sin cobertura)</c:v>
                </c:pt>
              </c:strCache>
            </c:strRef>
          </c:cat>
          <c:val>
            <c:numRef>
              <c:f>HIPOTESIS!$D$25:$D$27</c:f>
              <c:numCache>
                <c:formatCode>_ "$"\ * #,##0_ ;_ "$"\ * \-#,##0_ ;_ "$"\ * "-"??_ ;_ @_ </c:formatCode>
                <c:ptCount val="3"/>
                <c:pt idx="0">
                  <c:v>196173900</c:v>
                </c:pt>
                <c:pt idx="1">
                  <c:v>326956500</c:v>
                </c:pt>
                <c:pt idx="2">
                  <c:v>1656579600</c:v>
                </c:pt>
              </c:numCache>
            </c:numRef>
          </c:val>
        </c:ser>
        <c:ser>
          <c:idx val="2"/>
          <c:order val="1"/>
          <c:tx>
            <c:strRef>
              <c:f>HIPOTESIS!$C$24</c:f>
              <c:strCache>
                <c:ptCount val="1"/>
                <c:pt idx="0">
                  <c:v>Participación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HIPOTESIS!$B$25:$B$27</c:f>
              <c:strCache>
                <c:ptCount val="3"/>
                <c:pt idx="0">
                  <c:v>Digital Express</c:v>
                </c:pt>
                <c:pt idx="1">
                  <c:v>Mobile Systems</c:v>
                </c:pt>
                <c:pt idx="2">
                  <c:v>Otros (Custom, sin cobertura)</c:v>
                </c:pt>
              </c:strCache>
            </c:strRef>
          </c:cat>
          <c:val>
            <c:numRef>
              <c:f>HIPOTESIS!$C$25:$C$27</c:f>
              <c:numCache>
                <c:formatCode>0.00%</c:formatCode>
                <c:ptCount val="3"/>
                <c:pt idx="0">
                  <c:v>0.09</c:v>
                </c:pt>
                <c:pt idx="1">
                  <c:v>0.15</c:v>
                </c:pt>
                <c:pt idx="2">
                  <c:v>0.76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4623210560218427"/>
          <c:y val="0.26978666128272422"/>
          <c:w val="0.28300118576548489"/>
          <c:h val="0.55338905713708864"/>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278" l="0.70000000000000062" r="0.70000000000000062" t="0.750000000000002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Crecimiento</a:t>
            </a:r>
          </a:p>
        </c:rich>
      </c:tx>
      <c:overlay val="0"/>
      <c:spPr>
        <a:noFill/>
        <a:ln>
          <a:noFill/>
        </a:ln>
        <a:effectLst/>
      </c:spPr>
    </c:title>
    <c:autoTitleDeleted val="0"/>
    <c:plotArea>
      <c:layout/>
      <c:barChart>
        <c:barDir val="col"/>
        <c:grouping val="clustered"/>
        <c:varyColors val="0"/>
        <c:ser>
          <c:idx val="0"/>
          <c:order val="0"/>
          <c:tx>
            <c:strRef>
              <c:f>HIPOTESIS!$C$64</c:f>
              <c:strCache>
                <c:ptCount val="1"/>
                <c:pt idx="0">
                  <c:v>Participación</c:v>
                </c:pt>
              </c:strCache>
            </c:strRef>
          </c:tx>
          <c:spPr>
            <a:gradFill>
              <a:gsLst>
                <a:gs pos="0">
                  <a:schemeClr val="accent4">
                    <a:lumMod val="50000"/>
                  </a:schemeClr>
                </a:gs>
                <a:gs pos="50000">
                  <a:schemeClr val="accent4">
                    <a:lumMod val="60000"/>
                    <a:lumOff val="40000"/>
                  </a:schemeClr>
                </a:gs>
                <a:gs pos="100000">
                  <a:schemeClr val="accent4">
                    <a:lumMod val="40000"/>
                    <a:lumOff val="60000"/>
                  </a:schemeClr>
                </a:gs>
              </a:gsLst>
              <a:lin ang="16200000" scaled="1"/>
            </a:gradFill>
            <a:ln>
              <a:noFill/>
            </a:ln>
            <a:effectLst>
              <a:outerShdw blurRad="57150" dist="19050" dir="5400000" algn="ctr" rotWithShape="0">
                <a:srgbClr val="000000">
                  <a:alpha val="63000"/>
                </a:srgbClr>
              </a:outerShdw>
            </a:effectLst>
          </c:spPr>
          <c:invertIfNegative val="0"/>
          <c:cat>
            <c:strRef>
              <c:f>HIPOTESIS!$B$65:$B$67</c:f>
              <c:strCache>
                <c:ptCount val="3"/>
                <c:pt idx="0">
                  <c:v>1er AÑO</c:v>
                </c:pt>
                <c:pt idx="1">
                  <c:v>2do AÑO</c:v>
                </c:pt>
                <c:pt idx="2">
                  <c:v>3er AÑO</c:v>
                </c:pt>
              </c:strCache>
            </c:strRef>
          </c:cat>
          <c:val>
            <c:numRef>
              <c:f>HIPOTESIS!$C$65:$C$67</c:f>
              <c:numCache>
                <c:formatCode>0.00%</c:formatCode>
                <c:ptCount val="3"/>
                <c:pt idx="0">
                  <c:v>0.01</c:v>
                </c:pt>
                <c:pt idx="1">
                  <c:v>0.03</c:v>
                </c:pt>
                <c:pt idx="2">
                  <c:v>0.05</c:v>
                </c:pt>
              </c:numCache>
            </c:numRef>
          </c:val>
        </c:ser>
        <c:dLbls>
          <c:showLegendKey val="0"/>
          <c:showVal val="0"/>
          <c:showCatName val="0"/>
          <c:showSerName val="0"/>
          <c:showPercent val="0"/>
          <c:showBubbleSize val="0"/>
        </c:dLbls>
        <c:gapWidth val="100"/>
        <c:overlap val="-24"/>
        <c:axId val="122979472"/>
        <c:axId val="122981104"/>
      </c:barChart>
      <c:catAx>
        <c:axId val="122979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1104"/>
        <c:crosses val="autoZero"/>
        <c:auto val="1"/>
        <c:lblAlgn val="ctr"/>
        <c:lblOffset val="100"/>
        <c:noMultiLvlLbl val="0"/>
      </c:catAx>
      <c:valAx>
        <c:axId val="122981104"/>
        <c:scaling>
          <c:orientation val="minMax"/>
          <c:max val="5.000000000000001E-2"/>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txPr>
          <a:bodyPr rot="-60000000" vert="horz"/>
          <a:lstStyle/>
          <a:p>
            <a:pPr>
              <a:defRPr/>
            </a:pPr>
            <a:endParaRPr lang="en-US"/>
          </a:p>
        </c:txPr>
        <c:crossAx val="122979472"/>
        <c:crosses val="autoZero"/>
        <c:crossBetween val="between"/>
      </c:valAx>
      <c:spPr>
        <a:solidFill>
          <a:schemeClr val="bg1">
            <a:lumMod val="95000"/>
          </a:schemeClr>
        </a:solid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i="0" baseline="0"/>
              <a:t>Punto de Equilibrio</a:t>
            </a:r>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'CALCULO COSTO UNITARIO'!$AL$49</c:f>
              <c:strCache>
                <c:ptCount val="1"/>
                <c:pt idx="0">
                  <c:v>Ventas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'CALCULO COSTO UNITARIO'!$AK$50:$AK$54</c:f>
              <c:numCache>
                <c:formatCode>General</c:formatCode>
                <c:ptCount val="5"/>
                <c:pt idx="0">
                  <c:v>0</c:v>
                </c:pt>
                <c:pt idx="1">
                  <c:v>834</c:v>
                </c:pt>
                <c:pt idx="2">
                  <c:v>3000</c:v>
                </c:pt>
                <c:pt idx="3">
                  <c:v>6586</c:v>
                </c:pt>
                <c:pt idx="4">
                  <c:v>6211.220869565218</c:v>
                </c:pt>
              </c:numCache>
            </c:numRef>
          </c:xVal>
          <c:yVal>
            <c:numRef>
              <c:f>'CALCULO COSTO UNITARIO'!$AL$50:$AL$54</c:f>
              <c:numCache>
                <c:formatCode>General</c:formatCode>
                <c:ptCount val="5"/>
                <c:pt idx="0">
                  <c:v>0</c:v>
                </c:pt>
                <c:pt idx="1">
                  <c:v>1251000</c:v>
                </c:pt>
                <c:pt idx="2">
                  <c:v>4500000</c:v>
                </c:pt>
                <c:pt idx="3">
                  <c:v>9879000</c:v>
                </c:pt>
                <c:pt idx="4">
                  <c:v>9316831.3043478262</c:v>
                </c:pt>
              </c:numCache>
            </c:numRef>
          </c:yVal>
          <c:smooth val="0"/>
        </c:ser>
        <c:ser>
          <c:idx val="1"/>
          <c:order val="1"/>
          <c:tx>
            <c:strRef>
              <c:f>'CALCULO COSTO UNITARIO'!$AM$49</c:f>
              <c:strCache>
                <c:ptCount val="1"/>
                <c:pt idx="0">
                  <c:v>Costos fijos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'CALCULO COSTO UNITARIO'!$AK$50:$AK$54</c:f>
              <c:numCache>
                <c:formatCode>General</c:formatCode>
                <c:ptCount val="5"/>
                <c:pt idx="0">
                  <c:v>0</c:v>
                </c:pt>
                <c:pt idx="1">
                  <c:v>834</c:v>
                </c:pt>
                <c:pt idx="2">
                  <c:v>3000</c:v>
                </c:pt>
                <c:pt idx="3">
                  <c:v>6586</c:v>
                </c:pt>
                <c:pt idx="4">
                  <c:v>6211.220869565218</c:v>
                </c:pt>
              </c:numCache>
            </c:numRef>
          </c:xVal>
          <c:yVal>
            <c:numRef>
              <c:f>'CALCULO COSTO UNITARIO'!$AM$50:$AM$54</c:f>
              <c:numCache>
                <c:formatCode>General</c:formatCode>
                <c:ptCount val="5"/>
                <c:pt idx="0">
                  <c:v>8571484.8000000007</c:v>
                </c:pt>
                <c:pt idx="1">
                  <c:v>8571484.8000000007</c:v>
                </c:pt>
                <c:pt idx="2">
                  <c:v>8571484.8000000007</c:v>
                </c:pt>
                <c:pt idx="3">
                  <c:v>8571484.8000000007</c:v>
                </c:pt>
                <c:pt idx="4">
                  <c:v>8571484.8000000007</c:v>
                </c:pt>
              </c:numCache>
            </c:numRef>
          </c:yVal>
          <c:smooth val="0"/>
        </c:ser>
        <c:ser>
          <c:idx val="2"/>
          <c:order val="2"/>
          <c:tx>
            <c:strRef>
              <c:f>'CALCULO COSTO UNITARIO'!$AO$49</c:f>
              <c:strCache>
                <c:ptCount val="1"/>
                <c:pt idx="0">
                  <c:v>Costo Variable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'CALCULO COSTO UNITARIO'!$AK$50:$AK$54</c:f>
              <c:numCache>
                <c:formatCode>General</c:formatCode>
                <c:ptCount val="5"/>
                <c:pt idx="0">
                  <c:v>0</c:v>
                </c:pt>
                <c:pt idx="1">
                  <c:v>834</c:v>
                </c:pt>
                <c:pt idx="2">
                  <c:v>3000</c:v>
                </c:pt>
                <c:pt idx="3">
                  <c:v>6586</c:v>
                </c:pt>
                <c:pt idx="4">
                  <c:v>6211.220869565218</c:v>
                </c:pt>
              </c:numCache>
            </c:numRef>
          </c:xVal>
          <c:yVal>
            <c:numRef>
              <c:f>'CALCULO COSTO UNITARIO'!$AO$50:$AO$54</c:f>
              <c:numCache>
                <c:formatCode>General</c:formatCode>
                <c:ptCount val="5"/>
                <c:pt idx="0">
                  <c:v>0</c:v>
                </c:pt>
                <c:pt idx="1">
                  <c:v>101966.82052839357</c:v>
                </c:pt>
                <c:pt idx="2">
                  <c:v>366787.12420285452</c:v>
                </c:pt>
                <c:pt idx="3">
                  <c:v>805220</c:v>
                </c:pt>
                <c:pt idx="4">
                  <c:v>759398.61351219332</c:v>
                </c:pt>
              </c:numCache>
            </c:numRef>
          </c:yVal>
          <c:smooth val="0"/>
        </c:ser>
        <c:ser>
          <c:idx val="3"/>
          <c:order val="3"/>
          <c:tx>
            <c:strRef>
              <c:f>'CALCULO COSTO UNITARIO'!$AP$49</c:f>
              <c:strCache>
                <c:ptCount val="1"/>
                <c:pt idx="0">
                  <c:v>costo total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'CALCULO COSTO UNITARIO'!$AK$50:$AK$54</c:f>
              <c:numCache>
                <c:formatCode>General</c:formatCode>
                <c:ptCount val="5"/>
                <c:pt idx="0">
                  <c:v>0</c:v>
                </c:pt>
                <c:pt idx="1">
                  <c:v>834</c:v>
                </c:pt>
                <c:pt idx="2">
                  <c:v>3000</c:v>
                </c:pt>
                <c:pt idx="3">
                  <c:v>6586</c:v>
                </c:pt>
                <c:pt idx="4">
                  <c:v>6211.220869565218</c:v>
                </c:pt>
              </c:numCache>
            </c:numRef>
          </c:xVal>
          <c:yVal>
            <c:numRef>
              <c:f>'CALCULO COSTO UNITARIO'!$AP$50:$AP$54</c:f>
              <c:numCache>
                <c:formatCode>General</c:formatCode>
                <c:ptCount val="5"/>
                <c:pt idx="0">
                  <c:v>8571484.8000000007</c:v>
                </c:pt>
                <c:pt idx="1">
                  <c:v>8673451.6205283944</c:v>
                </c:pt>
                <c:pt idx="2">
                  <c:v>8938271.9242028557</c:v>
                </c:pt>
                <c:pt idx="3">
                  <c:v>9376704.8000000007</c:v>
                </c:pt>
                <c:pt idx="4">
                  <c:v>9330883.4135121945</c:v>
                </c:pt>
              </c:numCache>
            </c:numRef>
          </c:yVal>
          <c:smooth val="0"/>
        </c:ser>
        <c:dLbls>
          <c:showLegendKey val="0"/>
          <c:showVal val="0"/>
          <c:showCatName val="0"/>
          <c:showSerName val="0"/>
          <c:showPercent val="0"/>
          <c:showBubbleSize val="0"/>
        </c:dLbls>
        <c:axId val="122971312"/>
        <c:axId val="122971856"/>
      </c:scatterChart>
      <c:valAx>
        <c:axId val="122971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i="0" baseline="0"/>
                  <a:t>Cantidad de Licencias vendidas</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71856"/>
        <c:crosses val="autoZero"/>
        <c:crossBetween val="midCat"/>
      </c:valAx>
      <c:valAx>
        <c:axId val="12297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i="0" baseline="0"/>
                  <a:t>Ventas  (ARS)</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71312"/>
        <c:crosses val="autoZero"/>
        <c:crossBetween val="midCat"/>
      </c:valAx>
      <c:spPr>
        <a:noFill/>
        <a:ln>
          <a:noFill/>
        </a:ln>
        <a:effectLst/>
      </c:spPr>
    </c:plotArea>
    <c:legend>
      <c:legendPos val="r"/>
      <c:layout>
        <c:manualLayout>
          <c:xMode val="edge"/>
          <c:yMode val="edge"/>
          <c:x val="0.84415596338896304"/>
          <c:y val="0.36037590090544785"/>
          <c:w val="0.14761358482512071"/>
          <c:h val="0.2333578537757275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666748</xdr:colOff>
      <xdr:row>47</xdr:row>
      <xdr:rowOff>9525</xdr:rowOff>
    </xdr:from>
    <xdr:to>
      <xdr:col>3</xdr:col>
      <xdr:colOff>752474</xdr:colOff>
      <xdr:row>59</xdr:row>
      <xdr:rowOff>104775</xdr:rowOff>
    </xdr:to>
    <xdr:graphicFrame macro="">
      <xdr:nvGraphicFramePr>
        <xdr:cNvPr id="1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647700</xdr:colOff>
      <xdr:row>28</xdr:row>
      <xdr:rowOff>47625</xdr:rowOff>
    </xdr:from>
    <xdr:to>
      <xdr:col>3</xdr:col>
      <xdr:colOff>762000</xdr:colOff>
      <xdr:row>38</xdr:row>
      <xdr:rowOff>0</xdr:rowOff>
    </xdr:to>
    <xdr:graphicFrame macro="">
      <xdr:nvGraphicFramePr>
        <xdr:cNvPr id="1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523876</xdr:colOff>
      <xdr:row>68</xdr:row>
      <xdr:rowOff>152400</xdr:rowOff>
    </xdr:from>
    <xdr:to>
      <xdr:col>3</xdr:col>
      <xdr:colOff>381000</xdr:colOff>
      <xdr:row>79</xdr:row>
      <xdr:rowOff>9525</xdr:rowOff>
    </xdr:to>
    <xdr:graphicFrame macro="">
      <xdr:nvGraphicFramePr>
        <xdr:cNvPr id="17"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32</xdr:col>
      <xdr:colOff>561974</xdr:colOff>
      <xdr:row>58</xdr:row>
      <xdr:rowOff>85725</xdr:rowOff>
    </xdr:from>
    <xdr:to>
      <xdr:col>45</xdr:col>
      <xdr:colOff>549088</xdr:colOff>
      <xdr:row>93</xdr:row>
      <xdr:rowOff>123265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87" name="Table49" displayName="Table49" ref="B24:D27" totalsRowShown="0" headerRowDxfId="14" dataDxfId="13">
  <tableColumns count="3">
    <tableColumn id="1" name="Empresas" dataDxfId="12"/>
    <tableColumn id="2" name="Participación" dataDxfId="11"/>
    <tableColumn id="3" name="Monto" dataDxfId="10">
      <calculatedColumnFormula>Table49[[#This Row],[Participación]]*$C$17</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89" name="Table611" displayName="Table611" ref="B64:D67" totalsRowShown="0" headerRowDxfId="9" dataDxfId="8">
  <tableColumns count="3">
    <tableColumn id="1" name="Periodo" dataDxfId="7"/>
    <tableColumn id="2" name="Participación" dataDxfId="6"/>
    <tableColumn id="3" name="Monto" dataDxfId="5">
      <calculatedColumnFormula>Table611[[#This Row],[Participación]]*$C$17</calculatedColumnFormula>
    </tableColumn>
  </tableColumns>
  <tableStyleInfo name="TableStyleMedium9" showFirstColumn="0" showLastColumn="0" showRowStripes="1" showColumnStripes="0"/>
</table>
</file>

<file path=xl/tables/table3.xml><?xml version="1.0" encoding="utf-8"?>
<table xmlns="http://schemas.openxmlformats.org/spreadsheetml/2006/main" id="88" name="Table4610" displayName="Table4610" ref="B42:D46" totalsRowShown="0" headerRowDxfId="4" dataDxfId="3">
  <tableColumns count="3">
    <tableColumn id="1" name="Empresas" dataDxfId="2"/>
    <tableColumn id="2" name="Participación" dataDxfId="1"/>
    <tableColumn id="3" name="Monto" dataDxfId="0">
      <calculatedColumnFormula>Table4610[[#This Row],[Participación]]*$C$17</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zonaprop.com.ar/propiedades/ph-planta-baja-sin-expensas-100-m-comercial-tres-41226641.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articulo.mercadolibre.com.ar/MLA-539627330-puesto-de-trabajo-platinum-escritorio-esquinero-mesa-pc-_J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election activeCell="C18" sqref="C18"/>
    </sheetView>
  </sheetViews>
  <sheetFormatPr defaultRowHeight="15" x14ac:dyDescent="0.25"/>
  <cols>
    <col min="1" max="1" width="34.5703125" customWidth="1"/>
    <col min="2" max="2" width="12.140625" bestFit="1" customWidth="1"/>
    <col min="3" max="5" width="16.85546875" customWidth="1"/>
    <col min="6" max="6" width="13.85546875" bestFit="1" customWidth="1"/>
    <col min="9" max="9" width="12.7109375" bestFit="1" customWidth="1"/>
  </cols>
  <sheetData>
    <row r="1" spans="1:9" ht="36" x14ac:dyDescent="0.55000000000000004">
      <c r="A1" s="97" t="s">
        <v>197</v>
      </c>
      <c r="B1" s="97"/>
      <c r="C1" s="97"/>
      <c r="D1" s="97"/>
      <c r="E1" s="97"/>
    </row>
    <row r="2" spans="1:9" x14ac:dyDescent="0.25">
      <c r="A2" s="70"/>
      <c r="B2" s="71"/>
      <c r="C2" s="72"/>
      <c r="D2" s="72"/>
      <c r="E2" s="72"/>
    </row>
    <row r="3" spans="1:9" ht="15.75" thickBot="1" x14ac:dyDescent="0.3">
      <c r="A3" s="57"/>
      <c r="B3" s="57" t="s">
        <v>198</v>
      </c>
      <c r="C3" s="57" t="s">
        <v>199</v>
      </c>
      <c r="D3" s="57" t="s">
        <v>200</v>
      </c>
      <c r="E3" s="57" t="s">
        <v>201</v>
      </c>
    </row>
    <row r="4" spans="1:9" ht="15.75" thickTop="1" x14ac:dyDescent="0.25">
      <c r="A4" s="95" t="s">
        <v>210</v>
      </c>
      <c r="B4" s="95"/>
      <c r="C4" s="95"/>
      <c r="D4" s="95"/>
      <c r="E4" s="96"/>
    </row>
    <row r="5" spans="1:9" x14ac:dyDescent="0.25">
      <c r="A5" s="33" t="s">
        <v>202</v>
      </c>
      <c r="B5" s="12"/>
      <c r="C5" s="12">
        <f>'MODELO DE INGRESOS'!C15</f>
        <v>1407000</v>
      </c>
      <c r="D5" s="12">
        <f>'MODELO DE INGRESOS'!E15</f>
        <v>3884800</v>
      </c>
      <c r="E5" s="12">
        <f>'MODELO DE INGRESOS'!G15</f>
        <v>6217600</v>
      </c>
      <c r="I5" t="s">
        <v>238</v>
      </c>
    </row>
    <row r="6" spans="1:9" ht="15.75" thickBot="1" x14ac:dyDescent="0.3">
      <c r="A6" s="36" t="s">
        <v>0</v>
      </c>
      <c r="B6" s="37"/>
      <c r="C6" s="84">
        <f>C5</f>
        <v>1407000</v>
      </c>
      <c r="D6" s="84">
        <f>D5</f>
        <v>3884800</v>
      </c>
      <c r="E6" s="84">
        <f>E5</f>
        <v>6217600</v>
      </c>
      <c r="F6" s="86">
        <f>SUM(C6:E6)</f>
        <v>11509400</v>
      </c>
      <c r="I6" s="87">
        <f>(F6-F8)/B20*100*-1</f>
        <v>550.17438497652563</v>
      </c>
    </row>
    <row r="7" spans="1:9" ht="15.75" thickTop="1" x14ac:dyDescent="0.25">
      <c r="A7" s="93" t="s">
        <v>211</v>
      </c>
      <c r="B7" s="93"/>
      <c r="C7" s="93"/>
      <c r="D7" s="93"/>
      <c r="E7" s="94"/>
    </row>
    <row r="8" spans="1:9" x14ac:dyDescent="0.25">
      <c r="A8" s="33" t="s">
        <v>101</v>
      </c>
      <c r="B8" s="12"/>
      <c r="C8" s="12">
        <f>'COSTOS VARIABLES'!Y13*-1</f>
        <v>-92100</v>
      </c>
      <c r="D8" s="12">
        <f>'COSTOS VARIABLES'!Y27*-1</f>
        <v>-223240</v>
      </c>
      <c r="E8" s="12">
        <f>'COSTOS VARIABLES'!Y41*-1</f>
        <v>-339880</v>
      </c>
      <c r="F8" s="87">
        <f>SUM(C8:E9,C15:E15)*-1+B20*-1</f>
        <v>9985967.1280000005</v>
      </c>
    </row>
    <row r="9" spans="1:9" x14ac:dyDescent="0.25">
      <c r="A9" s="33" t="s">
        <v>88</v>
      </c>
      <c r="B9" s="12"/>
      <c r="C9" s="12">
        <f>('COSTOS FIJOS'!$N$25*-1)+('COSTOS RRHH'!C31*-1)</f>
        <v>-2522070</v>
      </c>
      <c r="D9" s="12">
        <f>('COSTOS FIJOS'!$N$25*-1*$H$9)+('COSTOS RRHH'!E31*-1)</f>
        <v>-2841984</v>
      </c>
      <c r="E9" s="12">
        <f>('COSTOS FIJOS'!$N$25*-1*$H$9*$H$9)+('COSTOS RRHH'!G31*-1)</f>
        <v>-3207430.8</v>
      </c>
      <c r="G9" t="s">
        <v>209</v>
      </c>
      <c r="H9">
        <v>1.2</v>
      </c>
    </row>
    <row r="10" spans="1:9" x14ac:dyDescent="0.25">
      <c r="A10" s="33" t="s">
        <v>155</v>
      </c>
      <c r="B10" s="12"/>
      <c r="C10" s="12">
        <f>AMORTIZACIONES!C16*-1</f>
        <v>-22210</v>
      </c>
      <c r="D10" s="12">
        <f>AMORTIZACIONES!D16*-1</f>
        <v>-22210</v>
      </c>
      <c r="E10" s="12">
        <f>AMORTIZACIONES!E16*-1</f>
        <v>-22210</v>
      </c>
    </row>
    <row r="11" spans="1:9" ht="15.75" thickBot="1" x14ac:dyDescent="0.3">
      <c r="A11" s="36" t="s">
        <v>0</v>
      </c>
      <c r="B11" s="37"/>
      <c r="C11" s="84">
        <f>SUM(C8:C10)</f>
        <v>-2636380</v>
      </c>
      <c r="D11" s="84">
        <f>SUM(D8:D10)</f>
        <v>-3087434</v>
      </c>
      <c r="E11" s="84">
        <f>SUM(E8:E10)</f>
        <v>-3569520.8</v>
      </c>
    </row>
    <row r="12" spans="1:9" ht="15.75" thickTop="1" x14ac:dyDescent="0.25">
      <c r="A12" s="33"/>
      <c r="B12" s="12"/>
      <c r="C12" s="12"/>
      <c r="D12" s="12"/>
      <c r="E12" s="12"/>
    </row>
    <row r="13" spans="1:9" ht="15.75" thickBot="1" x14ac:dyDescent="0.3">
      <c r="A13" s="36" t="s">
        <v>203</v>
      </c>
      <c r="B13" s="37"/>
      <c r="C13" s="84">
        <f>+C6+C11</f>
        <v>-1229380</v>
      </c>
      <c r="D13" s="84">
        <f>+D6+D11</f>
        <v>797366</v>
      </c>
      <c r="E13" s="84">
        <f>+E6+E11</f>
        <v>2648079.2000000002</v>
      </c>
    </row>
    <row r="14" spans="1:9" ht="15.75" thickTop="1" x14ac:dyDescent="0.25">
      <c r="A14" s="33"/>
      <c r="B14" s="12"/>
      <c r="C14" s="12"/>
      <c r="D14" s="12"/>
      <c r="E14" s="12"/>
    </row>
    <row r="15" spans="1:9" ht="15.75" thickBot="1" x14ac:dyDescent="0.3">
      <c r="A15" s="36" t="s">
        <v>230</v>
      </c>
      <c r="B15" s="83">
        <v>0.14000000000000001</v>
      </c>
      <c r="C15" s="84">
        <f>IF(C13&lt;0,0,-C13*$B$15)</f>
        <v>0</v>
      </c>
      <c r="D15" s="84">
        <f>IF(D13&lt;0,0,-D13*$B$15)</f>
        <v>-111631.24</v>
      </c>
      <c r="E15" s="84">
        <f>IF(E13&lt;0,0,-E13*$B$15)</f>
        <v>-370731.08800000005</v>
      </c>
    </row>
    <row r="16" spans="1:9" ht="15.75" thickTop="1" x14ac:dyDescent="0.25">
      <c r="A16" s="33"/>
      <c r="B16" s="12"/>
      <c r="C16" s="12"/>
      <c r="D16" s="12"/>
      <c r="E16" s="12"/>
    </row>
    <row r="17" spans="1:7" ht="15.75" thickBot="1" x14ac:dyDescent="0.3">
      <c r="A17" s="36" t="s">
        <v>204</v>
      </c>
      <c r="B17" s="37"/>
      <c r="C17" s="84">
        <f>C15+C13</f>
        <v>-1229380</v>
      </c>
      <c r="D17" s="84">
        <f>D15+D13</f>
        <v>685734.76</v>
      </c>
      <c r="E17" s="84">
        <f>E15+E13</f>
        <v>2277348.1120000002</v>
      </c>
    </row>
    <row r="18" spans="1:7" ht="15.75" thickTop="1" x14ac:dyDescent="0.25">
      <c r="A18" s="33"/>
      <c r="B18" s="12"/>
      <c r="C18" s="12"/>
      <c r="D18" s="12"/>
      <c r="E18" s="12"/>
    </row>
    <row r="19" spans="1:7" x14ac:dyDescent="0.25">
      <c r="A19" s="33" t="s">
        <v>155</v>
      </c>
      <c r="B19" s="12"/>
      <c r="C19" s="12">
        <f>C10*-1</f>
        <v>22210</v>
      </c>
      <c r="D19" s="12">
        <f>D10*-1</f>
        <v>22210</v>
      </c>
      <c r="E19" s="12">
        <f>E10*-1</f>
        <v>22210</v>
      </c>
    </row>
    <row r="20" spans="1:7" ht="15.75" thickBot="1" x14ac:dyDescent="0.3">
      <c r="A20" s="36" t="s">
        <v>205</v>
      </c>
      <c r="B20" s="84">
        <f>'MODELO DE INVERSION INICIAL'!D20*-1</f>
        <v>-276900</v>
      </c>
      <c r="C20" s="84">
        <f>SUM(C17:C19)</f>
        <v>-1207170</v>
      </c>
      <c r="D20" s="84">
        <f>SUM(D17:D19)</f>
        <v>707944.76</v>
      </c>
      <c r="E20" s="84">
        <f>SUM(E17:E19)</f>
        <v>2299558.1120000002</v>
      </c>
    </row>
    <row r="21" spans="1:7" ht="15.75" thickTop="1" x14ac:dyDescent="0.25">
      <c r="A21" s="73"/>
      <c r="B21" s="75"/>
      <c r="C21" s="75"/>
      <c r="D21" s="75"/>
      <c r="E21" s="75"/>
    </row>
    <row r="22" spans="1:7" x14ac:dyDescent="0.25">
      <c r="A22" s="89" t="s">
        <v>206</v>
      </c>
      <c r="B22" s="90">
        <v>0.215</v>
      </c>
      <c r="C22" s="74"/>
      <c r="D22" s="74"/>
      <c r="E22" s="74"/>
    </row>
    <row r="23" spans="1:7" x14ac:dyDescent="0.25">
      <c r="A23" s="12" t="s">
        <v>207</v>
      </c>
      <c r="B23" s="12">
        <f>NPV(B22,C20,D20,E20)+B20</f>
        <v>491189.98045635107</v>
      </c>
      <c r="C23" s="76"/>
      <c r="D23" s="76"/>
      <c r="E23" s="76"/>
    </row>
    <row r="24" spans="1:7" ht="18.75" x14ac:dyDescent="0.3">
      <c r="A24" s="91" t="s">
        <v>208</v>
      </c>
      <c r="B24" s="92">
        <f>IRR(B20:E20,30)</f>
        <v>0.43754576093742648</v>
      </c>
      <c r="C24" s="76"/>
      <c r="D24" s="76"/>
      <c r="E24" s="76"/>
    </row>
    <row r="31" spans="1:7" x14ac:dyDescent="0.25">
      <c r="E31" s="88">
        <v>0</v>
      </c>
      <c r="F31" s="86">
        <f>B20</f>
        <v>-276900</v>
      </c>
      <c r="G31">
        <f>F31/(1+0.215)^E31</f>
        <v>-276900</v>
      </c>
    </row>
    <row r="32" spans="1:7" x14ac:dyDescent="0.25">
      <c r="E32" s="88">
        <v>1</v>
      </c>
      <c r="F32" s="86">
        <f>C20</f>
        <v>-1207170</v>
      </c>
      <c r="G32">
        <f>F32/(1+0.215)^E32</f>
        <v>-993555.5555555555</v>
      </c>
    </row>
    <row r="33" spans="5:7" x14ac:dyDescent="0.25">
      <c r="E33" s="88">
        <v>2</v>
      </c>
      <c r="F33" s="86">
        <f>D20</f>
        <v>707944.76</v>
      </c>
      <c r="G33">
        <f>F33/(1+0.215)^E33</f>
        <v>479564.26696472417</v>
      </c>
    </row>
    <row r="34" spans="5:7" x14ac:dyDescent="0.25">
      <c r="E34" s="88">
        <v>3</v>
      </c>
      <c r="F34" s="86">
        <f>E20</f>
        <v>2299558.1120000002</v>
      </c>
      <c r="G34">
        <f>F34/(1+0.215)^E34</f>
        <v>1282081.2690471823</v>
      </c>
    </row>
    <row r="35" spans="5:7" x14ac:dyDescent="0.25">
      <c r="F35" t="s">
        <v>207</v>
      </c>
      <c r="G35">
        <f>SUM(G31:G34)</f>
        <v>491189.98045635095</v>
      </c>
    </row>
  </sheetData>
  <mergeCells count="3">
    <mergeCell ref="A7:E7"/>
    <mergeCell ref="A4:E4"/>
    <mergeCell ref="A1:E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zoomScaleNormal="100" zoomScalePageLayoutView="90" workbookViewId="0">
      <selection activeCell="E3" sqref="E3"/>
    </sheetView>
  </sheetViews>
  <sheetFormatPr defaultColWidth="11.42578125" defaultRowHeight="15" x14ac:dyDescent="0.25"/>
  <cols>
    <col min="1" max="1" width="31.28515625" bestFit="1" customWidth="1"/>
    <col min="2" max="2" width="12" customWidth="1"/>
    <col min="3" max="5" width="12.42578125" bestFit="1" customWidth="1"/>
  </cols>
  <sheetData>
    <row r="1" spans="1:5" ht="36" x14ac:dyDescent="0.55000000000000004">
      <c r="A1" s="97" t="s">
        <v>155</v>
      </c>
      <c r="B1" s="97"/>
      <c r="C1" s="97"/>
      <c r="D1" s="97"/>
      <c r="E1" s="97"/>
    </row>
    <row r="3" spans="1:5" x14ac:dyDescent="0.25">
      <c r="A3" s="4" t="s">
        <v>43</v>
      </c>
      <c r="B3" s="4" t="s">
        <v>156</v>
      </c>
      <c r="C3" s="4">
        <v>1</v>
      </c>
      <c r="D3" s="4">
        <v>2</v>
      </c>
      <c r="E3" s="4">
        <v>3</v>
      </c>
    </row>
    <row r="4" spans="1:5" ht="15.75" thickBot="1" x14ac:dyDescent="0.3">
      <c r="A4" s="4" t="s">
        <v>157</v>
      </c>
      <c r="B4" s="4"/>
      <c r="C4" s="4"/>
      <c r="D4" s="4"/>
      <c r="E4" s="4"/>
    </row>
    <row r="5" spans="1:5" ht="15.75" thickTop="1" x14ac:dyDescent="0.25">
      <c r="A5" s="14" t="str">
        <f>'MODELO DE INVERSION INICIAL'!$A7</f>
        <v>Escritorios</v>
      </c>
      <c r="B5" s="9">
        <v>10</v>
      </c>
      <c r="C5" s="10">
        <f>'MODELO DE INVERSION INICIAL'!$D7/$B5</f>
        <v>600</v>
      </c>
      <c r="D5" s="10">
        <f>'MODELO DE INVERSION INICIAL'!$D7/$B5</f>
        <v>600</v>
      </c>
      <c r="E5" s="10">
        <f>'MODELO DE INVERSION INICIAL'!$D7/$B5</f>
        <v>600</v>
      </c>
    </row>
    <row r="6" spans="1:5" ht="15.75" thickBot="1" x14ac:dyDescent="0.3">
      <c r="A6" s="14" t="str">
        <f>'MODELO DE INVERSION INICIAL'!$A8</f>
        <v>Sillas</v>
      </c>
      <c r="B6" s="11">
        <v>10</v>
      </c>
      <c r="C6" s="12">
        <f>'MODELO DE INVERSION INICIAL'!$D8/$B6</f>
        <v>700</v>
      </c>
      <c r="D6" s="12">
        <f>'MODELO DE INVERSION INICIAL'!$D8/$B6</f>
        <v>700</v>
      </c>
      <c r="E6" s="12">
        <f>'MODELO DE INVERSION INICIAL'!$D8/$B6</f>
        <v>700</v>
      </c>
    </row>
    <row r="7" spans="1:5" ht="15.75" thickTop="1" x14ac:dyDescent="0.25">
      <c r="A7" s="14" t="str">
        <f>'MODELO DE INVERSION INICIAL'!$A9</f>
        <v>Luminarias</v>
      </c>
      <c r="B7" s="9">
        <v>10</v>
      </c>
      <c r="C7" s="10">
        <f>'MODELO DE INVERSION INICIAL'!$D9/$B7</f>
        <v>450</v>
      </c>
      <c r="D7" s="10">
        <f>'MODELO DE INVERSION INICIAL'!$D9/$B7</f>
        <v>450</v>
      </c>
      <c r="E7" s="10">
        <f>'MODELO DE INVERSION INICIAL'!$D9/$B7</f>
        <v>450</v>
      </c>
    </row>
    <row r="8" spans="1:5" x14ac:dyDescent="0.25">
      <c r="A8" s="14" t="str">
        <f>'MODELO DE INVERSION INICIAL'!$A10</f>
        <v>Celulares</v>
      </c>
      <c r="B8" s="11">
        <v>10</v>
      </c>
      <c r="C8" s="12">
        <f>'MODELO DE INVERSION INICIAL'!$D10/$B8</f>
        <v>1420</v>
      </c>
      <c r="D8" s="12">
        <f>'MODELO DE INVERSION INICIAL'!$D10/$B8</f>
        <v>1420</v>
      </c>
      <c r="E8" s="12">
        <f>'MODELO DE INVERSION INICIAL'!$D10/$B8</f>
        <v>1420</v>
      </c>
    </row>
    <row r="9" spans="1:5" ht="15.75" thickBot="1" x14ac:dyDescent="0.3">
      <c r="A9" s="4" t="s">
        <v>147</v>
      </c>
      <c r="B9" s="4"/>
      <c r="C9" s="4"/>
      <c r="D9" s="4"/>
      <c r="E9" s="4"/>
    </row>
    <row r="10" spans="1:5" ht="15.75" thickTop="1" x14ac:dyDescent="0.25">
      <c r="A10" s="14" t="str">
        <f>'MODELO DE INVERSION INICIAL'!$A12</f>
        <v>Notebook Lenovo G480</v>
      </c>
      <c r="B10" s="9">
        <v>5</v>
      </c>
      <c r="C10" s="10">
        <f>'MODELO DE INVERSION INICIAL'!$D12/$B10</f>
        <v>10920</v>
      </c>
      <c r="D10" s="10">
        <f>'MODELO DE INVERSION INICIAL'!$D12/$B10</f>
        <v>10920</v>
      </c>
      <c r="E10" s="10">
        <f>'MODELO DE INVERSION INICIAL'!$D12/$B10</f>
        <v>10920</v>
      </c>
    </row>
    <row r="11" spans="1:5" ht="15.75" thickBot="1" x14ac:dyDescent="0.3">
      <c r="A11" s="14" t="str">
        <f>'MODELO DE INVERSION INICIAL'!$A13</f>
        <v>Servidor IBM</v>
      </c>
      <c r="B11" s="11">
        <v>5</v>
      </c>
      <c r="C11" s="12">
        <f>'MODELO DE INVERSION INICIAL'!$D13/$B11</f>
        <v>5000</v>
      </c>
      <c r="D11" s="12">
        <f>'MODELO DE INVERSION INICIAL'!$D13/$B11</f>
        <v>5000</v>
      </c>
      <c r="E11" s="12">
        <f>'MODELO DE INVERSION INICIAL'!$D13/$B11</f>
        <v>5000</v>
      </c>
    </row>
    <row r="12" spans="1:5" ht="15.75" thickTop="1" x14ac:dyDescent="0.25">
      <c r="A12" s="14" t="str">
        <f>'MODELO DE INVERSION INICIAL'!$A14</f>
        <v>Impresora Laser</v>
      </c>
      <c r="B12" s="9">
        <v>5</v>
      </c>
      <c r="C12" s="10">
        <f>'MODELO DE INVERSION INICIAL'!$D14/$B12</f>
        <v>380</v>
      </c>
      <c r="D12" s="10">
        <f>'MODELO DE INVERSION INICIAL'!$D14/$B12</f>
        <v>380</v>
      </c>
      <c r="E12" s="10">
        <f>'MODELO DE INVERSION INICIAL'!$D14/$B12</f>
        <v>380</v>
      </c>
    </row>
    <row r="13" spans="1:5" ht="15.75" thickBot="1" x14ac:dyDescent="0.3">
      <c r="A13" s="14" t="str">
        <f>'MODELO DE INVERSION INICIAL'!$A15</f>
        <v>Toner Impresora</v>
      </c>
      <c r="B13" s="11">
        <v>5</v>
      </c>
      <c r="C13" s="12">
        <f>'MODELO DE INVERSION INICIAL'!$D15/$B13</f>
        <v>1320</v>
      </c>
      <c r="D13" s="12">
        <f>'MODELO DE INVERSION INICIAL'!$D15/$B13</f>
        <v>1320</v>
      </c>
      <c r="E13" s="12">
        <f>'MODELO DE INVERSION INICIAL'!$D15/$B13</f>
        <v>1320</v>
      </c>
    </row>
    <row r="14" spans="1:5" ht="15.75" thickTop="1" x14ac:dyDescent="0.25">
      <c r="A14" s="14" t="str">
        <f>'MODELO DE INVERSION INICIAL'!$A16</f>
        <v>Accesorios informáticos</v>
      </c>
      <c r="B14" s="9">
        <v>5</v>
      </c>
      <c r="C14" s="10">
        <f>'MODELO DE INVERSION INICIAL'!$D16/$B14</f>
        <v>700</v>
      </c>
      <c r="D14" s="10">
        <f>'MODELO DE INVERSION INICIAL'!$D16/$B14</f>
        <v>700</v>
      </c>
      <c r="E14" s="10">
        <f>'MODELO DE INVERSION INICIAL'!$D16/$B14</f>
        <v>700</v>
      </c>
    </row>
    <row r="15" spans="1:5" x14ac:dyDescent="0.25">
      <c r="A15" s="14" t="str">
        <f>'MODELO DE INVERSION INICIAL'!$A17</f>
        <v>Licencia Microsoft SQL Server</v>
      </c>
      <c r="B15" s="11">
        <v>5</v>
      </c>
      <c r="C15" s="12">
        <f>'MODELO DE INVERSION INICIAL'!$D17/$B15</f>
        <v>720</v>
      </c>
      <c r="D15" s="12">
        <f>'MODELO DE INVERSION INICIAL'!$D17/$B15</f>
        <v>720</v>
      </c>
      <c r="E15" s="12">
        <f>'MODELO DE INVERSION INICIAL'!$D17/$B15</f>
        <v>720</v>
      </c>
    </row>
    <row r="16" spans="1:5" x14ac:dyDescent="0.25">
      <c r="B16" s="20" t="s">
        <v>90</v>
      </c>
      <c r="C16" s="30">
        <f>SUM(C5:C15)</f>
        <v>22210</v>
      </c>
      <c r="D16" s="30">
        <f>SUM(D5:D15)</f>
        <v>22210</v>
      </c>
      <c r="E16" s="30">
        <f>SUM(E5:E15)</f>
        <v>22210</v>
      </c>
    </row>
  </sheetData>
  <mergeCells count="1">
    <mergeCell ref="A1:E1"/>
  </mergeCells>
  <pageMargins left="0.23622047244094491" right="0.23622047244094491" top="0.9055118110236221" bottom="0.74803149606299213" header="0.31496062992125984" footer="0.31496062992125984"/>
  <pageSetup paperSize="9" orientation="landscape" r:id="rId1"/>
  <headerFooter>
    <oddHeader>&amp;L&amp;"-,Negrita"&amp;16NATURAL FORT&amp;"-,Normal"
Alimento para perros&amp;C&amp;"-,Negrita"&amp;18&amp;U&amp;A&amp;RDocente a cargo:  Jorge Scali
Alumno: Hugo Castromán</oddHeader>
    <oddFooter>&amp;CPágina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6"/>
  <sheetViews>
    <sheetView showGridLines="0" topLeftCell="A13" zoomScaleNormal="100" zoomScalePageLayoutView="70" workbookViewId="0">
      <selection activeCell="B13" sqref="B13"/>
    </sheetView>
  </sheetViews>
  <sheetFormatPr defaultColWidth="11.42578125" defaultRowHeight="15" x14ac:dyDescent="0.25"/>
  <cols>
    <col min="1" max="1" width="26" customWidth="1"/>
    <col min="2" max="2" width="51.85546875" customWidth="1"/>
    <col min="3" max="3" width="24.42578125" bestFit="1" customWidth="1"/>
    <col min="4" max="4" width="18.7109375" customWidth="1"/>
    <col min="5" max="5" width="14.140625" bestFit="1" customWidth="1"/>
    <col min="6" max="6" width="17.140625" bestFit="1" customWidth="1"/>
  </cols>
  <sheetData>
    <row r="1" spans="1:6" ht="36" x14ac:dyDescent="0.55000000000000004">
      <c r="A1" s="97" t="s">
        <v>44</v>
      </c>
      <c r="B1" s="97"/>
      <c r="C1" s="97"/>
      <c r="D1" s="97"/>
      <c r="E1" s="97"/>
      <c r="F1" s="97"/>
    </row>
    <row r="2" spans="1:6" x14ac:dyDescent="0.25">
      <c r="A2" s="2"/>
      <c r="B2" s="2"/>
      <c r="C2" s="2"/>
      <c r="D2" s="2"/>
      <c r="E2" s="2"/>
      <c r="F2" s="2"/>
    </row>
    <row r="3" spans="1:6" x14ac:dyDescent="0.25">
      <c r="A3" s="2"/>
      <c r="B3" s="2"/>
      <c r="C3" s="2"/>
      <c r="D3" s="2"/>
      <c r="E3" s="2"/>
      <c r="F3" s="2"/>
    </row>
    <row r="4" spans="1:6" x14ac:dyDescent="0.25">
      <c r="A4" s="2"/>
      <c r="B4" s="2"/>
      <c r="C4" s="2"/>
      <c r="D4" s="2"/>
      <c r="E4" s="2"/>
      <c r="F4" s="2"/>
    </row>
    <row r="5" spans="1:6" ht="21" x14ac:dyDescent="0.35">
      <c r="A5" s="100" t="s">
        <v>46</v>
      </c>
      <c r="B5" s="100"/>
      <c r="C5" s="100"/>
      <c r="D5" s="100"/>
      <c r="E5" s="100"/>
      <c r="F5" s="100"/>
    </row>
    <row r="6" spans="1:6" ht="15.75" x14ac:dyDescent="0.25">
      <c r="A6" s="42" t="s">
        <v>47</v>
      </c>
      <c r="B6" s="1" t="s">
        <v>50</v>
      </c>
      <c r="C6" s="2"/>
      <c r="D6" s="2"/>
      <c r="E6" s="2"/>
      <c r="F6" s="2"/>
    </row>
    <row r="7" spans="1:6" ht="15.75" x14ac:dyDescent="0.25">
      <c r="A7" s="43" t="s">
        <v>48</v>
      </c>
      <c r="B7" s="1" t="s">
        <v>51</v>
      </c>
      <c r="C7" s="2"/>
      <c r="D7" s="2"/>
      <c r="E7" s="2"/>
      <c r="F7" s="2"/>
    </row>
    <row r="8" spans="1:6" ht="15.75" x14ac:dyDescent="0.25">
      <c r="A8" s="42" t="s">
        <v>49</v>
      </c>
      <c r="B8" s="1" t="s">
        <v>52</v>
      </c>
      <c r="C8" s="2"/>
      <c r="D8" s="2"/>
      <c r="E8" s="2"/>
      <c r="F8" s="2"/>
    </row>
    <row r="9" spans="1:6" x14ac:dyDescent="0.25">
      <c r="A9" s="2"/>
      <c r="B9" s="2"/>
      <c r="C9" s="2"/>
      <c r="D9" s="2"/>
      <c r="E9" s="2"/>
      <c r="F9" s="2"/>
    </row>
    <row r="10" spans="1:6" ht="25.5" customHeight="1" x14ac:dyDescent="0.25">
      <c r="A10" s="44"/>
      <c r="B10" s="44"/>
      <c r="C10" s="44"/>
      <c r="D10" s="44"/>
      <c r="E10" s="44"/>
      <c r="F10" s="44"/>
    </row>
    <row r="11" spans="1:6" ht="21" x14ac:dyDescent="0.35">
      <c r="A11" s="100" t="s">
        <v>45</v>
      </c>
      <c r="B11" s="100"/>
      <c r="C11" s="100"/>
      <c r="D11" s="100"/>
      <c r="E11" s="100"/>
      <c r="F11" s="100"/>
    </row>
    <row r="12" spans="1:6" ht="99" customHeight="1" x14ac:dyDescent="0.25">
      <c r="A12" s="101" t="s">
        <v>61</v>
      </c>
      <c r="B12" s="101"/>
      <c r="C12" s="101"/>
      <c r="D12" s="101"/>
      <c r="E12" s="101"/>
      <c r="F12" s="101"/>
    </row>
    <row r="13" spans="1:6" x14ac:dyDescent="0.25">
      <c r="A13" s="2"/>
      <c r="B13" s="2"/>
      <c r="C13" s="2"/>
      <c r="D13" s="2"/>
      <c r="E13" s="2"/>
      <c r="F13" s="2"/>
    </row>
    <row r="14" spans="1:6" ht="15.75" x14ac:dyDescent="0.25">
      <c r="A14" s="98" t="s">
        <v>54</v>
      </c>
      <c r="B14" s="99"/>
      <c r="C14" s="45">
        <v>4860000000000</v>
      </c>
      <c r="D14" s="2"/>
      <c r="E14" s="2"/>
      <c r="F14" s="2"/>
    </row>
    <row r="15" spans="1:6" ht="15.75" x14ac:dyDescent="0.25">
      <c r="A15" s="102" t="s">
        <v>55</v>
      </c>
      <c r="B15" s="102"/>
      <c r="C15" s="45">
        <f>C14*0.046</f>
        <v>223560000000</v>
      </c>
      <c r="D15" s="2"/>
      <c r="E15" s="2"/>
      <c r="F15" s="2"/>
    </row>
    <row r="16" spans="1:6" ht="15.75" x14ac:dyDescent="0.25">
      <c r="A16" s="98" t="s">
        <v>56</v>
      </c>
      <c r="B16" s="99"/>
      <c r="C16" s="45">
        <f>C15*0.75</f>
        <v>167670000000</v>
      </c>
      <c r="D16" s="2"/>
      <c r="E16" s="2"/>
      <c r="F16" s="2"/>
    </row>
    <row r="17" spans="1:6" ht="15.75" x14ac:dyDescent="0.25">
      <c r="A17" s="102" t="s">
        <v>53</v>
      </c>
      <c r="B17" s="102"/>
      <c r="C17" s="45">
        <f>C16*0.013</f>
        <v>2179710000</v>
      </c>
      <c r="D17" s="2"/>
      <c r="E17" s="2"/>
      <c r="F17" s="2"/>
    </row>
    <row r="18" spans="1:6" ht="15.75" x14ac:dyDescent="0.25">
      <c r="A18" s="98" t="s">
        <v>87</v>
      </c>
      <c r="B18" s="99"/>
      <c r="C18" s="45">
        <f>C17*0.05</f>
        <v>108985500</v>
      </c>
      <c r="D18" s="2"/>
      <c r="E18" s="2"/>
      <c r="F18" s="2"/>
    </row>
    <row r="19" spans="1:6" x14ac:dyDescent="0.25">
      <c r="A19" s="2"/>
      <c r="B19" s="2"/>
      <c r="C19" s="2"/>
      <c r="D19" s="2"/>
      <c r="E19" s="2"/>
      <c r="F19" s="2"/>
    </row>
    <row r="20" spans="1:6" x14ac:dyDescent="0.25">
      <c r="A20" s="2"/>
      <c r="B20" s="2"/>
      <c r="C20" s="2"/>
      <c r="D20" s="2"/>
      <c r="E20" s="2"/>
      <c r="F20" s="2"/>
    </row>
    <row r="21" spans="1:6" ht="21" x14ac:dyDescent="0.35">
      <c r="A21" s="100" t="s">
        <v>6</v>
      </c>
      <c r="B21" s="100"/>
      <c r="C21" s="100"/>
      <c r="D21" s="100"/>
      <c r="E21" s="100"/>
      <c r="F21" s="100"/>
    </row>
    <row r="22" spans="1:6" x14ac:dyDescent="0.25">
      <c r="A22" s="2"/>
      <c r="B22" s="2"/>
      <c r="C22" s="2"/>
      <c r="D22" s="2"/>
      <c r="E22" s="2"/>
      <c r="F22" s="2"/>
    </row>
    <row r="23" spans="1:6" ht="15.75" x14ac:dyDescent="0.25">
      <c r="A23" s="2"/>
      <c r="B23" s="1" t="s">
        <v>60</v>
      </c>
      <c r="C23" s="2"/>
      <c r="D23" s="2"/>
      <c r="E23" s="2"/>
      <c r="F23" s="2"/>
    </row>
    <row r="24" spans="1:6" x14ac:dyDescent="0.25">
      <c r="A24" s="2"/>
      <c r="B24" s="46" t="s">
        <v>7</v>
      </c>
      <c r="C24" s="46" t="s">
        <v>8</v>
      </c>
      <c r="D24" s="46" t="s">
        <v>9</v>
      </c>
      <c r="E24" s="2"/>
      <c r="F24" s="2"/>
    </row>
    <row r="25" spans="1:6" x14ac:dyDescent="0.25">
      <c r="A25" s="2"/>
      <c r="B25" s="47" t="s">
        <v>58</v>
      </c>
      <c r="C25" s="48">
        <v>0.09</v>
      </c>
      <c r="D25" s="49">
        <f>Table49[[#This Row],[Participación]]*$C$17</f>
        <v>196173900</v>
      </c>
      <c r="E25" s="2"/>
      <c r="F25" s="2"/>
    </row>
    <row r="26" spans="1:6" x14ac:dyDescent="0.25">
      <c r="A26" s="2"/>
      <c r="B26" s="47" t="s">
        <v>59</v>
      </c>
      <c r="C26" s="50">
        <v>0.15</v>
      </c>
      <c r="D26" s="49">
        <f>Table49[[#This Row],[Participación]]*$C$17</f>
        <v>326956500</v>
      </c>
      <c r="E26" s="2"/>
      <c r="F26" s="2"/>
    </row>
    <row r="27" spans="1:6" x14ac:dyDescent="0.25">
      <c r="A27" s="2"/>
      <c r="B27" s="47" t="s">
        <v>57</v>
      </c>
      <c r="C27" s="48">
        <f>1-(C25+C26)</f>
        <v>0.76</v>
      </c>
      <c r="D27" s="49">
        <f>Table49[[#This Row],[Participación]]*$C$17</f>
        <v>1656579600</v>
      </c>
      <c r="E27" s="2"/>
      <c r="F27" s="2"/>
    </row>
    <row r="28" spans="1:6" x14ac:dyDescent="0.25">
      <c r="A28" s="51"/>
      <c r="B28" s="52"/>
      <c r="C28" s="53"/>
      <c r="D28" s="2"/>
      <c r="E28" s="2"/>
      <c r="F28" s="2"/>
    </row>
    <row r="29" spans="1:6" x14ac:dyDescent="0.25">
      <c r="A29" s="51"/>
      <c r="B29" s="52"/>
      <c r="C29" s="53"/>
      <c r="D29" s="2"/>
      <c r="E29" s="2"/>
      <c r="F29" s="2"/>
    </row>
    <row r="30" spans="1:6" x14ac:dyDescent="0.25">
      <c r="A30" s="51"/>
      <c r="B30" s="52"/>
      <c r="C30" s="53"/>
      <c r="D30" s="2"/>
      <c r="E30" s="2"/>
      <c r="F30" s="2"/>
    </row>
    <row r="31" spans="1:6" x14ac:dyDescent="0.25">
      <c r="A31" s="51"/>
      <c r="B31" s="52"/>
      <c r="C31" s="53"/>
      <c r="D31" s="2"/>
      <c r="E31" s="2"/>
      <c r="F31" s="2"/>
    </row>
    <row r="32" spans="1:6" x14ac:dyDescent="0.25">
      <c r="A32" s="51"/>
      <c r="B32" s="52"/>
      <c r="C32" s="53"/>
      <c r="D32" s="2"/>
      <c r="E32" s="2"/>
      <c r="F32" s="2"/>
    </row>
    <row r="33" spans="1:6" x14ac:dyDescent="0.25">
      <c r="A33" s="51"/>
      <c r="B33" s="52"/>
      <c r="C33" s="53"/>
      <c r="D33" s="2"/>
      <c r="E33" s="2"/>
      <c r="F33" s="2"/>
    </row>
    <row r="34" spans="1:6" x14ac:dyDescent="0.25">
      <c r="A34" s="51"/>
      <c r="B34" s="52"/>
      <c r="C34" s="53"/>
      <c r="D34" s="2"/>
      <c r="E34" s="2"/>
      <c r="F34" s="2"/>
    </row>
    <row r="35" spans="1:6" x14ac:dyDescent="0.25">
      <c r="A35" s="51"/>
      <c r="B35" s="52"/>
      <c r="C35" s="53"/>
      <c r="D35" s="2"/>
      <c r="E35" s="2"/>
      <c r="F35" s="2"/>
    </row>
    <row r="36" spans="1:6" x14ac:dyDescent="0.25">
      <c r="A36" s="51"/>
      <c r="B36" s="2"/>
      <c r="C36" s="2"/>
      <c r="D36" s="2"/>
      <c r="E36" s="2"/>
      <c r="F36" s="2"/>
    </row>
    <row r="37" spans="1:6" x14ac:dyDescent="0.25">
      <c r="A37" s="51"/>
      <c r="B37" s="2"/>
      <c r="C37" s="2"/>
      <c r="D37" s="2"/>
      <c r="E37" s="2"/>
      <c r="F37" s="2"/>
    </row>
    <row r="38" spans="1:6" x14ac:dyDescent="0.25">
      <c r="A38" s="2"/>
      <c r="B38" s="2"/>
      <c r="C38" s="2"/>
      <c r="D38" s="54"/>
      <c r="E38" s="2"/>
      <c r="F38" s="2"/>
    </row>
    <row r="39" spans="1:6" x14ac:dyDescent="0.25">
      <c r="A39" s="2"/>
      <c r="B39" s="2"/>
      <c r="C39" s="2"/>
      <c r="D39" s="54"/>
      <c r="E39" s="2"/>
      <c r="F39" s="2"/>
    </row>
    <row r="40" spans="1:6" x14ac:dyDescent="0.25">
      <c r="A40" s="2"/>
      <c r="B40" s="2"/>
      <c r="C40" s="2"/>
      <c r="D40" s="2"/>
      <c r="E40" s="2"/>
      <c r="F40" s="2"/>
    </row>
    <row r="41" spans="1:6" ht="15.75" x14ac:dyDescent="0.25">
      <c r="A41" s="2"/>
      <c r="B41" s="1" t="s">
        <v>63</v>
      </c>
      <c r="C41" s="2"/>
      <c r="D41" s="2"/>
      <c r="E41" s="2"/>
      <c r="F41" s="2"/>
    </row>
    <row r="42" spans="1:6" x14ac:dyDescent="0.25">
      <c r="A42" s="2"/>
      <c r="B42" s="46" t="s">
        <v>7</v>
      </c>
      <c r="C42" s="46" t="s">
        <v>8</v>
      </c>
      <c r="D42" s="46" t="s">
        <v>9</v>
      </c>
      <c r="E42" s="2"/>
      <c r="F42" s="2"/>
    </row>
    <row r="43" spans="1:6" x14ac:dyDescent="0.25">
      <c r="A43" s="2"/>
      <c r="B43" s="47" t="s">
        <v>58</v>
      </c>
      <c r="C43" s="48">
        <v>0.09</v>
      </c>
      <c r="D43" s="49">
        <f>Table4610[[#This Row],[Participación]]*$C$17</f>
        <v>196173900</v>
      </c>
      <c r="E43" s="2"/>
      <c r="F43" s="2"/>
    </row>
    <row r="44" spans="1:6" x14ac:dyDescent="0.25">
      <c r="A44" s="2"/>
      <c r="B44" s="47" t="s">
        <v>59</v>
      </c>
      <c r="C44" s="50">
        <v>0.15</v>
      </c>
      <c r="D44" s="49">
        <f>Table4610[[#This Row],[Participación]]*$C$17</f>
        <v>326956500</v>
      </c>
      <c r="E44" s="2"/>
      <c r="F44" s="2"/>
    </row>
    <row r="45" spans="1:6" x14ac:dyDescent="0.25">
      <c r="A45" s="51"/>
      <c r="B45" s="47" t="s">
        <v>62</v>
      </c>
      <c r="C45" s="48">
        <v>0.05</v>
      </c>
      <c r="D45" s="49">
        <f>Table4610[[#This Row],[Participación]]*$C$17</f>
        <v>108985500</v>
      </c>
      <c r="E45" s="2"/>
      <c r="F45" s="2"/>
    </row>
    <row r="46" spans="1:6" x14ac:dyDescent="0.25">
      <c r="A46" s="51"/>
      <c r="B46" s="47" t="s">
        <v>57</v>
      </c>
      <c r="C46" s="48">
        <f>1-(C43+C44+C45)</f>
        <v>0.71</v>
      </c>
      <c r="D46" s="49">
        <f>Table4610[[#This Row],[Participación]]*$C$17</f>
        <v>1547594100</v>
      </c>
      <c r="E46" s="2"/>
      <c r="F46" s="2"/>
    </row>
    <row r="47" spans="1:6" x14ac:dyDescent="0.25">
      <c r="A47" s="51"/>
      <c r="B47" s="2"/>
      <c r="C47" s="2"/>
      <c r="D47" s="54"/>
      <c r="E47" s="2"/>
      <c r="F47" s="2"/>
    </row>
    <row r="48" spans="1:6" x14ac:dyDescent="0.25">
      <c r="A48" s="51"/>
      <c r="B48" s="2"/>
      <c r="C48" s="2"/>
      <c r="D48" s="2"/>
      <c r="E48" s="2"/>
      <c r="F48" s="2"/>
    </row>
    <row r="49" spans="1:6" x14ac:dyDescent="0.25">
      <c r="A49" s="2"/>
      <c r="B49" s="2"/>
      <c r="C49" s="2"/>
      <c r="D49" s="2"/>
      <c r="E49" s="2"/>
      <c r="F49" s="2"/>
    </row>
    <row r="50" spans="1:6" x14ac:dyDescent="0.25">
      <c r="A50" s="2"/>
      <c r="B50" s="2"/>
      <c r="C50" s="2"/>
      <c r="D50" s="2"/>
      <c r="E50" s="2"/>
      <c r="F50" s="2"/>
    </row>
    <row r="51" spans="1:6" x14ac:dyDescent="0.25">
      <c r="A51" s="2"/>
      <c r="B51" s="2"/>
      <c r="C51" s="2"/>
      <c r="D51" s="2"/>
      <c r="E51" s="2"/>
      <c r="F51" s="2"/>
    </row>
    <row r="52" spans="1:6" x14ac:dyDescent="0.25">
      <c r="A52" s="2"/>
      <c r="B52" s="2"/>
      <c r="C52" s="2"/>
      <c r="D52" s="2"/>
      <c r="E52" s="2"/>
      <c r="F52" s="2"/>
    </row>
    <row r="53" spans="1:6" x14ac:dyDescent="0.25">
      <c r="A53" s="2"/>
      <c r="B53" s="2"/>
      <c r="C53" s="2"/>
      <c r="D53" s="2"/>
      <c r="E53" s="2"/>
      <c r="F53" s="2"/>
    </row>
    <row r="54" spans="1:6" x14ac:dyDescent="0.25">
      <c r="A54" s="2"/>
      <c r="B54" s="2"/>
      <c r="C54" s="2"/>
      <c r="D54" s="2"/>
      <c r="E54" s="2"/>
      <c r="F54" s="2"/>
    </row>
    <row r="55" spans="1:6" x14ac:dyDescent="0.25">
      <c r="A55" s="2"/>
      <c r="B55" s="2"/>
      <c r="C55" s="2"/>
      <c r="D55" s="2"/>
      <c r="E55" s="2"/>
      <c r="F55" s="2"/>
    </row>
    <row r="56" spans="1:6" x14ac:dyDescent="0.25">
      <c r="A56" s="2"/>
      <c r="B56" s="2"/>
      <c r="C56" s="2"/>
      <c r="D56" s="2"/>
      <c r="E56" s="2"/>
      <c r="F56" s="2"/>
    </row>
    <row r="57" spans="1:6" x14ac:dyDescent="0.25">
      <c r="A57" s="2"/>
      <c r="B57" s="2"/>
      <c r="C57" s="2"/>
      <c r="D57" s="2"/>
      <c r="E57" s="2"/>
      <c r="F57" s="2"/>
    </row>
    <row r="58" spans="1:6" x14ac:dyDescent="0.25">
      <c r="A58" s="2"/>
      <c r="B58" s="2"/>
      <c r="C58" s="2"/>
      <c r="D58" s="2"/>
      <c r="E58" s="2"/>
      <c r="F58" s="2"/>
    </row>
    <row r="59" spans="1:6" x14ac:dyDescent="0.25">
      <c r="A59" s="2"/>
      <c r="B59" s="2"/>
      <c r="C59" s="2"/>
      <c r="D59" s="2"/>
      <c r="E59" s="2"/>
      <c r="F59" s="2"/>
    </row>
    <row r="60" spans="1:6" x14ac:dyDescent="0.25">
      <c r="A60" s="2"/>
      <c r="B60" s="2"/>
      <c r="C60" s="2"/>
      <c r="D60" s="2"/>
      <c r="E60" s="2"/>
      <c r="F60" s="2"/>
    </row>
    <row r="61" spans="1:6" x14ac:dyDescent="0.25">
      <c r="A61" s="2"/>
      <c r="B61" s="2"/>
      <c r="C61" s="2"/>
      <c r="D61" s="2"/>
      <c r="E61" s="2"/>
      <c r="F61" s="2"/>
    </row>
    <row r="62" spans="1:6" x14ac:dyDescent="0.25">
      <c r="A62" s="2"/>
      <c r="B62" s="2"/>
      <c r="C62" s="2"/>
      <c r="D62" s="2"/>
      <c r="E62" s="2"/>
      <c r="F62" s="2"/>
    </row>
    <row r="63" spans="1:6" ht="15.75" x14ac:dyDescent="0.25">
      <c r="A63" s="2"/>
      <c r="B63" s="1" t="s">
        <v>64</v>
      </c>
      <c r="C63" s="2"/>
      <c r="D63" s="2"/>
      <c r="E63" s="2"/>
      <c r="F63" s="2"/>
    </row>
    <row r="64" spans="1:6" x14ac:dyDescent="0.25">
      <c r="A64" s="2"/>
      <c r="B64" s="46" t="s">
        <v>10</v>
      </c>
      <c r="C64" s="46" t="s">
        <v>8</v>
      </c>
      <c r="D64" s="46" t="s">
        <v>9</v>
      </c>
      <c r="E64" s="2"/>
      <c r="F64" s="2"/>
    </row>
    <row r="65" spans="1:6" x14ac:dyDescent="0.25">
      <c r="A65" s="2"/>
      <c r="B65" s="47" t="s">
        <v>40</v>
      </c>
      <c r="C65" s="48">
        <v>0.01</v>
      </c>
      <c r="D65" s="49">
        <f>Table611[[#This Row],[Participación]]*$C$17</f>
        <v>21797100</v>
      </c>
      <c r="E65" s="2"/>
      <c r="F65" s="2"/>
    </row>
    <row r="66" spans="1:6" x14ac:dyDescent="0.25">
      <c r="A66" s="2"/>
      <c r="B66" s="47" t="s">
        <v>41</v>
      </c>
      <c r="C66" s="50">
        <v>0.03</v>
      </c>
      <c r="D66" s="55">
        <f>Table611[[#This Row],[Participación]]*$C$17</f>
        <v>65391300</v>
      </c>
      <c r="E66" s="2"/>
      <c r="F66" s="2"/>
    </row>
    <row r="67" spans="1:6" x14ac:dyDescent="0.25">
      <c r="A67" s="2"/>
      <c r="B67" s="47" t="s">
        <v>42</v>
      </c>
      <c r="C67" s="48">
        <v>0.05</v>
      </c>
      <c r="D67" s="49">
        <f>Table611[[#This Row],[Participación]]*$C$17</f>
        <v>108985500</v>
      </c>
      <c r="E67" s="2"/>
      <c r="F67" s="2"/>
    </row>
    <row r="68" spans="1:6" x14ac:dyDescent="0.25">
      <c r="A68" s="2"/>
      <c r="B68" s="2"/>
      <c r="C68" s="2"/>
      <c r="D68" s="2"/>
      <c r="E68" s="2"/>
      <c r="F68" s="2"/>
    </row>
    <row r="69" spans="1:6" x14ac:dyDescent="0.25">
      <c r="A69" s="2"/>
      <c r="B69" s="2"/>
      <c r="C69" s="2"/>
      <c r="D69" s="2"/>
      <c r="E69" s="2"/>
      <c r="F69" s="2"/>
    </row>
    <row r="70" spans="1:6" x14ac:dyDescent="0.25">
      <c r="A70" s="2"/>
      <c r="B70" s="2"/>
      <c r="C70" s="2"/>
      <c r="D70" s="2"/>
      <c r="E70" s="2"/>
      <c r="F70" s="2"/>
    </row>
    <row r="71" spans="1:6" x14ac:dyDescent="0.25">
      <c r="A71" s="2"/>
      <c r="B71" s="2"/>
      <c r="C71" s="2"/>
      <c r="D71" s="2"/>
      <c r="E71" s="2"/>
      <c r="F71" s="2"/>
    </row>
    <row r="72" spans="1:6" x14ac:dyDescent="0.25">
      <c r="A72" s="2"/>
      <c r="B72" s="2"/>
      <c r="C72" s="2"/>
      <c r="D72" s="2"/>
      <c r="E72" s="2"/>
      <c r="F72" s="2"/>
    </row>
    <row r="73" spans="1:6" x14ac:dyDescent="0.25">
      <c r="A73" s="2"/>
      <c r="B73" s="2"/>
      <c r="C73" s="2"/>
      <c r="D73" s="2"/>
      <c r="E73" s="2"/>
      <c r="F73" s="2"/>
    </row>
    <row r="74" spans="1:6" x14ac:dyDescent="0.25">
      <c r="A74" s="2"/>
      <c r="B74" s="2"/>
      <c r="C74" s="2"/>
      <c r="D74" s="2"/>
      <c r="E74" s="2"/>
      <c r="F74" s="2"/>
    </row>
    <row r="75" spans="1:6" x14ac:dyDescent="0.25">
      <c r="A75" s="2"/>
      <c r="B75" s="2"/>
      <c r="C75" s="2"/>
      <c r="D75" s="2"/>
      <c r="E75" s="2"/>
      <c r="F75" s="2"/>
    </row>
    <row r="76" spans="1:6" x14ac:dyDescent="0.25">
      <c r="A76" s="2"/>
      <c r="B76" s="2"/>
      <c r="C76" s="2"/>
      <c r="D76" s="2"/>
      <c r="E76" s="2"/>
      <c r="F76" s="2"/>
    </row>
    <row r="77" spans="1:6" x14ac:dyDescent="0.25">
      <c r="A77" s="2"/>
      <c r="B77" s="2"/>
      <c r="C77" s="2"/>
      <c r="D77" s="2"/>
      <c r="E77" s="2"/>
      <c r="F77" s="2"/>
    </row>
    <row r="78" spans="1:6" x14ac:dyDescent="0.25">
      <c r="A78" s="2"/>
      <c r="B78" s="2"/>
      <c r="C78" s="2"/>
      <c r="D78" s="2"/>
      <c r="E78" s="2"/>
      <c r="F78" s="2"/>
    </row>
    <row r="79" spans="1:6" x14ac:dyDescent="0.25">
      <c r="A79" s="2"/>
      <c r="B79" s="2"/>
      <c r="C79" s="2"/>
      <c r="D79" s="2"/>
      <c r="E79" s="2"/>
      <c r="F79" s="2"/>
    </row>
    <row r="80" spans="1:6" x14ac:dyDescent="0.25">
      <c r="A80" s="2"/>
      <c r="B80" s="2"/>
      <c r="C80" s="2"/>
      <c r="D80" s="2"/>
      <c r="E80" s="2"/>
      <c r="F80" s="2"/>
    </row>
    <row r="81" spans="1:6" x14ac:dyDescent="0.25">
      <c r="A81" s="2"/>
      <c r="B81" s="2"/>
      <c r="C81" s="2"/>
      <c r="D81" s="2"/>
      <c r="E81" s="2"/>
      <c r="F81" s="2"/>
    </row>
    <row r="82" spans="1:6" x14ac:dyDescent="0.25">
      <c r="A82" s="2"/>
      <c r="B82" s="2"/>
      <c r="C82" s="2"/>
      <c r="D82" s="2"/>
      <c r="E82" s="2"/>
      <c r="F82" s="2"/>
    </row>
    <row r="83" spans="1:6" x14ac:dyDescent="0.25">
      <c r="A83" s="2"/>
      <c r="B83" s="2"/>
      <c r="C83" s="2"/>
      <c r="D83" s="2"/>
      <c r="E83" s="2"/>
      <c r="F83" s="2"/>
    </row>
    <row r="84" spans="1:6" x14ac:dyDescent="0.25">
      <c r="A84" s="2"/>
      <c r="B84" s="2"/>
      <c r="C84" s="2"/>
      <c r="D84" s="2"/>
      <c r="E84" s="2"/>
      <c r="F84" s="2"/>
    </row>
    <row r="85" spans="1:6" x14ac:dyDescent="0.25">
      <c r="A85" s="2"/>
      <c r="B85" s="2"/>
      <c r="C85" s="2"/>
      <c r="D85" s="2"/>
      <c r="E85" s="2"/>
      <c r="F85" s="2"/>
    </row>
    <row r="86" spans="1:6" x14ac:dyDescent="0.25">
      <c r="A86" s="2"/>
      <c r="B86" s="2"/>
      <c r="C86" s="2"/>
      <c r="D86" s="2"/>
      <c r="E86" s="2"/>
      <c r="F86" s="2"/>
    </row>
    <row r="87" spans="1:6" x14ac:dyDescent="0.25">
      <c r="A87" s="2"/>
      <c r="B87" s="2"/>
      <c r="C87" s="2"/>
      <c r="D87" s="2"/>
      <c r="E87" s="2"/>
      <c r="F87" s="2"/>
    </row>
    <row r="88" spans="1:6" x14ac:dyDescent="0.25">
      <c r="A88" s="2"/>
      <c r="B88" s="2"/>
      <c r="C88" s="2"/>
      <c r="D88" s="2"/>
      <c r="E88" s="2"/>
      <c r="F88" s="2"/>
    </row>
    <row r="89" spans="1:6" x14ac:dyDescent="0.25">
      <c r="A89" s="2"/>
      <c r="B89" s="2"/>
      <c r="C89" s="2"/>
      <c r="D89" s="2"/>
      <c r="E89" s="2"/>
      <c r="F89" s="2"/>
    </row>
    <row r="90" spans="1:6" x14ac:dyDescent="0.25">
      <c r="A90" s="2"/>
      <c r="B90" s="2"/>
      <c r="C90" s="2"/>
      <c r="D90" s="2"/>
      <c r="E90" s="2"/>
      <c r="F90" s="2"/>
    </row>
    <row r="91" spans="1:6" x14ac:dyDescent="0.25">
      <c r="A91" s="2"/>
      <c r="B91" s="2"/>
      <c r="C91" s="2"/>
      <c r="D91" s="2"/>
      <c r="E91" s="2"/>
      <c r="F91" s="2"/>
    </row>
    <row r="92" spans="1:6" x14ac:dyDescent="0.25">
      <c r="A92" s="2"/>
      <c r="B92" s="2"/>
      <c r="C92" s="2"/>
      <c r="D92" s="2"/>
      <c r="E92" s="2"/>
      <c r="F92" s="2"/>
    </row>
    <row r="93" spans="1:6" x14ac:dyDescent="0.25">
      <c r="A93" s="2"/>
      <c r="B93" s="2"/>
      <c r="C93" s="2"/>
      <c r="D93" s="2"/>
      <c r="E93" s="2"/>
      <c r="F93" s="2"/>
    </row>
    <row r="94" spans="1:6" x14ac:dyDescent="0.25">
      <c r="A94" s="2"/>
      <c r="B94" s="2"/>
      <c r="C94" s="2"/>
      <c r="D94" s="2"/>
      <c r="E94" s="2"/>
      <c r="F94" s="2"/>
    </row>
    <row r="95" spans="1:6" x14ac:dyDescent="0.25">
      <c r="A95" s="2"/>
      <c r="B95" s="2"/>
      <c r="C95" s="2"/>
      <c r="D95" s="2"/>
      <c r="E95" s="2"/>
      <c r="F95" s="2"/>
    </row>
    <row r="96" spans="1:6" x14ac:dyDescent="0.25">
      <c r="A96" s="2"/>
      <c r="B96" s="2"/>
      <c r="C96" s="2"/>
      <c r="D96" s="2"/>
      <c r="E96" s="2"/>
      <c r="F96" s="2"/>
    </row>
    <row r="97" spans="1:6" x14ac:dyDescent="0.25">
      <c r="A97" s="2"/>
      <c r="B97" s="2"/>
      <c r="C97" s="2"/>
      <c r="D97" s="2"/>
      <c r="E97" s="2"/>
      <c r="F97" s="2"/>
    </row>
    <row r="98" spans="1:6" x14ac:dyDescent="0.25">
      <c r="A98" s="2"/>
      <c r="B98" s="2"/>
      <c r="C98" s="2"/>
      <c r="D98" s="2"/>
      <c r="E98" s="2"/>
      <c r="F98" s="2"/>
    </row>
    <row r="99" spans="1:6" x14ac:dyDescent="0.25">
      <c r="A99" s="2"/>
      <c r="B99" s="2"/>
      <c r="C99" s="2"/>
      <c r="D99" s="2"/>
      <c r="E99" s="2"/>
      <c r="F99" s="2"/>
    </row>
    <row r="100" spans="1:6" x14ac:dyDescent="0.25">
      <c r="A100" s="2"/>
      <c r="B100" s="2"/>
      <c r="C100" s="2"/>
      <c r="D100" s="2"/>
      <c r="E100" s="2"/>
      <c r="F100" s="2"/>
    </row>
    <row r="101" spans="1:6" x14ac:dyDescent="0.25">
      <c r="A101" s="2"/>
      <c r="B101" s="2"/>
      <c r="C101" s="2"/>
      <c r="D101" s="2"/>
      <c r="E101" s="2"/>
      <c r="F101" s="2"/>
    </row>
    <row r="102" spans="1:6" x14ac:dyDescent="0.25">
      <c r="A102" s="2"/>
      <c r="B102" s="2"/>
      <c r="C102" s="2"/>
      <c r="D102" s="2"/>
      <c r="E102" s="2"/>
      <c r="F102" s="2"/>
    </row>
    <row r="103" spans="1:6" x14ac:dyDescent="0.25">
      <c r="A103" s="2"/>
      <c r="B103" s="2"/>
      <c r="C103" s="2"/>
      <c r="D103" s="2"/>
      <c r="E103" s="2"/>
      <c r="F103" s="2"/>
    </row>
    <row r="104" spans="1:6" x14ac:dyDescent="0.25">
      <c r="A104" s="2"/>
      <c r="B104" s="2"/>
      <c r="C104" s="2"/>
      <c r="D104" s="2"/>
      <c r="E104" s="2"/>
      <c r="F104" s="2"/>
    </row>
    <row r="105" spans="1:6" x14ac:dyDescent="0.25">
      <c r="A105" s="2"/>
      <c r="B105" s="2"/>
      <c r="C105" s="2"/>
      <c r="D105" s="2"/>
      <c r="E105" s="2"/>
      <c r="F105" s="2"/>
    </row>
    <row r="106" spans="1:6" x14ac:dyDescent="0.25">
      <c r="A106" s="2"/>
      <c r="B106" s="2"/>
      <c r="C106" s="2"/>
      <c r="D106" s="2"/>
      <c r="E106" s="2"/>
      <c r="F106" s="2"/>
    </row>
    <row r="107" spans="1:6" x14ac:dyDescent="0.25">
      <c r="A107" s="2"/>
      <c r="B107" s="2"/>
      <c r="C107" s="2"/>
      <c r="D107" s="2"/>
      <c r="E107" s="2"/>
      <c r="F107" s="2"/>
    </row>
    <row r="108" spans="1:6" x14ac:dyDescent="0.25">
      <c r="A108" s="2"/>
      <c r="B108" s="2"/>
      <c r="C108" s="2"/>
      <c r="D108" s="2"/>
      <c r="E108" s="2"/>
      <c r="F108" s="2"/>
    </row>
    <row r="109" spans="1:6" x14ac:dyDescent="0.25">
      <c r="A109" s="2"/>
      <c r="B109" s="2"/>
      <c r="C109" s="2"/>
      <c r="D109" s="2"/>
      <c r="E109" s="2"/>
      <c r="F109" s="2"/>
    </row>
    <row r="110" spans="1:6" x14ac:dyDescent="0.25">
      <c r="A110" s="2"/>
      <c r="B110" s="2"/>
      <c r="C110" s="2"/>
      <c r="D110" s="2"/>
      <c r="E110" s="2"/>
      <c r="F110" s="2"/>
    </row>
    <row r="111" spans="1:6" x14ac:dyDescent="0.25">
      <c r="A111" s="2"/>
      <c r="B111" s="2"/>
      <c r="C111" s="2"/>
      <c r="D111" s="2"/>
      <c r="E111" s="2"/>
      <c r="F111" s="2"/>
    </row>
    <row r="112" spans="1:6" x14ac:dyDescent="0.25">
      <c r="A112" s="2"/>
      <c r="B112" s="2"/>
      <c r="C112" s="2"/>
      <c r="D112" s="2"/>
      <c r="E112" s="2"/>
      <c r="F112" s="2"/>
    </row>
    <row r="113" spans="1:6" x14ac:dyDescent="0.25">
      <c r="A113" s="2"/>
      <c r="B113" s="2"/>
      <c r="C113" s="2"/>
      <c r="D113" s="2"/>
      <c r="E113" s="2"/>
      <c r="F113" s="2"/>
    </row>
    <row r="114" spans="1:6" x14ac:dyDescent="0.25">
      <c r="A114" s="2"/>
      <c r="B114" s="2"/>
      <c r="C114" s="2"/>
      <c r="D114" s="2"/>
      <c r="E114" s="2"/>
      <c r="F114" s="2"/>
    </row>
    <row r="115" spans="1:6" x14ac:dyDescent="0.25">
      <c r="A115" s="2"/>
      <c r="B115" s="2"/>
      <c r="C115" s="2"/>
      <c r="D115" s="2"/>
      <c r="E115" s="2"/>
      <c r="F115" s="2"/>
    </row>
    <row r="116" spans="1:6" x14ac:dyDescent="0.25">
      <c r="A116" s="2"/>
      <c r="B116" s="2"/>
      <c r="C116" s="2"/>
      <c r="D116" s="2"/>
      <c r="E116" s="2"/>
      <c r="F116" s="2"/>
    </row>
    <row r="117" spans="1:6" x14ac:dyDescent="0.25">
      <c r="A117" s="2"/>
      <c r="B117" s="2"/>
      <c r="C117" s="2"/>
      <c r="D117" s="2"/>
      <c r="E117" s="2"/>
      <c r="F117" s="2"/>
    </row>
    <row r="118" spans="1:6" x14ac:dyDescent="0.25">
      <c r="A118" s="2"/>
      <c r="B118" s="2"/>
      <c r="C118" s="2"/>
      <c r="D118" s="2"/>
      <c r="E118" s="2"/>
      <c r="F118" s="2"/>
    </row>
    <row r="119" spans="1:6" x14ac:dyDescent="0.25">
      <c r="A119" s="2"/>
      <c r="B119" s="2"/>
      <c r="C119" s="2"/>
      <c r="D119" s="2"/>
      <c r="E119" s="2"/>
      <c r="F119" s="2"/>
    </row>
    <row r="120" spans="1:6" x14ac:dyDescent="0.25">
      <c r="A120" s="2"/>
      <c r="B120" s="2"/>
      <c r="C120" s="2"/>
      <c r="D120" s="2"/>
      <c r="E120" s="2"/>
      <c r="F120" s="2"/>
    </row>
    <row r="121" spans="1:6" x14ac:dyDescent="0.25">
      <c r="A121" s="2"/>
      <c r="B121" s="2"/>
      <c r="C121" s="2"/>
      <c r="D121" s="2"/>
      <c r="E121" s="2"/>
      <c r="F121" s="2"/>
    </row>
    <row r="122" spans="1:6" x14ac:dyDescent="0.25">
      <c r="A122" s="2"/>
      <c r="B122" s="2"/>
      <c r="C122" s="2"/>
      <c r="D122" s="2"/>
      <c r="E122" s="2"/>
      <c r="F122" s="2"/>
    </row>
    <row r="123" spans="1:6" x14ac:dyDescent="0.25">
      <c r="A123" s="2"/>
      <c r="B123" s="2"/>
      <c r="C123" s="2"/>
      <c r="D123" s="2"/>
      <c r="E123" s="2"/>
      <c r="F123" s="2"/>
    </row>
    <row r="124" spans="1:6" x14ac:dyDescent="0.25">
      <c r="A124" s="2"/>
      <c r="B124" s="2"/>
      <c r="C124" s="2"/>
      <c r="D124" s="2"/>
      <c r="E124" s="2"/>
      <c r="F124" s="2"/>
    </row>
    <row r="125" spans="1:6" x14ac:dyDescent="0.25">
      <c r="A125" s="2"/>
      <c r="B125" s="2"/>
      <c r="C125" s="2"/>
      <c r="D125" s="2"/>
      <c r="E125" s="2"/>
      <c r="F125" s="2"/>
    </row>
    <row r="126" spans="1:6" x14ac:dyDescent="0.25">
      <c r="A126" s="2"/>
      <c r="B126" s="2"/>
      <c r="C126" s="2"/>
      <c r="D126" s="2"/>
      <c r="E126" s="2"/>
      <c r="F126" s="2"/>
    </row>
    <row r="127" spans="1:6" x14ac:dyDescent="0.25">
      <c r="A127" s="2"/>
      <c r="B127" s="2"/>
      <c r="C127" s="2"/>
      <c r="D127" s="2"/>
      <c r="E127" s="2"/>
      <c r="F127" s="2"/>
    </row>
    <row r="128" spans="1:6" x14ac:dyDescent="0.25">
      <c r="A128" s="2"/>
      <c r="B128" s="2"/>
      <c r="C128" s="2"/>
      <c r="D128" s="2"/>
      <c r="E128" s="2"/>
      <c r="F128" s="2"/>
    </row>
    <row r="129" spans="1:6" x14ac:dyDescent="0.25">
      <c r="A129" s="2"/>
      <c r="B129" s="2"/>
      <c r="C129" s="2"/>
      <c r="D129" s="2"/>
      <c r="E129" s="2"/>
      <c r="F129" s="2"/>
    </row>
    <row r="130" spans="1:6" x14ac:dyDescent="0.25">
      <c r="A130" s="2"/>
      <c r="B130" s="2"/>
      <c r="C130" s="2"/>
      <c r="D130" s="2"/>
      <c r="E130" s="2"/>
      <c r="F130" s="2"/>
    </row>
    <row r="131" spans="1:6" x14ac:dyDescent="0.25">
      <c r="A131" s="2"/>
      <c r="B131" s="2"/>
      <c r="C131" s="2"/>
      <c r="D131" s="2"/>
      <c r="E131" s="2"/>
      <c r="F131" s="2"/>
    </row>
    <row r="132" spans="1:6" x14ac:dyDescent="0.25">
      <c r="A132" s="2"/>
      <c r="B132" s="2"/>
      <c r="C132" s="2"/>
      <c r="D132" s="2"/>
      <c r="E132" s="2"/>
      <c r="F132" s="2"/>
    </row>
    <row r="133" spans="1:6" x14ac:dyDescent="0.25">
      <c r="A133" s="2"/>
      <c r="B133" s="2"/>
      <c r="C133" s="2"/>
      <c r="D133" s="2"/>
      <c r="E133" s="2"/>
      <c r="F133" s="2"/>
    </row>
    <row r="134" spans="1:6" x14ac:dyDescent="0.25">
      <c r="A134" s="2"/>
      <c r="B134" s="2"/>
      <c r="C134" s="2"/>
      <c r="D134" s="2"/>
      <c r="E134" s="2"/>
      <c r="F134" s="2"/>
    </row>
    <row r="135" spans="1:6" x14ac:dyDescent="0.25">
      <c r="A135" s="2"/>
      <c r="B135" s="2"/>
      <c r="C135" s="2"/>
      <c r="D135" s="2"/>
      <c r="E135" s="2"/>
      <c r="F135" s="2"/>
    </row>
    <row r="136" spans="1:6" x14ac:dyDescent="0.25">
      <c r="A136" s="2"/>
      <c r="B136" s="2"/>
      <c r="C136" s="2"/>
      <c r="D136" s="2"/>
      <c r="E136" s="2"/>
      <c r="F136" s="2"/>
    </row>
    <row r="137" spans="1:6" x14ac:dyDescent="0.25">
      <c r="A137" s="2"/>
      <c r="B137" s="2"/>
      <c r="C137" s="2"/>
      <c r="D137" s="2"/>
      <c r="E137" s="2"/>
      <c r="F137" s="2"/>
    </row>
    <row r="138" spans="1:6" x14ac:dyDescent="0.25">
      <c r="A138" s="2"/>
      <c r="B138" s="2"/>
      <c r="C138" s="2"/>
      <c r="D138" s="2"/>
      <c r="E138" s="2"/>
      <c r="F138" s="2"/>
    </row>
    <row r="139" spans="1:6" x14ac:dyDescent="0.25">
      <c r="A139" s="2"/>
      <c r="B139" s="2"/>
      <c r="C139" s="2"/>
      <c r="D139" s="2"/>
      <c r="E139" s="2"/>
      <c r="F139" s="2"/>
    </row>
    <row r="140" spans="1:6" x14ac:dyDescent="0.25">
      <c r="A140" s="2"/>
      <c r="B140" s="2"/>
      <c r="C140" s="2"/>
      <c r="D140" s="2"/>
      <c r="E140" s="2"/>
      <c r="F140" s="2"/>
    </row>
    <row r="141" spans="1:6" x14ac:dyDescent="0.25">
      <c r="A141" s="2"/>
      <c r="B141" s="2"/>
      <c r="C141" s="2"/>
      <c r="D141" s="2"/>
      <c r="E141" s="2"/>
      <c r="F141" s="2"/>
    </row>
    <row r="142" spans="1:6" x14ac:dyDescent="0.25">
      <c r="A142" s="2"/>
      <c r="B142" s="2"/>
      <c r="C142" s="2"/>
      <c r="D142" s="2"/>
      <c r="E142" s="2"/>
      <c r="F142" s="2"/>
    </row>
    <row r="143" spans="1:6" x14ac:dyDescent="0.25">
      <c r="A143" s="2"/>
      <c r="B143" s="2"/>
      <c r="C143" s="2"/>
      <c r="D143" s="2"/>
      <c r="E143" s="2"/>
      <c r="F143" s="2"/>
    </row>
    <row r="144" spans="1:6" x14ac:dyDescent="0.25">
      <c r="A144" s="2"/>
      <c r="B144" s="2"/>
      <c r="C144" s="2"/>
      <c r="D144" s="2"/>
      <c r="E144" s="2"/>
      <c r="F144" s="2"/>
    </row>
    <row r="145" spans="1:6" x14ac:dyDescent="0.25">
      <c r="A145" s="2"/>
      <c r="B145" s="2"/>
      <c r="C145" s="2"/>
      <c r="D145" s="2"/>
      <c r="E145" s="2"/>
      <c r="F145" s="2"/>
    </row>
    <row r="146" spans="1:6" x14ac:dyDescent="0.25">
      <c r="A146" s="2"/>
      <c r="B146" s="2"/>
      <c r="C146" s="2"/>
      <c r="D146" s="2"/>
      <c r="E146" s="2"/>
      <c r="F146" s="2"/>
    </row>
    <row r="147" spans="1:6" x14ac:dyDescent="0.25">
      <c r="A147" s="2"/>
      <c r="B147" s="2"/>
      <c r="C147" s="2"/>
      <c r="D147" s="2"/>
      <c r="E147" s="2"/>
      <c r="F147" s="2"/>
    </row>
    <row r="148" spans="1:6" x14ac:dyDescent="0.25">
      <c r="A148" s="2"/>
      <c r="B148" s="2"/>
      <c r="C148" s="2"/>
      <c r="D148" s="2"/>
      <c r="E148" s="2"/>
      <c r="F148" s="2"/>
    </row>
    <row r="149" spans="1:6" x14ac:dyDescent="0.25">
      <c r="A149" s="2"/>
      <c r="B149" s="2"/>
      <c r="C149" s="2"/>
      <c r="D149" s="2"/>
      <c r="E149" s="2"/>
      <c r="F149" s="2"/>
    </row>
    <row r="150" spans="1:6" x14ac:dyDescent="0.25">
      <c r="A150" s="2"/>
      <c r="B150" s="2"/>
      <c r="C150" s="2"/>
      <c r="D150" s="2"/>
      <c r="E150" s="2"/>
      <c r="F150" s="2"/>
    </row>
    <row r="151" spans="1:6" x14ac:dyDescent="0.25">
      <c r="A151" s="2"/>
      <c r="B151" s="2"/>
      <c r="C151" s="2"/>
      <c r="D151" s="2"/>
      <c r="E151" s="2"/>
      <c r="F151" s="2"/>
    </row>
    <row r="152" spans="1:6" x14ac:dyDescent="0.25">
      <c r="A152" s="2"/>
      <c r="B152" s="2"/>
      <c r="C152" s="2"/>
      <c r="D152" s="2"/>
      <c r="E152" s="2"/>
      <c r="F152" s="2"/>
    </row>
    <row r="153" spans="1:6" x14ac:dyDescent="0.25">
      <c r="A153" s="2"/>
      <c r="B153" s="2"/>
      <c r="C153" s="2"/>
      <c r="D153" s="2"/>
      <c r="E153" s="2"/>
      <c r="F153" s="2"/>
    </row>
    <row r="154" spans="1:6" x14ac:dyDescent="0.25">
      <c r="A154" s="2"/>
      <c r="B154" s="2"/>
      <c r="C154" s="2"/>
      <c r="D154" s="2"/>
      <c r="E154" s="2"/>
      <c r="F154" s="2"/>
    </row>
    <row r="155" spans="1:6" x14ac:dyDescent="0.25">
      <c r="A155" s="2"/>
      <c r="B155" s="2"/>
      <c r="C155" s="2"/>
      <c r="D155" s="2"/>
      <c r="E155" s="2"/>
      <c r="F155" s="2"/>
    </row>
    <row r="156" spans="1:6" x14ac:dyDescent="0.25">
      <c r="A156" s="2"/>
      <c r="B156" s="2"/>
      <c r="C156" s="2"/>
      <c r="D156" s="2"/>
      <c r="E156" s="2"/>
      <c r="F156" s="2"/>
    </row>
    <row r="157" spans="1:6" x14ac:dyDescent="0.25">
      <c r="A157" s="2"/>
      <c r="B157" s="2"/>
      <c r="C157" s="2"/>
      <c r="D157" s="2"/>
      <c r="E157" s="2"/>
      <c r="F157" s="2"/>
    </row>
    <row r="158" spans="1:6" x14ac:dyDescent="0.25">
      <c r="A158" s="2"/>
      <c r="B158" s="2"/>
      <c r="C158" s="2"/>
      <c r="D158" s="2"/>
      <c r="E158" s="2"/>
      <c r="F158" s="2"/>
    </row>
    <row r="159" spans="1:6" x14ac:dyDescent="0.25">
      <c r="A159" s="2"/>
      <c r="B159" s="2"/>
      <c r="C159" s="2"/>
      <c r="D159" s="2"/>
      <c r="E159" s="2"/>
      <c r="F159" s="2"/>
    </row>
    <row r="160" spans="1:6" x14ac:dyDescent="0.25">
      <c r="A160" s="2"/>
      <c r="B160" s="2"/>
      <c r="C160" s="2"/>
      <c r="D160" s="2"/>
      <c r="E160" s="2"/>
      <c r="F160" s="2"/>
    </row>
    <row r="161" spans="1:6" x14ac:dyDescent="0.25">
      <c r="A161" s="2"/>
      <c r="B161" s="2"/>
      <c r="C161" s="2"/>
      <c r="D161" s="2"/>
      <c r="E161" s="2"/>
      <c r="F161" s="2"/>
    </row>
    <row r="162" spans="1:6" x14ac:dyDescent="0.25">
      <c r="A162" s="2"/>
      <c r="B162" s="2"/>
      <c r="C162" s="2"/>
      <c r="D162" s="2"/>
      <c r="E162" s="2"/>
      <c r="F162" s="2"/>
    </row>
    <row r="163" spans="1:6" x14ac:dyDescent="0.25">
      <c r="A163" s="2"/>
      <c r="B163" s="2"/>
      <c r="C163" s="2"/>
      <c r="D163" s="2"/>
      <c r="E163" s="2"/>
      <c r="F163" s="2"/>
    </row>
    <row r="164" spans="1:6" x14ac:dyDescent="0.25">
      <c r="A164" s="2"/>
      <c r="B164" s="2"/>
      <c r="C164" s="2"/>
      <c r="D164" s="2"/>
      <c r="E164" s="2"/>
      <c r="F164" s="2"/>
    </row>
    <row r="165" spans="1:6" x14ac:dyDescent="0.25">
      <c r="A165" s="2"/>
      <c r="B165" s="2"/>
      <c r="C165" s="2"/>
      <c r="D165" s="2"/>
      <c r="E165" s="2"/>
      <c r="F165" s="2"/>
    </row>
    <row r="166" spans="1:6" x14ac:dyDescent="0.25">
      <c r="A166" s="2"/>
      <c r="B166" s="2"/>
      <c r="C166" s="2"/>
      <c r="D166" s="2"/>
      <c r="E166" s="2"/>
      <c r="F166" s="2"/>
    </row>
  </sheetData>
  <mergeCells count="10">
    <mergeCell ref="A18:B18"/>
    <mergeCell ref="A11:F11"/>
    <mergeCell ref="A21:F21"/>
    <mergeCell ref="A1:F1"/>
    <mergeCell ref="A12:F12"/>
    <mergeCell ref="A5:F5"/>
    <mergeCell ref="A14:B14"/>
    <mergeCell ref="A15:B15"/>
    <mergeCell ref="A17:B17"/>
    <mergeCell ref="A16:B16"/>
  </mergeCells>
  <pageMargins left="0.23622047244094491" right="0.23622047244094491" top="1.0236220472440944" bottom="0.74803149606299213" header="0.31496062992125984" footer="0.31496062992125984"/>
  <pageSetup paperSize="9" orientation="landscape" r:id="rId1"/>
  <headerFooter>
    <oddHeader>&amp;L&amp;"-,Negrita"&amp;16NATURAL FORT
&amp;"-,Normal"Alimento para perros&amp;C&amp;"-,Negrita"&amp;18&amp;U&amp;A&amp;RDocente a cargo:  Jorge Scali
Alumno: Hugo Castromán</oddHeader>
    <oddFooter>&amp;CPágina &amp;P</oddFooter>
  </headerFooter>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Normal="100" workbookViewId="0">
      <selection activeCell="E13" sqref="E13"/>
    </sheetView>
  </sheetViews>
  <sheetFormatPr defaultColWidth="11.42578125" defaultRowHeight="15" x14ac:dyDescent="0.25"/>
  <cols>
    <col min="1" max="1" width="47.140625" bestFit="1" customWidth="1"/>
    <col min="2" max="2" width="13.7109375" bestFit="1" customWidth="1"/>
    <col min="3" max="3" width="17.140625" bestFit="1" customWidth="1"/>
    <col min="4" max="4" width="11.42578125" bestFit="1" customWidth="1"/>
    <col min="5" max="5" width="15.85546875" bestFit="1" customWidth="1"/>
    <col min="6" max="6" width="10.140625" bestFit="1" customWidth="1"/>
    <col min="7" max="7" width="15.85546875" bestFit="1" customWidth="1"/>
    <col min="8" max="13" width="9.85546875" customWidth="1"/>
  </cols>
  <sheetData>
    <row r="1" spans="1:11" ht="36" x14ac:dyDescent="0.55000000000000004">
      <c r="A1" s="97" t="s">
        <v>2</v>
      </c>
      <c r="B1" s="97"/>
      <c r="C1" s="97"/>
      <c r="D1" s="97"/>
      <c r="E1" s="97"/>
      <c r="F1" s="97"/>
      <c r="G1" s="97"/>
      <c r="H1" s="2"/>
      <c r="I1" s="2"/>
      <c r="J1" s="2"/>
      <c r="K1" s="2"/>
    </row>
    <row r="2" spans="1:11" x14ac:dyDescent="0.25">
      <c r="A2" s="2"/>
      <c r="B2" s="2"/>
      <c r="C2" s="2"/>
      <c r="D2" s="2"/>
      <c r="E2" s="2"/>
      <c r="F2" s="2"/>
      <c r="G2" s="2"/>
      <c r="H2" s="2"/>
      <c r="I2" s="2"/>
      <c r="J2" s="2"/>
      <c r="K2" s="2"/>
    </row>
    <row r="3" spans="1:11" x14ac:dyDescent="0.25">
      <c r="A3" s="2"/>
      <c r="B3" s="2"/>
      <c r="C3" s="2"/>
      <c r="D3" s="2"/>
      <c r="E3" s="2"/>
      <c r="F3" s="2"/>
      <c r="G3" s="2"/>
      <c r="H3" s="2"/>
      <c r="I3" s="2"/>
      <c r="J3" s="2"/>
      <c r="K3" s="2"/>
    </row>
    <row r="4" spans="1:11" x14ac:dyDescent="0.25">
      <c r="A4" s="2"/>
      <c r="B4" s="2"/>
      <c r="C4" s="2"/>
      <c r="D4" s="2"/>
      <c r="E4" s="2"/>
      <c r="F4" s="2"/>
      <c r="G4" s="2"/>
      <c r="H4" s="2"/>
      <c r="I4" s="2"/>
      <c r="J4" s="2"/>
      <c r="K4" s="2"/>
    </row>
    <row r="5" spans="1:11" ht="21" x14ac:dyDescent="0.35">
      <c r="A5" s="100" t="s">
        <v>39</v>
      </c>
      <c r="B5" s="100"/>
      <c r="C5" s="100"/>
      <c r="D5" s="100"/>
      <c r="E5" s="100"/>
      <c r="F5" s="100"/>
      <c r="G5" s="100"/>
      <c r="H5" s="2"/>
      <c r="I5" s="2"/>
      <c r="J5" s="2"/>
      <c r="K5" s="2"/>
    </row>
    <row r="6" spans="1:11" x14ac:dyDescent="0.25">
      <c r="A6" s="2"/>
      <c r="B6" s="2"/>
      <c r="C6" s="2"/>
      <c r="D6" s="2"/>
      <c r="E6" s="2"/>
      <c r="F6" s="2"/>
      <c r="G6" s="2"/>
      <c r="H6" s="2"/>
      <c r="I6" s="2"/>
      <c r="J6" s="2"/>
      <c r="K6" s="2"/>
    </row>
    <row r="7" spans="1:11" ht="15.75" thickBot="1" x14ac:dyDescent="0.3">
      <c r="A7" s="31"/>
      <c r="B7" s="103" t="s">
        <v>85</v>
      </c>
      <c r="C7" s="104"/>
      <c r="D7" s="103" t="s">
        <v>86</v>
      </c>
      <c r="E7" s="104"/>
      <c r="F7" s="103" t="s">
        <v>37</v>
      </c>
      <c r="G7" s="104"/>
      <c r="H7" s="2"/>
      <c r="I7" s="2"/>
      <c r="J7" s="2"/>
      <c r="K7" s="2"/>
    </row>
    <row r="8" spans="1:11" ht="16.5" thickTop="1" thickBot="1" x14ac:dyDescent="0.3">
      <c r="A8" s="31" t="s">
        <v>43</v>
      </c>
      <c r="B8" s="31" t="s">
        <v>32</v>
      </c>
      <c r="C8" s="32" t="s">
        <v>75</v>
      </c>
      <c r="D8" s="31" t="s">
        <v>32</v>
      </c>
      <c r="E8" s="32" t="s">
        <v>75</v>
      </c>
      <c r="F8" s="31" t="s">
        <v>32</v>
      </c>
      <c r="G8" s="32" t="s">
        <v>75</v>
      </c>
      <c r="H8" s="2"/>
      <c r="I8" s="2"/>
      <c r="J8" s="2"/>
      <c r="K8" s="2"/>
    </row>
    <row r="9" spans="1:11" ht="16.5" thickTop="1" thickBot="1" x14ac:dyDescent="0.3">
      <c r="A9" s="33" t="str">
        <f>'PROYECCION DE VENTAS'!A39:B39</f>
        <v>Enterprise Almacenamiento (Producto)</v>
      </c>
      <c r="B9" s="34">
        <f>'PROYECCION DE VENTAS'!B51+'PROYECCION DE VENTAS'!D51+'PROYECCION DE VENTAS'!F51+'PROYECCION DE VENTAS'!H51+'PROYECCION DE VENTAS'!J51+'PROYECCION DE VENTAS'!L51+'PROYECCION DE VENTAS'!N51+'PROYECCION DE VENTAS'!P51+'PROYECCION DE VENTAS'!R51+'PROYECCION DE VENTAS'!T51+'PROYECCION DE VENTAS'!V51+'PROYECCION DE VENTAS'!X51</f>
        <v>3</v>
      </c>
      <c r="C9" s="12">
        <f>'PROYECCION DE VENTAS'!C51+'PROYECCION DE VENTAS'!E51+'PROYECCION DE VENTAS'!G51+'PROYECCION DE VENTAS'!I51+'PROYECCION DE VENTAS'!K51+'PROYECCION DE VENTAS'!M51+'PROYECCION DE VENTAS'!O51+'PROYECCION DE VENTAS'!Q51+'PROYECCION DE VENTAS'!S51+'PROYECCION DE VENTAS'!U51+'PROYECCION DE VENTAS'!W51+'PROYECCION DE VENTAS'!Y51</f>
        <v>180000</v>
      </c>
      <c r="D9" s="34">
        <f>'PROYECCION DE VENTAS'!B65+'PROYECCION DE VENTAS'!D65+'PROYECCION DE VENTAS'!F65+'PROYECCION DE VENTAS'!H65+'PROYECCION DE VENTAS'!J65+'PROYECCION DE VENTAS'!L65+'PROYECCION DE VENTAS'!N65+'PROYECCION DE VENTAS'!P65+'PROYECCION DE VENTAS'!R65+'PROYECCION DE VENTAS'!T65+'PROYECCION DE VENTAS'!V65+'PROYECCION DE VENTAS'!X65</f>
        <v>4</v>
      </c>
      <c r="E9" s="12">
        <f>'PROYECCION DE VENTAS'!C65+'PROYECCION DE VENTAS'!E65+'PROYECCION DE VENTAS'!G65+'PROYECCION DE VENTAS'!I65+'PROYECCION DE VENTAS'!K65+'PROYECCION DE VENTAS'!M65+'PROYECCION DE VENTAS'!O65+'PROYECCION DE VENTAS'!Q65+'PROYECCION DE VENTAS'!S65+'PROYECCION DE VENTAS'!U65+'PROYECCION DE VENTAS'!W65+'PROYECCION DE VENTAS'!Y65</f>
        <v>240000</v>
      </c>
      <c r="F9" s="34">
        <f>'PROYECCION DE VENTAS'!B79+'PROYECCION DE VENTAS'!D79+'PROYECCION DE VENTAS'!F79+'PROYECCION DE VENTAS'!H79+'PROYECCION DE VENTAS'!J79+'PROYECCION DE VENTAS'!L79+'PROYECCION DE VENTAS'!N79+'PROYECCION DE VENTAS'!P79+'PROYECCION DE VENTAS'!R79+'PROYECCION DE VENTAS'!T79+'PROYECCION DE VENTAS'!V79+'PROYECCION DE VENTAS'!X79</f>
        <v>4</v>
      </c>
      <c r="G9" s="12">
        <f>'PROYECCION DE VENTAS'!C79+'PROYECCION DE VENTAS'!E79+'PROYECCION DE VENTAS'!G79+'PROYECCION DE VENTAS'!I79+'PROYECCION DE VENTAS'!K79+'PROYECCION DE VENTAS'!M79+'PROYECCION DE VENTAS'!O79+'PROYECCION DE VENTAS'!Q79+'PROYECCION DE VENTAS'!S79+'PROYECCION DE VENTAS'!U79+'PROYECCION DE VENTAS'!W79+'PROYECCION DE VENTAS'!Y79</f>
        <v>240000</v>
      </c>
      <c r="H9" s="2"/>
      <c r="I9" s="2"/>
      <c r="J9" s="2"/>
      <c r="K9" s="2"/>
    </row>
    <row r="10" spans="1:11" ht="15.75" thickTop="1" x14ac:dyDescent="0.25">
      <c r="A10" s="35" t="str">
        <f>'PROYECCION DE VENTAS'!A40:B40</f>
        <v>Enterprise Almacenamiento (Licencia Mens.)</v>
      </c>
      <c r="B10" s="9">
        <f>'PROYECCION DE VENTAS'!B52+'PROYECCION DE VENTAS'!D52+'PROYECCION DE VENTAS'!F52+'PROYECCION DE VENTAS'!H52+'PROYECCION DE VENTAS'!J52+'PROYECCION DE VENTAS'!L52+'PROYECCION DE VENTAS'!N52+'PROYECCION DE VENTAS'!P52+'PROYECCION DE VENTAS'!R52+'PROYECCION DE VENTAS'!T52+'PROYECCION DE VENTAS'!V52+'PROYECCION DE VENTAS'!X52</f>
        <v>45</v>
      </c>
      <c r="C10" s="10">
        <f>'PROYECCION DE VENTAS'!C52+'PROYECCION DE VENTAS'!E52+'PROYECCION DE VENTAS'!G52+'PROYECCION DE VENTAS'!I52+'PROYECCION DE VENTAS'!K52+'PROYECCION DE VENTAS'!M52+'PROYECCION DE VENTAS'!O52+'PROYECCION DE VENTAS'!Q52+'PROYECCION DE VENTAS'!S52+'PROYECCION DE VENTAS'!U52+'PROYECCION DE VENTAS'!W52+'PROYECCION DE VENTAS'!Y52</f>
        <v>81000</v>
      </c>
      <c r="D10" s="9">
        <f>'PROYECCION DE VENTAS'!B66+'PROYECCION DE VENTAS'!D66+'PROYECCION DE VENTAS'!F66+'PROYECCION DE VENTAS'!H66+'PROYECCION DE VENTAS'!J66+'PROYECCION DE VENTAS'!L66+'PROYECCION DE VENTAS'!N66+'PROYECCION DE VENTAS'!P66+'PROYECCION DE VENTAS'!R66+'PROYECCION DE VENTAS'!T66+'PROYECCION DE VENTAS'!V66+'PROYECCION DE VENTAS'!X66</f>
        <v>153</v>
      </c>
      <c r="E10" s="10">
        <f>'PROYECCION DE VENTAS'!C66+'PROYECCION DE VENTAS'!E66+'PROYECCION DE VENTAS'!G66+'PROYECCION DE VENTAS'!I66+'PROYECCION DE VENTAS'!K66+'PROYECCION DE VENTAS'!M66+'PROYECCION DE VENTAS'!O66+'PROYECCION DE VENTAS'!Q66+'PROYECCION DE VENTAS'!S66+'PROYECCION DE VENTAS'!U66+'PROYECCION DE VENTAS'!W66+'PROYECCION DE VENTAS'!Y66</f>
        <v>275400</v>
      </c>
      <c r="F10" s="9">
        <f>'PROYECCION DE VENTAS'!B80+'PROYECCION DE VENTAS'!D80+'PROYECCION DE VENTAS'!F80+'PROYECCION DE VENTAS'!H80+'PROYECCION DE VENTAS'!J80+'PROYECCION DE VENTAS'!L80+'PROYECCION DE VENTAS'!N80+'PROYECCION DE VENTAS'!P80+'PROYECCION DE VENTAS'!R80+'PROYECCION DE VENTAS'!T80+'PROYECCION DE VENTAS'!V80+'PROYECCION DE VENTAS'!X80</f>
        <v>261</v>
      </c>
      <c r="G10" s="10">
        <f>'PROYECCION DE VENTAS'!C80+'PROYECCION DE VENTAS'!E80+'PROYECCION DE VENTAS'!G80+'PROYECCION DE VENTAS'!I80+'PROYECCION DE VENTAS'!K80+'PROYECCION DE VENTAS'!M80+'PROYECCION DE VENTAS'!O80+'PROYECCION DE VENTAS'!Q80+'PROYECCION DE VENTAS'!S80+'PROYECCION DE VENTAS'!U80+'PROYECCION DE VENTAS'!W80+'PROYECCION DE VENTAS'!Y80</f>
        <v>469800</v>
      </c>
      <c r="H10" s="2"/>
      <c r="I10" s="2"/>
      <c r="J10" s="2"/>
      <c r="K10" s="2"/>
    </row>
    <row r="11" spans="1:11" ht="15.75" thickBot="1" x14ac:dyDescent="0.3">
      <c r="A11" s="33" t="str">
        <f>'PROYECCION DE VENTAS'!A41:B41</f>
        <v>Enterprise Transporte (Producto)</v>
      </c>
      <c r="B11" s="34">
        <f>'PROYECCION DE VENTAS'!B53+'PROYECCION DE VENTAS'!D53+'PROYECCION DE VENTAS'!F53+'PROYECCION DE VENTAS'!H53+'PROYECCION DE VENTAS'!J53+'PROYECCION DE VENTAS'!L53+'PROYECCION DE VENTAS'!N53+'PROYECCION DE VENTAS'!P53+'PROYECCION DE VENTAS'!R53+'PROYECCION DE VENTAS'!T53+'PROYECCION DE VENTAS'!V53+'PROYECCION DE VENTAS'!X53</f>
        <v>3</v>
      </c>
      <c r="C11" s="12">
        <f>'PROYECCION DE VENTAS'!C53+'PROYECCION DE VENTAS'!E53+'PROYECCION DE VENTAS'!G53+'PROYECCION DE VENTAS'!I53+'PROYECCION DE VENTAS'!K53+'PROYECCION DE VENTAS'!M53+'PROYECCION DE VENTAS'!O53+'PROYECCION DE VENTAS'!Q53+'PROYECCION DE VENTAS'!S53+'PROYECCION DE VENTAS'!U53+'PROYECCION DE VENTAS'!W53+'PROYECCION DE VENTAS'!Y53</f>
        <v>105000</v>
      </c>
      <c r="D11" s="34">
        <f>'PROYECCION DE VENTAS'!B67+'PROYECCION DE VENTAS'!D67+'PROYECCION DE VENTAS'!F67+'PROYECCION DE VENTAS'!H67+'PROYECCION DE VENTAS'!J67+'PROYECCION DE VENTAS'!L67+'PROYECCION DE VENTAS'!N67+'PROYECCION DE VENTAS'!P67+'PROYECCION DE VENTAS'!R67+'PROYECCION DE VENTAS'!T67+'PROYECCION DE VENTAS'!V67+'PROYECCION DE VENTAS'!X67</f>
        <v>4</v>
      </c>
      <c r="E11" s="12">
        <f>'PROYECCION DE VENTAS'!C67+'PROYECCION DE VENTAS'!E67+'PROYECCION DE VENTAS'!G67+'PROYECCION DE VENTAS'!I67+'PROYECCION DE VENTAS'!K67+'PROYECCION DE VENTAS'!M67+'PROYECCION DE VENTAS'!O67+'PROYECCION DE VENTAS'!Q67+'PROYECCION DE VENTAS'!S67+'PROYECCION DE VENTAS'!U67+'PROYECCION DE VENTAS'!W67+'PROYECCION DE VENTAS'!Y67</f>
        <v>140000</v>
      </c>
      <c r="F11" s="34">
        <f>'PROYECCION DE VENTAS'!B81+'PROYECCION DE VENTAS'!D81+'PROYECCION DE VENTAS'!F81+'PROYECCION DE VENTAS'!H81+'PROYECCION DE VENTAS'!J81+'PROYECCION DE VENTAS'!L81+'PROYECCION DE VENTAS'!N81+'PROYECCION DE VENTAS'!P81+'PROYECCION DE VENTAS'!R81+'PROYECCION DE VENTAS'!T81+'PROYECCION DE VENTAS'!V81+'PROYECCION DE VENTAS'!X81</f>
        <v>4</v>
      </c>
      <c r="G11" s="12">
        <f>'PROYECCION DE VENTAS'!C81+'PROYECCION DE VENTAS'!E81+'PROYECCION DE VENTAS'!G81+'PROYECCION DE VENTAS'!I81+'PROYECCION DE VENTAS'!K81+'PROYECCION DE VENTAS'!M81+'PROYECCION DE VENTAS'!O81+'PROYECCION DE VENTAS'!Q81+'PROYECCION DE VENTAS'!S81+'PROYECCION DE VENTAS'!U81+'PROYECCION DE VENTAS'!W81+'PROYECCION DE VENTAS'!Y81</f>
        <v>140000</v>
      </c>
      <c r="H11" s="2"/>
      <c r="I11" s="2"/>
      <c r="J11" s="2"/>
      <c r="K11" s="2"/>
    </row>
    <row r="12" spans="1:11" ht="15.75" thickTop="1" x14ac:dyDescent="0.25">
      <c r="A12" s="35" t="str">
        <f>'PROYECCION DE VENTAS'!A42:B42</f>
        <v>Enterprise Transporte (Licencia Mens.)</v>
      </c>
      <c r="B12" s="9">
        <f>'PROYECCION DE VENTAS'!B54+'PROYECCION DE VENTAS'!D54+'PROYECCION DE VENTAS'!F54+'PROYECCION DE VENTAS'!H54+'PROYECCION DE VENTAS'!J54+'PROYECCION DE VENTAS'!L54+'PROYECCION DE VENTAS'!N54+'PROYECCION DE VENTAS'!P54+'PROYECCION DE VENTAS'!R54+'PROYECCION DE VENTAS'!T54+'PROYECCION DE VENTAS'!V54+'PROYECCION DE VENTAS'!X54</f>
        <v>45</v>
      </c>
      <c r="C12" s="10">
        <f>'PROYECCION DE VENTAS'!C54+'PROYECCION DE VENTAS'!E54+'PROYECCION DE VENTAS'!G54+'PROYECCION DE VENTAS'!I54+'PROYECCION DE VENTAS'!K54+'PROYECCION DE VENTAS'!M54+'PROYECCION DE VENTAS'!O54+'PROYECCION DE VENTAS'!Q54+'PROYECCION DE VENTAS'!S54+'PROYECCION DE VENTAS'!U54+'PROYECCION DE VENTAS'!W54+'PROYECCION DE VENTAS'!Y54</f>
        <v>81000</v>
      </c>
      <c r="D12" s="9">
        <f>'PROYECCION DE VENTAS'!B68+'PROYECCION DE VENTAS'!D68+'PROYECCION DE VENTAS'!F68+'PROYECCION DE VENTAS'!H68+'PROYECCION DE VENTAS'!J68+'PROYECCION DE VENTAS'!L68+'PROYECCION DE VENTAS'!N68+'PROYECCION DE VENTAS'!P68+'PROYECCION DE VENTAS'!R68+'PROYECCION DE VENTAS'!T68+'PROYECCION DE VENTAS'!V68+'PROYECCION DE VENTAS'!X68</f>
        <v>153</v>
      </c>
      <c r="E12" s="10">
        <f>'PROYECCION DE VENTAS'!C68+'PROYECCION DE VENTAS'!E68+'PROYECCION DE VENTAS'!G68+'PROYECCION DE VENTAS'!I68+'PROYECCION DE VENTAS'!K68+'PROYECCION DE VENTAS'!M68+'PROYECCION DE VENTAS'!O68+'PROYECCION DE VENTAS'!Q68+'PROYECCION DE VENTAS'!S68+'PROYECCION DE VENTAS'!U68+'PROYECCION DE VENTAS'!W68+'PROYECCION DE VENTAS'!Y68</f>
        <v>275400</v>
      </c>
      <c r="F12" s="9">
        <f>'PROYECCION DE VENTAS'!B82+'PROYECCION DE VENTAS'!D82+'PROYECCION DE VENTAS'!F82+'PROYECCION DE VENTAS'!H82+'PROYECCION DE VENTAS'!J82+'PROYECCION DE VENTAS'!L82+'PROYECCION DE VENTAS'!N82+'PROYECCION DE VENTAS'!P82+'PROYECCION DE VENTAS'!R82+'PROYECCION DE VENTAS'!T82+'PROYECCION DE VENTAS'!V82+'PROYECCION DE VENTAS'!X82</f>
        <v>261</v>
      </c>
      <c r="G12" s="10">
        <f>'PROYECCION DE VENTAS'!C82+'PROYECCION DE VENTAS'!E82+'PROYECCION DE VENTAS'!G82+'PROYECCION DE VENTAS'!I82+'PROYECCION DE VENTAS'!K82+'PROYECCION DE VENTAS'!M82+'PROYECCION DE VENTAS'!O82+'PROYECCION DE VENTAS'!Q82+'PROYECCION DE VENTAS'!S82+'PROYECCION DE VENTAS'!U82+'PROYECCION DE VENTAS'!W82+'PROYECCION DE VENTAS'!Y82</f>
        <v>469800</v>
      </c>
      <c r="H12" s="2"/>
      <c r="I12" s="2"/>
      <c r="J12" s="2"/>
      <c r="K12" s="2"/>
    </row>
    <row r="13" spans="1:11" ht="15.75" thickBot="1" x14ac:dyDescent="0.3">
      <c r="A13" s="33" t="str">
        <f>'PROYECCION DE VENTAS'!A43:B43</f>
        <v>Enterprise Distribución (Producto)</v>
      </c>
      <c r="B13" s="34">
        <f>'PROYECCION DE VENTAS'!B55+'PROYECCION DE VENTAS'!D55+'PROYECCION DE VENTAS'!F55+'PROYECCION DE VENTAS'!H55+'PROYECCION DE VENTAS'!J55+'PROYECCION DE VENTAS'!L55+'PROYECCION DE VENTAS'!N55+'PROYECCION DE VENTAS'!P55+'PROYECCION DE VENTAS'!R55+'PROYECCION DE VENTAS'!T55+'PROYECCION DE VENTAS'!V55+'PROYECCION DE VENTAS'!X55</f>
        <v>3</v>
      </c>
      <c r="C13" s="12">
        <f>'PROYECCION DE VENTAS'!C55+'PROYECCION DE VENTAS'!E55+'PROYECCION DE VENTAS'!G55+'PROYECCION DE VENTAS'!I55+'PROYECCION DE VENTAS'!K55+'PROYECCION DE VENTAS'!M55+'PROYECCION DE VENTAS'!O55+'PROYECCION DE VENTAS'!Q55+'PROYECCION DE VENTAS'!S55+'PROYECCION DE VENTAS'!U55+'PROYECCION DE VENTAS'!W55+'PROYECCION DE VENTAS'!Y55</f>
        <v>150000</v>
      </c>
      <c r="D13" s="34">
        <f>'PROYECCION DE VENTAS'!B69+'PROYECCION DE VENTAS'!D69+'PROYECCION DE VENTAS'!F69+'PROYECCION DE VENTAS'!H69+'PROYECCION DE VENTAS'!J69+'PROYECCION DE VENTAS'!L69+'PROYECCION DE VENTAS'!N69+'PROYECCION DE VENTAS'!P69+'PROYECCION DE VENTAS'!R69+'PROYECCION DE VENTAS'!T69+'PROYECCION DE VENTAS'!V69+'PROYECCION DE VENTAS'!X69</f>
        <v>4</v>
      </c>
      <c r="E13" s="12">
        <f>'PROYECCION DE VENTAS'!C69+'PROYECCION DE VENTAS'!E69+'PROYECCION DE VENTAS'!G69+'PROYECCION DE VENTAS'!I69+'PROYECCION DE VENTAS'!K69+'PROYECCION DE VENTAS'!M69+'PROYECCION DE VENTAS'!O69+'PROYECCION DE VENTAS'!Q69+'PROYECCION DE VENTAS'!S69+'PROYECCION DE VENTAS'!U69+'PROYECCION DE VENTAS'!W69+'PROYECCION DE VENTAS'!Y69</f>
        <v>200000</v>
      </c>
      <c r="F13" s="34">
        <f>'PROYECCION DE VENTAS'!B83+'PROYECCION DE VENTAS'!D83+'PROYECCION DE VENTAS'!F83+'PROYECCION DE VENTAS'!H83+'PROYECCION DE VENTAS'!J83+'PROYECCION DE VENTAS'!L83+'PROYECCION DE VENTAS'!N83+'PROYECCION DE VENTAS'!P83+'PROYECCION DE VENTAS'!R83+'PROYECCION DE VENTAS'!T83+'PROYECCION DE VENTAS'!V83+'PROYECCION DE VENTAS'!X83</f>
        <v>4</v>
      </c>
      <c r="G13" s="12">
        <f>'PROYECCION DE VENTAS'!C83+'PROYECCION DE VENTAS'!E83+'PROYECCION DE VENTAS'!G83+'PROYECCION DE VENTAS'!I83+'PROYECCION DE VENTAS'!K83+'PROYECCION DE VENTAS'!M83+'PROYECCION DE VENTAS'!O83+'PROYECCION DE VENTAS'!Q83+'PROYECCION DE VENTAS'!S83+'PROYECCION DE VENTAS'!U83+'PROYECCION DE VENTAS'!W83+'PROYECCION DE VENTAS'!Y83</f>
        <v>200000</v>
      </c>
      <c r="H13" s="2"/>
      <c r="I13" s="2"/>
      <c r="J13" s="2"/>
      <c r="K13" s="2"/>
    </row>
    <row r="14" spans="1:11" ht="15.75" thickTop="1" x14ac:dyDescent="0.25">
      <c r="A14" s="35" t="str">
        <f>'PROYECCION DE VENTAS'!A44:B44</f>
        <v>Enterprise Distribución (Licencia Mens.)</v>
      </c>
      <c r="B14" s="9">
        <f>'PROYECCION DE VENTAS'!B56+'PROYECCION DE VENTAS'!D56+'PROYECCION DE VENTAS'!F56+'PROYECCION DE VENTAS'!H56+'PROYECCION DE VENTAS'!J56+'PROYECCION DE VENTAS'!L56+'PROYECCION DE VENTAS'!N56+'PROYECCION DE VENTAS'!P56+'PROYECCION DE VENTAS'!R56+'PROYECCION DE VENTAS'!T56+'PROYECCION DE VENTAS'!V56+'PROYECCION DE VENTAS'!X56</f>
        <v>450</v>
      </c>
      <c r="C14" s="10">
        <f>'PROYECCION DE VENTAS'!C56+'PROYECCION DE VENTAS'!E56+'PROYECCION DE VENTAS'!G56+'PROYECCION DE VENTAS'!I56+'PROYECCION DE VENTAS'!K56+'PROYECCION DE VENTAS'!M56+'PROYECCION DE VENTAS'!O56+'PROYECCION DE VENTAS'!Q56+'PROYECCION DE VENTAS'!S56+'PROYECCION DE VENTAS'!U56+'PROYECCION DE VENTAS'!W56+'PROYECCION DE VENTAS'!Y56</f>
        <v>810000</v>
      </c>
      <c r="D14" s="9">
        <f>'PROYECCION DE VENTAS'!B70+'PROYECCION DE VENTAS'!D70+'PROYECCION DE VENTAS'!F70+'PROYECCION DE VENTAS'!H70+'PROYECCION DE VENTAS'!J70+'PROYECCION DE VENTAS'!L70+'PROYECCION DE VENTAS'!N70+'PROYECCION DE VENTAS'!P70+'PROYECCION DE VENTAS'!R70+'PROYECCION DE VENTAS'!T70+'PROYECCION DE VENTAS'!V70+'PROYECCION DE VENTAS'!X70</f>
        <v>1530</v>
      </c>
      <c r="E14" s="10">
        <f>'PROYECCION DE VENTAS'!C70+'PROYECCION DE VENTAS'!E70+'PROYECCION DE VENTAS'!G70+'PROYECCION DE VENTAS'!I70+'PROYECCION DE VENTAS'!K70+'PROYECCION DE VENTAS'!M70+'PROYECCION DE VENTAS'!O70+'PROYECCION DE VENTAS'!Q70+'PROYECCION DE VENTAS'!S70+'PROYECCION DE VENTAS'!U70+'PROYECCION DE VENTAS'!W70+'PROYECCION DE VENTAS'!Y70</f>
        <v>2754000</v>
      </c>
      <c r="F14" s="9">
        <f>'PROYECCION DE VENTAS'!B84+'PROYECCION DE VENTAS'!D84+'PROYECCION DE VENTAS'!F84+'PROYECCION DE VENTAS'!H84+'PROYECCION DE VENTAS'!J84+'PROYECCION DE VENTAS'!L84+'PROYECCION DE VENTAS'!N84+'PROYECCION DE VENTAS'!P84+'PROYECCION DE VENTAS'!R84+'PROYECCION DE VENTAS'!T84+'PROYECCION DE VENTAS'!V84+'PROYECCION DE VENTAS'!X84</f>
        <v>2610</v>
      </c>
      <c r="G14" s="10">
        <f>'PROYECCION DE VENTAS'!C84+'PROYECCION DE VENTAS'!E84+'PROYECCION DE VENTAS'!G84+'PROYECCION DE VENTAS'!I84+'PROYECCION DE VENTAS'!K84+'PROYECCION DE VENTAS'!M84+'PROYECCION DE VENTAS'!O84+'PROYECCION DE VENTAS'!Q84+'PROYECCION DE VENTAS'!S84+'PROYECCION DE VENTAS'!U84+'PROYECCION DE VENTAS'!W84+'PROYECCION DE VENTAS'!Y84</f>
        <v>4698000</v>
      </c>
      <c r="H14" s="2"/>
      <c r="I14" s="2"/>
      <c r="J14" s="2"/>
      <c r="K14" s="2"/>
    </row>
    <row r="15" spans="1:11" ht="15.75" thickBot="1" x14ac:dyDescent="0.3">
      <c r="A15" s="36" t="s">
        <v>0</v>
      </c>
      <c r="B15" s="31"/>
      <c r="C15" s="37">
        <f>SUM(C9:C14)</f>
        <v>1407000</v>
      </c>
      <c r="D15" s="32"/>
      <c r="E15" s="37">
        <f>SUM(E9:E14)</f>
        <v>3884800</v>
      </c>
      <c r="F15" s="32"/>
      <c r="G15" s="37">
        <f>SUM(G9:G14)</f>
        <v>6217600</v>
      </c>
      <c r="H15" s="2"/>
      <c r="I15" s="2"/>
      <c r="J15" s="2"/>
      <c r="K15" s="2"/>
    </row>
    <row r="16" spans="1:11" ht="15.75" thickTop="1" x14ac:dyDescent="0.25">
      <c r="A16" s="2"/>
      <c r="B16" s="2"/>
      <c r="C16" s="2"/>
      <c r="D16" s="2"/>
      <c r="E16" s="2"/>
      <c r="F16" s="2"/>
      <c r="G16" s="2"/>
      <c r="H16" s="2"/>
      <c r="I16" s="2"/>
      <c r="J16" s="2"/>
      <c r="K16" s="2"/>
    </row>
    <row r="17" spans="1:11" x14ac:dyDescent="0.25">
      <c r="A17" s="2"/>
      <c r="B17" s="2"/>
      <c r="C17" s="2"/>
      <c r="D17" s="2"/>
      <c r="E17" s="2"/>
      <c r="F17" s="2"/>
      <c r="G17" s="2"/>
      <c r="H17" s="2"/>
      <c r="I17" s="2"/>
      <c r="J17" s="2"/>
      <c r="K17" s="2"/>
    </row>
    <row r="18" spans="1:11" ht="21" x14ac:dyDescent="0.35">
      <c r="A18" s="100" t="s">
        <v>38</v>
      </c>
      <c r="B18" s="100"/>
      <c r="C18" s="100"/>
      <c r="D18" s="100"/>
      <c r="E18" s="100"/>
      <c r="F18" s="100"/>
      <c r="G18" s="100"/>
      <c r="H18" s="2"/>
      <c r="I18" s="2"/>
      <c r="J18" s="2"/>
      <c r="K18" s="2"/>
    </row>
    <row r="19" spans="1:11" x14ac:dyDescent="0.25">
      <c r="A19" s="2"/>
      <c r="B19" s="2"/>
      <c r="C19" s="2"/>
      <c r="D19" s="2"/>
      <c r="E19" s="2"/>
      <c r="F19" s="2"/>
      <c r="G19" s="2"/>
      <c r="H19" s="2"/>
      <c r="I19" s="2"/>
      <c r="J19" s="2"/>
      <c r="K19" s="2"/>
    </row>
    <row r="20" spans="1:11" ht="15.75" thickBot="1" x14ac:dyDescent="0.3">
      <c r="A20" s="31" t="s">
        <v>33</v>
      </c>
      <c r="B20" s="31" t="s">
        <v>8</v>
      </c>
      <c r="C20" s="32" t="s">
        <v>34</v>
      </c>
      <c r="D20" s="2"/>
      <c r="E20" s="2"/>
      <c r="F20" s="2"/>
      <c r="G20" s="2"/>
      <c r="H20" s="2"/>
      <c r="I20" s="2"/>
      <c r="J20" s="2"/>
      <c r="K20" s="2"/>
    </row>
    <row r="21" spans="1:11" ht="16.5" thickTop="1" thickBot="1" x14ac:dyDescent="0.3">
      <c r="A21" s="38" t="s">
        <v>35</v>
      </c>
      <c r="B21" s="39">
        <v>0.01</v>
      </c>
      <c r="C21" s="10">
        <f>C15</f>
        <v>1407000</v>
      </c>
      <c r="D21" s="2"/>
      <c r="E21" s="2"/>
      <c r="F21" s="2"/>
      <c r="G21" s="2"/>
      <c r="H21" s="2"/>
      <c r="I21" s="2"/>
      <c r="J21" s="2"/>
      <c r="K21" s="2"/>
    </row>
    <row r="22" spans="1:11" ht="16.5" thickTop="1" thickBot="1" x14ac:dyDescent="0.3">
      <c r="A22" s="40" t="s">
        <v>36</v>
      </c>
      <c r="B22" s="41">
        <v>0.03</v>
      </c>
      <c r="C22" s="10">
        <f>E15</f>
        <v>3884800</v>
      </c>
      <c r="D22" s="2"/>
      <c r="E22" s="2"/>
      <c r="F22" s="2"/>
      <c r="G22" s="2"/>
      <c r="H22" s="2"/>
      <c r="I22" s="2"/>
      <c r="J22" s="2"/>
      <c r="K22" s="2"/>
    </row>
    <row r="23" spans="1:11" ht="15.75" thickTop="1" x14ac:dyDescent="0.25">
      <c r="A23" s="38" t="s">
        <v>37</v>
      </c>
      <c r="B23" s="39">
        <v>0.05</v>
      </c>
      <c r="C23" s="10">
        <f>G15</f>
        <v>6217600</v>
      </c>
      <c r="D23" s="2"/>
      <c r="E23" s="2"/>
      <c r="F23" s="2"/>
      <c r="G23" s="2"/>
      <c r="H23" s="2"/>
      <c r="I23" s="2"/>
      <c r="J23" s="2"/>
      <c r="K23" s="2"/>
    </row>
    <row r="24" spans="1:11" ht="15.75" thickBot="1" x14ac:dyDescent="0.3">
      <c r="A24" s="36" t="s">
        <v>0</v>
      </c>
      <c r="B24" s="31"/>
      <c r="C24" s="37">
        <f>SUM(C21:C23)</f>
        <v>11509400</v>
      </c>
      <c r="D24" s="2"/>
      <c r="E24" s="2"/>
      <c r="F24" s="2"/>
      <c r="G24" s="2"/>
      <c r="H24" s="2"/>
      <c r="I24" s="2"/>
      <c r="J24" s="2"/>
      <c r="K24" s="2"/>
    </row>
    <row r="25" spans="1:11" ht="15.75" thickTop="1" x14ac:dyDescent="0.25">
      <c r="A25" s="3"/>
      <c r="B25" s="3"/>
      <c r="C25" s="3"/>
      <c r="D25" s="3"/>
      <c r="E25" s="3"/>
      <c r="F25" s="3"/>
      <c r="G25" s="3"/>
      <c r="H25" s="3"/>
      <c r="I25" s="3"/>
      <c r="J25" s="3"/>
      <c r="K25" s="3"/>
    </row>
    <row r="26" spans="1:11" x14ac:dyDescent="0.25">
      <c r="A26" s="3"/>
      <c r="B26" s="3"/>
      <c r="C26" s="3"/>
      <c r="D26" s="3"/>
      <c r="E26" s="3"/>
      <c r="F26" s="3"/>
      <c r="G26" s="3"/>
      <c r="H26" s="3"/>
      <c r="I26" s="3"/>
      <c r="J26" s="3"/>
      <c r="K26" s="3"/>
    </row>
  </sheetData>
  <mergeCells count="6">
    <mergeCell ref="A1:G1"/>
    <mergeCell ref="A18:G18"/>
    <mergeCell ref="A5:G5"/>
    <mergeCell ref="B7:C7"/>
    <mergeCell ref="D7:E7"/>
    <mergeCell ref="F7:G7"/>
  </mergeCells>
  <pageMargins left="0.23622047244094491" right="0.23622047244094491" top="0.94488188976377963" bottom="0.74803149606299213" header="0.31496062992125984" footer="0.31496062992125984"/>
  <pageSetup paperSize="9" orientation="landscape" r:id="rId1"/>
  <headerFooter>
    <oddHeader>&amp;L&amp;"-,Negrita"&amp;16NATURAL FORT
&amp;"-,Normal"Alimento para perros&amp;C&amp;"-,Negrita"&amp;18&amp;U&amp;A&amp;RDocente a cargo:  Jorge Scali
Alumno: Hugo Castromán</oddHeader>
    <oddFooter>&amp;CPágina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75"/>
  <sheetViews>
    <sheetView showGridLines="0" topLeftCell="A53" zoomScaleNormal="100" zoomScalePageLayoutView="85" workbookViewId="0">
      <selection activeCell="C43" sqref="C43"/>
    </sheetView>
  </sheetViews>
  <sheetFormatPr defaultColWidth="11.42578125" defaultRowHeight="15" x14ac:dyDescent="0.25"/>
  <cols>
    <col min="1" max="1" width="41.140625" customWidth="1"/>
    <col min="2" max="2" width="5.42578125" bestFit="1" customWidth="1"/>
    <col min="3" max="3" width="12.7109375" bestFit="1" customWidth="1"/>
    <col min="4" max="4" width="5.42578125" bestFit="1" customWidth="1"/>
    <col min="5" max="5" width="12.7109375" bestFit="1" customWidth="1"/>
    <col min="6" max="6" width="5.42578125" bestFit="1" customWidth="1"/>
    <col min="7" max="7" width="13.7109375" bestFit="1" customWidth="1"/>
    <col min="8" max="8" width="6.42578125" bestFit="1" customWidth="1"/>
    <col min="9" max="9" width="13.7109375" bestFit="1" customWidth="1"/>
    <col min="10" max="10" width="6.42578125" bestFit="1" customWidth="1"/>
    <col min="11" max="11" width="13.7109375" bestFit="1" customWidth="1"/>
    <col min="12" max="12" width="6.42578125" bestFit="1" customWidth="1"/>
    <col min="13" max="13" width="13.7109375" bestFit="1" customWidth="1"/>
    <col min="14" max="14" width="6.42578125" bestFit="1" customWidth="1"/>
    <col min="15" max="15" width="13.7109375" bestFit="1" customWidth="1"/>
    <col min="16" max="16" width="6.42578125" bestFit="1" customWidth="1"/>
    <col min="17" max="17" width="13.7109375" bestFit="1" customWidth="1"/>
    <col min="18" max="18" width="6.42578125" bestFit="1" customWidth="1"/>
    <col min="19" max="19" width="13.7109375" bestFit="1" customWidth="1"/>
    <col min="20" max="20" width="6.42578125" bestFit="1" customWidth="1"/>
    <col min="21" max="21" width="13.7109375" bestFit="1" customWidth="1"/>
    <col min="22" max="22" width="6.42578125" bestFit="1" customWidth="1"/>
    <col min="23" max="23" width="13.7109375" bestFit="1" customWidth="1"/>
    <col min="24" max="24" width="6.42578125" bestFit="1" customWidth="1"/>
    <col min="25" max="25" width="13.7109375" bestFit="1" customWidth="1"/>
    <col min="27" max="27" width="13.7109375" bestFit="1" customWidth="1"/>
  </cols>
  <sheetData>
    <row r="1" spans="1:28" ht="36" x14ac:dyDescent="0.55000000000000004">
      <c r="A1" s="97" t="s">
        <v>1</v>
      </c>
      <c r="B1" s="97"/>
      <c r="C1" s="97"/>
      <c r="D1" s="97"/>
      <c r="E1" s="97"/>
      <c r="F1" s="97"/>
      <c r="G1" s="97"/>
      <c r="H1" s="97"/>
      <c r="I1" s="97"/>
      <c r="J1" s="97"/>
      <c r="K1" s="97"/>
      <c r="L1" s="2"/>
      <c r="M1" s="2"/>
      <c r="N1" s="2"/>
      <c r="O1" s="2"/>
      <c r="P1" s="2"/>
      <c r="Q1" s="2"/>
      <c r="R1" s="2"/>
      <c r="S1" s="2"/>
      <c r="T1" s="2"/>
      <c r="U1" s="2"/>
      <c r="V1" s="2"/>
      <c r="W1" s="2"/>
      <c r="X1" s="2"/>
      <c r="Y1" s="2"/>
      <c r="Z1" s="2"/>
      <c r="AA1" s="2"/>
      <c r="AB1" s="2"/>
    </row>
    <row r="2" spans="1:28" x14ac:dyDescent="0.25">
      <c r="A2" s="2"/>
      <c r="B2" s="2"/>
      <c r="C2" s="2"/>
      <c r="D2" s="2"/>
      <c r="E2" s="2"/>
      <c r="F2" s="2"/>
      <c r="G2" s="2"/>
      <c r="H2" s="2"/>
      <c r="I2" s="2"/>
      <c r="J2" s="2"/>
      <c r="K2" s="2"/>
      <c r="L2" s="2"/>
      <c r="M2" s="2"/>
      <c r="N2" s="2"/>
      <c r="O2" s="2"/>
      <c r="P2" s="2"/>
      <c r="Q2" s="2"/>
      <c r="R2" s="2"/>
      <c r="S2" s="2"/>
      <c r="T2" s="2"/>
      <c r="U2" s="2"/>
      <c r="V2" s="2"/>
      <c r="W2" s="2"/>
      <c r="X2" s="2"/>
      <c r="Y2" s="2"/>
      <c r="Z2" s="2"/>
      <c r="AA2" s="2"/>
      <c r="AB2" s="2"/>
    </row>
    <row r="3" spans="1:28" x14ac:dyDescent="0.25">
      <c r="A3" s="2"/>
      <c r="B3" s="2"/>
      <c r="C3" s="2"/>
      <c r="D3" s="2"/>
      <c r="E3" s="2"/>
      <c r="F3" s="2"/>
      <c r="G3" s="2"/>
      <c r="H3" s="2"/>
      <c r="I3" s="2"/>
      <c r="J3" s="2"/>
      <c r="K3" s="2"/>
      <c r="L3" s="2"/>
      <c r="M3" s="2"/>
      <c r="N3" s="2"/>
      <c r="O3" s="2"/>
      <c r="P3" s="2"/>
      <c r="Q3" s="2"/>
      <c r="R3" s="2"/>
      <c r="S3" s="2"/>
      <c r="T3" s="2"/>
      <c r="U3" s="2"/>
      <c r="V3" s="2"/>
      <c r="W3" s="2"/>
      <c r="X3" s="2"/>
      <c r="Y3" s="2"/>
      <c r="Z3" s="2"/>
      <c r="AA3" s="2"/>
      <c r="AB3" s="2"/>
    </row>
    <row r="4" spans="1:28" ht="15.75" x14ac:dyDescent="0.25">
      <c r="A4" s="1" t="s">
        <v>11</v>
      </c>
      <c r="B4" s="2"/>
      <c r="C4" s="2"/>
      <c r="D4" s="2"/>
      <c r="E4" s="2"/>
      <c r="F4" s="2"/>
      <c r="G4" s="2"/>
      <c r="H4" s="2"/>
      <c r="I4" s="2"/>
      <c r="J4" s="2"/>
      <c r="K4" s="2"/>
      <c r="L4" s="2"/>
      <c r="M4" s="2"/>
      <c r="N4" s="2"/>
      <c r="O4" s="2"/>
      <c r="P4" s="2"/>
      <c r="Q4" s="2"/>
      <c r="R4" s="2"/>
      <c r="S4" s="2"/>
      <c r="T4" s="2"/>
      <c r="U4" s="2"/>
      <c r="V4" s="2"/>
      <c r="W4" s="2"/>
      <c r="X4" s="2"/>
      <c r="Y4" s="2"/>
      <c r="Z4" s="2"/>
      <c r="AA4" s="2"/>
      <c r="AB4" s="2"/>
    </row>
    <row r="5" spans="1:28" x14ac:dyDescent="0.25">
      <c r="A5" s="2" t="s">
        <v>73</v>
      </c>
      <c r="B5" s="2"/>
      <c r="C5" s="2"/>
      <c r="D5" s="2"/>
      <c r="E5" s="2"/>
      <c r="F5" s="2"/>
      <c r="G5" s="2"/>
      <c r="H5" s="2"/>
      <c r="I5" s="2"/>
      <c r="J5" s="2"/>
      <c r="K5" s="2"/>
      <c r="L5" s="2"/>
      <c r="M5" s="2"/>
      <c r="N5" s="2"/>
      <c r="O5" s="2"/>
      <c r="P5" s="2"/>
      <c r="Q5" s="2"/>
      <c r="R5" s="2"/>
      <c r="S5" s="2"/>
      <c r="T5" s="2"/>
      <c r="U5" s="2"/>
      <c r="V5" s="2"/>
      <c r="W5" s="2"/>
      <c r="X5" s="2"/>
      <c r="Y5" s="2"/>
      <c r="Z5" s="2"/>
      <c r="AA5" s="2"/>
      <c r="AB5" s="2"/>
    </row>
    <row r="6" spans="1:28" x14ac:dyDescent="0.25">
      <c r="A6" s="2" t="s">
        <v>74</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2"/>
      <c r="B7" s="2"/>
      <c r="C7" s="2"/>
      <c r="D7" s="2"/>
      <c r="E7" s="2"/>
      <c r="F7" s="2"/>
      <c r="G7" s="2"/>
      <c r="H7" s="2"/>
      <c r="I7" s="2"/>
      <c r="J7" s="2"/>
      <c r="K7" s="2"/>
      <c r="L7" s="2"/>
      <c r="M7" s="2"/>
      <c r="N7" s="2"/>
      <c r="O7" s="2"/>
      <c r="P7" s="2"/>
      <c r="Q7" s="2"/>
      <c r="R7" s="2"/>
      <c r="S7" s="2"/>
      <c r="T7" s="2"/>
      <c r="U7" s="2"/>
      <c r="V7" s="2"/>
      <c r="W7" s="2"/>
      <c r="X7" s="2"/>
      <c r="Y7" s="2"/>
      <c r="Z7" s="2"/>
      <c r="AA7" s="2"/>
      <c r="AB7" s="2"/>
    </row>
    <row r="8" spans="1:28" ht="21" x14ac:dyDescent="0.35">
      <c r="A8" s="100" t="s">
        <v>77</v>
      </c>
      <c r="B8" s="100"/>
      <c r="C8" s="100"/>
      <c r="D8" s="100"/>
      <c r="E8" s="100"/>
      <c r="F8" s="100"/>
      <c r="G8" s="100"/>
      <c r="H8" s="2"/>
      <c r="I8" s="2"/>
      <c r="J8" s="2"/>
      <c r="K8" s="2"/>
      <c r="L8" s="2"/>
      <c r="M8" s="2"/>
      <c r="N8" s="2"/>
      <c r="O8" s="2"/>
      <c r="P8" s="2"/>
      <c r="Q8" s="2"/>
      <c r="R8" s="2"/>
      <c r="S8" s="2"/>
      <c r="T8" s="2"/>
      <c r="U8" s="2"/>
      <c r="V8" s="2"/>
      <c r="W8" s="2"/>
      <c r="X8" s="2"/>
      <c r="Y8" s="2"/>
      <c r="Z8" s="2"/>
      <c r="AA8" s="2"/>
      <c r="AB8" s="2"/>
    </row>
    <row r="9" spans="1:28" ht="15.75" thickBot="1" x14ac:dyDescent="0.3">
      <c r="A9" s="2"/>
      <c r="B9" s="2"/>
      <c r="C9" s="2"/>
      <c r="D9" s="2"/>
      <c r="E9" s="2"/>
      <c r="F9" s="2"/>
      <c r="G9" s="2"/>
      <c r="H9" s="2"/>
      <c r="I9" s="2"/>
      <c r="J9" s="2"/>
      <c r="K9" s="2"/>
      <c r="L9" s="2"/>
      <c r="M9" s="2"/>
      <c r="N9" s="2"/>
      <c r="O9" s="2"/>
      <c r="P9" s="2"/>
      <c r="Q9" s="2"/>
      <c r="R9" s="2"/>
      <c r="S9" s="2"/>
      <c r="T9" s="2"/>
      <c r="U9" s="2"/>
      <c r="V9" s="2"/>
      <c r="W9" s="2"/>
      <c r="X9" s="2"/>
      <c r="Y9" s="2"/>
      <c r="Z9" s="2"/>
      <c r="AA9" s="2"/>
      <c r="AB9" s="2"/>
    </row>
    <row r="10" spans="1:28" ht="15.75" thickBot="1" x14ac:dyDescent="0.3">
      <c r="A10" s="108" t="s">
        <v>4</v>
      </c>
      <c r="B10" s="109"/>
      <c r="C10" s="15" t="s">
        <v>32</v>
      </c>
      <c r="D10" s="2"/>
      <c r="E10" s="2"/>
      <c r="F10" s="2"/>
      <c r="G10" s="2"/>
      <c r="H10" s="2"/>
      <c r="I10" s="2"/>
      <c r="J10" s="2"/>
      <c r="K10" s="2"/>
      <c r="L10" s="2"/>
      <c r="M10" s="2"/>
      <c r="N10" s="2"/>
      <c r="O10" s="2"/>
      <c r="P10" s="2"/>
      <c r="Q10" s="2"/>
      <c r="R10" s="2"/>
      <c r="S10" s="2"/>
      <c r="T10" s="2"/>
      <c r="U10" s="2"/>
      <c r="V10" s="2"/>
      <c r="W10" s="2"/>
      <c r="X10" s="2"/>
      <c r="Y10" s="2"/>
      <c r="Z10" s="2"/>
      <c r="AA10" s="2"/>
      <c r="AB10" s="2"/>
    </row>
    <row r="11" spans="1:28" ht="15" customHeight="1" thickTop="1" thickBot="1" x14ac:dyDescent="0.3">
      <c r="A11" s="110" t="s">
        <v>78</v>
      </c>
      <c r="B11" s="111"/>
      <c r="C11" s="19">
        <v>400</v>
      </c>
      <c r="D11" s="2"/>
      <c r="E11" s="2"/>
      <c r="F11" s="2"/>
      <c r="G11" s="2"/>
      <c r="H11" s="2"/>
      <c r="I11" s="2"/>
      <c r="J11" s="2"/>
      <c r="K11" s="2"/>
      <c r="L11" s="2"/>
      <c r="M11" s="2"/>
      <c r="N11" s="2"/>
      <c r="O11" s="2"/>
      <c r="P11" s="2"/>
      <c r="Q11" s="2"/>
      <c r="R11" s="2"/>
      <c r="S11" s="2"/>
      <c r="T11" s="2"/>
      <c r="U11" s="2"/>
      <c r="V11" s="2"/>
      <c r="W11" s="2"/>
      <c r="X11" s="2"/>
      <c r="Y11" s="2"/>
      <c r="Z11" s="2"/>
      <c r="AA11" s="2"/>
      <c r="AB11" s="2"/>
    </row>
    <row r="12" spans="1:28" ht="15.75" thickTop="1" x14ac:dyDescent="0.25">
      <c r="A12" s="110" t="s">
        <v>79</v>
      </c>
      <c r="B12" s="111"/>
      <c r="C12" s="19">
        <f>C11*0.2</f>
        <v>80</v>
      </c>
      <c r="D12" s="2"/>
      <c r="E12" s="2"/>
      <c r="F12" s="2"/>
      <c r="G12" s="2"/>
      <c r="H12" s="2"/>
      <c r="I12" s="2"/>
      <c r="J12" s="2"/>
      <c r="K12" s="2"/>
      <c r="L12" s="2"/>
      <c r="M12" s="2"/>
      <c r="N12" s="2"/>
      <c r="O12" s="2"/>
      <c r="P12" s="2"/>
      <c r="Q12" s="2"/>
      <c r="R12" s="2"/>
      <c r="S12" s="2"/>
      <c r="T12" s="2"/>
      <c r="U12" s="2"/>
      <c r="V12" s="2"/>
      <c r="W12" s="2"/>
      <c r="X12" s="2"/>
      <c r="Y12" s="2"/>
      <c r="Z12" s="2"/>
      <c r="AA12" s="2"/>
      <c r="AB12" s="2"/>
    </row>
    <row r="13" spans="1:28" x14ac:dyDescent="0.2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row>
    <row r="14" spans="1:28" x14ac:dyDescent="0.25">
      <c r="A14" s="2" t="s">
        <v>80</v>
      </c>
      <c r="B14" s="2"/>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x14ac:dyDescent="0.2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spans="1:28" ht="21" x14ac:dyDescent="0.35">
      <c r="A16" s="100" t="s">
        <v>76</v>
      </c>
      <c r="B16" s="100"/>
      <c r="C16" s="100"/>
      <c r="D16" s="100"/>
      <c r="E16" s="100"/>
      <c r="F16" s="100"/>
      <c r="G16" s="100"/>
      <c r="H16" s="2"/>
      <c r="I16" s="2"/>
      <c r="J16" s="2"/>
      <c r="K16" s="2"/>
      <c r="L16" s="2"/>
      <c r="M16" s="2"/>
      <c r="N16" s="2"/>
      <c r="O16" s="2"/>
      <c r="P16" s="2"/>
      <c r="Q16" s="2"/>
      <c r="R16" s="2"/>
      <c r="S16" s="2"/>
      <c r="T16" s="2"/>
      <c r="U16" s="2"/>
      <c r="V16" s="2"/>
      <c r="W16" s="2"/>
      <c r="X16" s="2"/>
      <c r="Y16" s="2"/>
      <c r="Z16" s="2"/>
      <c r="AA16" s="2"/>
      <c r="AB16" s="2"/>
    </row>
    <row r="17" spans="1:28" ht="15.75" thickBot="1"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ht="15.75" thickBot="1" x14ac:dyDescent="0.3">
      <c r="A18" s="108" t="s">
        <v>4</v>
      </c>
      <c r="B18" s="109"/>
      <c r="C18" s="15" t="s">
        <v>32</v>
      </c>
      <c r="D18" s="2"/>
      <c r="E18" s="2"/>
      <c r="F18" s="2"/>
      <c r="G18" s="2"/>
      <c r="H18" s="2"/>
      <c r="I18" s="2"/>
      <c r="J18" s="2"/>
      <c r="K18" s="2"/>
      <c r="L18" s="2"/>
      <c r="M18" s="2"/>
      <c r="N18" s="2"/>
      <c r="O18" s="2"/>
      <c r="P18" s="2"/>
      <c r="Q18" s="2"/>
      <c r="R18" s="2"/>
      <c r="S18" s="2"/>
      <c r="T18" s="2"/>
      <c r="U18" s="2"/>
      <c r="V18" s="2"/>
      <c r="W18" s="2"/>
      <c r="X18" s="2"/>
      <c r="Y18" s="2"/>
      <c r="Z18" s="2"/>
      <c r="AA18" s="2"/>
      <c r="AB18" s="2"/>
    </row>
    <row r="19" spans="1:28" ht="15" customHeight="1" thickTop="1" thickBot="1" x14ac:dyDescent="0.3">
      <c r="A19" s="110" t="s">
        <v>72</v>
      </c>
      <c r="B19" s="111"/>
      <c r="C19" s="19">
        <v>3</v>
      </c>
      <c r="D19" s="2"/>
      <c r="E19" s="2"/>
      <c r="F19" s="2"/>
      <c r="G19" s="2"/>
      <c r="H19" s="2"/>
      <c r="I19" s="2"/>
      <c r="J19" s="2"/>
      <c r="K19" s="2"/>
      <c r="L19" s="2"/>
      <c r="M19" s="2"/>
      <c r="N19" s="2"/>
      <c r="O19" s="2"/>
      <c r="P19" s="2"/>
      <c r="Q19" s="2"/>
      <c r="R19" s="2"/>
      <c r="S19" s="2"/>
      <c r="T19" s="2"/>
      <c r="U19" s="2"/>
      <c r="V19" s="2"/>
      <c r="W19" s="2"/>
      <c r="X19" s="2"/>
      <c r="Y19" s="2"/>
      <c r="Z19" s="2"/>
      <c r="AA19" s="2"/>
      <c r="AB19" s="2"/>
    </row>
    <row r="20" spans="1:28" ht="16.5" thickTop="1" thickBot="1" x14ac:dyDescent="0.3">
      <c r="A20" s="110" t="s">
        <v>72</v>
      </c>
      <c r="B20" s="111"/>
      <c r="C20" s="19">
        <v>3</v>
      </c>
      <c r="D20" s="2"/>
      <c r="E20" s="2"/>
      <c r="F20" s="2"/>
      <c r="G20" s="2"/>
      <c r="H20" s="2"/>
      <c r="I20" s="2"/>
      <c r="J20" s="2"/>
      <c r="K20" s="2"/>
      <c r="L20" s="2"/>
      <c r="M20" s="2"/>
      <c r="N20" s="2"/>
      <c r="O20" s="2"/>
      <c r="P20" s="2"/>
      <c r="Q20" s="2"/>
      <c r="R20" s="2"/>
      <c r="S20" s="2"/>
      <c r="T20" s="2"/>
      <c r="U20" s="2"/>
      <c r="V20" s="2"/>
      <c r="W20" s="2"/>
      <c r="X20" s="2"/>
      <c r="Y20" s="2"/>
      <c r="Z20" s="2"/>
      <c r="AA20" s="2"/>
      <c r="AB20" s="2"/>
    </row>
    <row r="21" spans="1:28" ht="15.75" thickTop="1" x14ac:dyDescent="0.25">
      <c r="A21" s="110" t="s">
        <v>71</v>
      </c>
      <c r="B21" s="111"/>
      <c r="C21" s="19">
        <v>30</v>
      </c>
      <c r="D21" s="2"/>
      <c r="E21" s="2"/>
      <c r="F21" s="2"/>
      <c r="G21" s="2"/>
      <c r="H21" s="2"/>
      <c r="I21" s="2"/>
      <c r="J21" s="2"/>
      <c r="K21" s="2"/>
      <c r="L21" s="2"/>
      <c r="M21" s="2"/>
      <c r="N21" s="2"/>
      <c r="O21" s="2"/>
      <c r="P21" s="2"/>
      <c r="Q21" s="2"/>
      <c r="R21" s="2"/>
      <c r="S21" s="2"/>
      <c r="T21" s="2"/>
      <c r="U21" s="2"/>
      <c r="V21" s="2"/>
      <c r="W21" s="2"/>
      <c r="X21" s="2"/>
      <c r="Y21" s="2"/>
      <c r="Z21" s="2"/>
      <c r="AA21" s="2"/>
      <c r="AB21" s="2"/>
    </row>
    <row r="22" spans="1:28"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ht="21" x14ac:dyDescent="0.35">
      <c r="A23" s="100" t="s">
        <v>12</v>
      </c>
      <c r="B23" s="100"/>
      <c r="C23" s="100"/>
      <c r="D23" s="100"/>
      <c r="E23" s="100"/>
      <c r="F23" s="100"/>
      <c r="G23" s="100"/>
      <c r="H23" s="2"/>
      <c r="I23" s="2"/>
      <c r="J23" s="2"/>
      <c r="K23" s="2"/>
      <c r="L23" s="2"/>
      <c r="M23" s="2"/>
      <c r="N23" s="2"/>
      <c r="O23" s="2"/>
      <c r="P23" s="2"/>
      <c r="Q23" s="2"/>
      <c r="R23" s="2"/>
      <c r="S23" s="2"/>
      <c r="T23" s="2"/>
      <c r="U23" s="2"/>
      <c r="V23" s="2"/>
      <c r="W23" s="2"/>
      <c r="X23" s="2"/>
      <c r="Y23" s="2"/>
      <c r="Z23" s="2"/>
      <c r="AA23" s="2"/>
      <c r="AB23" s="2"/>
    </row>
    <row r="24" spans="1:28" ht="15.75" x14ac:dyDescent="0.25">
      <c r="A24" s="1" t="s">
        <v>12</v>
      </c>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x14ac:dyDescent="0.25">
      <c r="A25" s="2" t="s">
        <v>65</v>
      </c>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x14ac:dyDescent="0.25">
      <c r="A26" s="2" t="s">
        <v>66</v>
      </c>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ht="21" x14ac:dyDescent="0.35">
      <c r="A28" s="100" t="s">
        <v>13</v>
      </c>
      <c r="B28" s="100"/>
      <c r="C28" s="100"/>
      <c r="D28" s="100"/>
      <c r="E28" s="100"/>
      <c r="F28" s="100"/>
      <c r="G28" s="100"/>
      <c r="H28" s="2"/>
      <c r="I28" s="2"/>
      <c r="J28" s="2"/>
      <c r="K28" s="2"/>
      <c r="L28" s="2"/>
      <c r="M28" s="2"/>
      <c r="N28" s="2"/>
      <c r="O28" s="2"/>
      <c r="P28" s="2"/>
      <c r="Q28" s="2"/>
      <c r="R28" s="2"/>
      <c r="S28" s="2"/>
      <c r="T28" s="2"/>
      <c r="U28" s="2"/>
      <c r="V28" s="2"/>
      <c r="W28" s="2"/>
      <c r="X28" s="2"/>
      <c r="Y28" s="2"/>
      <c r="Z28" s="2"/>
      <c r="AA28" s="2"/>
      <c r="AB28" s="2"/>
    </row>
    <row r="29" spans="1:28" ht="15.75" x14ac:dyDescent="0.25">
      <c r="A29" s="1" t="s">
        <v>13</v>
      </c>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x14ac:dyDescent="0.25">
      <c r="A30" s="2" t="s">
        <v>81</v>
      </c>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x14ac:dyDescent="0.25">
      <c r="A31" s="2" t="s">
        <v>82</v>
      </c>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x14ac:dyDescent="0.25">
      <c r="A32" s="2" t="s">
        <v>83</v>
      </c>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x14ac:dyDescent="0.25">
      <c r="A33" s="2" t="s">
        <v>84</v>
      </c>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ht="21" x14ac:dyDescent="0.35">
      <c r="A36" s="100" t="s">
        <v>3</v>
      </c>
      <c r="B36" s="100"/>
      <c r="C36" s="100"/>
      <c r="D36" s="2"/>
      <c r="E36" s="2"/>
      <c r="F36" s="2"/>
      <c r="G36" s="2"/>
      <c r="H36" s="2"/>
      <c r="I36" s="2"/>
      <c r="J36" s="2"/>
      <c r="K36" s="2"/>
      <c r="L36" s="2"/>
      <c r="M36" s="2"/>
      <c r="N36" s="2"/>
      <c r="O36" s="2"/>
      <c r="P36" s="2"/>
      <c r="Q36" s="2"/>
      <c r="R36" s="2"/>
      <c r="S36" s="2"/>
      <c r="T36" s="2"/>
      <c r="U36" s="2"/>
      <c r="V36" s="2"/>
      <c r="W36" s="2"/>
      <c r="X36" s="2"/>
      <c r="Y36" s="2"/>
      <c r="Z36" s="2"/>
      <c r="AA36" s="2"/>
      <c r="AB36" s="2"/>
    </row>
    <row r="37" spans="1:28" ht="15.75" thickBo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ht="15.75" thickBot="1" x14ac:dyDescent="0.3">
      <c r="A38" s="108" t="s">
        <v>4</v>
      </c>
      <c r="B38" s="109"/>
      <c r="C38" s="15" t="s">
        <v>5</v>
      </c>
      <c r="D38" s="2"/>
      <c r="E38" s="2"/>
      <c r="F38" s="2"/>
      <c r="G38" s="2"/>
      <c r="H38" s="2"/>
      <c r="I38" s="2"/>
      <c r="J38" s="2"/>
      <c r="K38" s="2"/>
      <c r="L38" s="2"/>
      <c r="M38" s="2"/>
      <c r="N38" s="2"/>
      <c r="O38" s="2"/>
      <c r="P38" s="2"/>
      <c r="Q38" s="2"/>
      <c r="R38" s="2"/>
      <c r="S38" s="2"/>
      <c r="T38" s="2"/>
      <c r="U38" s="2"/>
      <c r="V38" s="2"/>
      <c r="W38" s="2"/>
      <c r="X38" s="2"/>
      <c r="Y38" s="2"/>
      <c r="Z38" s="2"/>
      <c r="AA38" s="2"/>
      <c r="AB38" s="2"/>
    </row>
    <row r="39" spans="1:28" ht="15.75" customHeight="1" thickTop="1" thickBot="1" x14ac:dyDescent="0.3">
      <c r="A39" s="112" t="s">
        <v>68</v>
      </c>
      <c r="B39" s="113"/>
      <c r="C39" s="17">
        <v>60000</v>
      </c>
      <c r="D39" s="2"/>
      <c r="E39" s="2"/>
      <c r="F39" s="2"/>
      <c r="G39" s="2"/>
      <c r="H39" s="2"/>
      <c r="I39" s="2"/>
      <c r="J39" s="2"/>
      <c r="K39" s="2"/>
      <c r="L39" s="2"/>
      <c r="M39" s="2"/>
      <c r="N39" s="2"/>
      <c r="O39" s="2"/>
      <c r="P39" s="2"/>
      <c r="Q39" s="2"/>
      <c r="R39" s="2"/>
      <c r="S39" s="2"/>
      <c r="T39" s="2"/>
      <c r="U39" s="2"/>
      <c r="V39" s="2"/>
      <c r="W39" s="2"/>
      <c r="X39" s="2"/>
      <c r="Y39" s="2"/>
      <c r="Z39" s="2"/>
      <c r="AA39" s="2"/>
      <c r="AB39" s="2"/>
    </row>
    <row r="40" spans="1:28" ht="15" customHeight="1" thickTop="1" thickBot="1" x14ac:dyDescent="0.3">
      <c r="A40" s="110" t="s">
        <v>72</v>
      </c>
      <c r="B40" s="111"/>
      <c r="C40" s="18">
        <v>1800</v>
      </c>
      <c r="D40" s="2"/>
      <c r="E40" s="2"/>
      <c r="F40" s="2"/>
      <c r="G40" s="2"/>
      <c r="H40" s="2"/>
      <c r="I40" s="2"/>
      <c r="J40" s="2"/>
      <c r="K40" s="2"/>
      <c r="L40" s="2"/>
      <c r="M40" s="2"/>
      <c r="N40" s="2"/>
      <c r="O40" s="2"/>
      <c r="P40" s="2"/>
      <c r="Q40" s="2"/>
      <c r="R40" s="2"/>
      <c r="S40" s="2"/>
      <c r="T40" s="2"/>
      <c r="U40" s="2"/>
      <c r="V40" s="2"/>
      <c r="W40" s="2"/>
      <c r="X40" s="2"/>
      <c r="Y40" s="2"/>
      <c r="Z40" s="2"/>
      <c r="AA40" s="2"/>
      <c r="AB40" s="2"/>
    </row>
    <row r="41" spans="1:28" ht="16.5" thickTop="1" thickBot="1" x14ac:dyDescent="0.3">
      <c r="A41" s="112" t="s">
        <v>69</v>
      </c>
      <c r="B41" s="113"/>
      <c r="C41" s="16">
        <v>35000</v>
      </c>
      <c r="D41" s="2"/>
      <c r="E41" s="2"/>
      <c r="F41" s="2"/>
      <c r="G41" s="2"/>
      <c r="H41" s="2"/>
      <c r="I41" s="2"/>
      <c r="J41" s="2"/>
      <c r="K41" s="2"/>
      <c r="L41" s="2"/>
      <c r="M41" s="2"/>
      <c r="N41" s="2"/>
      <c r="O41" s="2"/>
      <c r="P41" s="2"/>
      <c r="Q41" s="2"/>
      <c r="R41" s="2"/>
      <c r="S41" s="2"/>
      <c r="T41" s="2"/>
      <c r="U41" s="2"/>
      <c r="V41" s="2"/>
      <c r="W41" s="2"/>
      <c r="X41" s="2"/>
      <c r="Y41" s="2"/>
      <c r="Z41" s="2"/>
      <c r="AA41" s="2"/>
      <c r="AB41" s="2"/>
    </row>
    <row r="42" spans="1:28" ht="16.5" thickTop="1" thickBot="1" x14ac:dyDescent="0.3">
      <c r="A42" s="110" t="s">
        <v>213</v>
      </c>
      <c r="B42" s="111"/>
      <c r="C42" s="18">
        <v>1800</v>
      </c>
      <c r="D42" s="2"/>
      <c r="E42" s="2"/>
      <c r="F42" s="2"/>
      <c r="G42" s="2"/>
      <c r="H42" s="2"/>
      <c r="I42" s="2"/>
      <c r="J42" s="2"/>
      <c r="K42" s="2"/>
      <c r="L42" s="2"/>
      <c r="M42" s="2"/>
      <c r="N42" s="2"/>
      <c r="O42" s="2"/>
      <c r="P42" s="2"/>
      <c r="Q42" s="2"/>
      <c r="R42" s="2"/>
      <c r="S42" s="2"/>
      <c r="T42" s="2"/>
      <c r="U42" s="2"/>
      <c r="V42" s="2"/>
      <c r="W42" s="2"/>
      <c r="X42" s="2"/>
      <c r="Y42" s="2"/>
      <c r="Z42" s="2"/>
      <c r="AA42" s="2"/>
      <c r="AB42" s="2"/>
    </row>
    <row r="43" spans="1:28" ht="16.5" thickTop="1" thickBot="1" x14ac:dyDescent="0.3">
      <c r="A43" s="112" t="s">
        <v>70</v>
      </c>
      <c r="B43" s="113"/>
      <c r="C43" s="16">
        <v>50000</v>
      </c>
      <c r="D43" s="2"/>
      <c r="E43" s="2"/>
      <c r="F43" s="2"/>
      <c r="G43" s="2"/>
      <c r="H43" s="2"/>
      <c r="I43" s="2"/>
      <c r="J43" s="2"/>
      <c r="K43" s="2"/>
      <c r="L43" s="2"/>
      <c r="M43" s="2"/>
      <c r="N43" s="2"/>
      <c r="O43" s="2"/>
      <c r="P43" s="2"/>
      <c r="Q43" s="2"/>
      <c r="R43" s="2"/>
      <c r="S43" s="2"/>
      <c r="T43" s="2"/>
      <c r="U43" s="2"/>
      <c r="V43" s="2"/>
      <c r="W43" s="2"/>
      <c r="X43" s="2"/>
      <c r="Y43" s="2"/>
      <c r="Z43" s="2"/>
      <c r="AA43" s="2"/>
      <c r="AB43" s="2"/>
    </row>
    <row r="44" spans="1:28" ht="15.75" thickTop="1" x14ac:dyDescent="0.25">
      <c r="A44" s="110" t="s">
        <v>212</v>
      </c>
      <c r="B44" s="111"/>
      <c r="C44" s="18">
        <v>1800</v>
      </c>
      <c r="D44" s="2"/>
      <c r="E44" s="2"/>
      <c r="F44" s="2"/>
      <c r="G44" s="2"/>
      <c r="H44" s="2"/>
      <c r="I44" s="2"/>
      <c r="J44" s="2"/>
      <c r="K44" s="2"/>
      <c r="L44" s="2"/>
      <c r="M44" s="2"/>
      <c r="N44" s="2"/>
      <c r="O44" s="2"/>
      <c r="P44" s="2"/>
      <c r="Q44" s="2"/>
      <c r="R44" s="2"/>
      <c r="S44" s="2"/>
      <c r="T44" s="2"/>
      <c r="U44" s="2"/>
      <c r="V44" s="2"/>
      <c r="W44" s="2"/>
      <c r="X44" s="2"/>
      <c r="Y44" s="2"/>
      <c r="Z44" s="2"/>
      <c r="AA44" s="2"/>
      <c r="AB44" s="2"/>
    </row>
    <row r="45" spans="1:28"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ht="21" x14ac:dyDescent="0.35">
      <c r="A47" s="100" t="s">
        <v>14</v>
      </c>
      <c r="B47" s="100"/>
      <c r="C47" s="100"/>
      <c r="D47" s="100"/>
      <c r="E47" s="100"/>
      <c r="F47" s="2"/>
      <c r="G47" s="2"/>
      <c r="H47" s="2"/>
      <c r="I47" s="2"/>
      <c r="J47" s="2"/>
      <c r="K47" s="2"/>
      <c r="L47" s="2"/>
      <c r="M47" s="2"/>
      <c r="N47" s="2"/>
      <c r="O47" s="2"/>
      <c r="P47" s="2"/>
      <c r="Q47" s="2"/>
      <c r="R47" s="2"/>
      <c r="S47" s="2"/>
      <c r="T47" s="2"/>
      <c r="U47" s="2"/>
      <c r="V47" s="2"/>
      <c r="W47" s="2"/>
      <c r="X47" s="2"/>
      <c r="Y47" s="2"/>
      <c r="Z47" s="2"/>
      <c r="AA47" s="2"/>
      <c r="AB47" s="2"/>
    </row>
    <row r="48" spans="1:28"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ht="17.25" customHeight="1" x14ac:dyDescent="0.25">
      <c r="A49" s="4"/>
      <c r="B49" s="105" t="s">
        <v>15</v>
      </c>
      <c r="C49" s="106"/>
      <c r="D49" s="105" t="s">
        <v>16</v>
      </c>
      <c r="E49" s="106"/>
      <c r="F49" s="105" t="s">
        <v>17</v>
      </c>
      <c r="G49" s="106"/>
      <c r="H49" s="105" t="s">
        <v>18</v>
      </c>
      <c r="I49" s="106"/>
      <c r="J49" s="105" t="s">
        <v>19</v>
      </c>
      <c r="K49" s="106"/>
      <c r="L49" s="105" t="s">
        <v>20</v>
      </c>
      <c r="M49" s="106"/>
      <c r="N49" s="105" t="s">
        <v>21</v>
      </c>
      <c r="O49" s="106"/>
      <c r="P49" s="105" t="s">
        <v>22</v>
      </c>
      <c r="Q49" s="106"/>
      <c r="R49" s="105" t="s">
        <v>23</v>
      </c>
      <c r="S49" s="106"/>
      <c r="T49" s="105" t="s">
        <v>24</v>
      </c>
      <c r="U49" s="106"/>
      <c r="V49" s="105" t="s">
        <v>25</v>
      </c>
      <c r="W49" s="106"/>
      <c r="X49" s="105" t="s">
        <v>26</v>
      </c>
      <c r="Y49" s="107"/>
      <c r="Z49" s="2"/>
      <c r="AA49" s="2"/>
      <c r="AB49" s="2"/>
    </row>
    <row r="50" spans="1:28" ht="15.75" thickBot="1" x14ac:dyDescent="0.3">
      <c r="A50" s="4" t="s">
        <v>29</v>
      </c>
      <c r="B50" s="5" t="s">
        <v>67</v>
      </c>
      <c r="C50" s="5" t="s">
        <v>9</v>
      </c>
      <c r="D50" s="5" t="s">
        <v>67</v>
      </c>
      <c r="E50" s="5" t="s">
        <v>9</v>
      </c>
      <c r="F50" s="5" t="s">
        <v>67</v>
      </c>
      <c r="G50" s="5" t="s">
        <v>9</v>
      </c>
      <c r="H50" s="5" t="s">
        <v>67</v>
      </c>
      <c r="I50" s="5" t="s">
        <v>9</v>
      </c>
      <c r="J50" s="5" t="s">
        <v>67</v>
      </c>
      <c r="K50" s="5" t="s">
        <v>9</v>
      </c>
      <c r="L50" s="5" t="s">
        <v>67</v>
      </c>
      <c r="M50" s="5" t="s">
        <v>9</v>
      </c>
      <c r="N50" s="5" t="s">
        <v>67</v>
      </c>
      <c r="O50" s="5" t="s">
        <v>9</v>
      </c>
      <c r="P50" s="5" t="s">
        <v>67</v>
      </c>
      <c r="Q50" s="5" t="s">
        <v>9</v>
      </c>
      <c r="R50" s="5" t="s">
        <v>67</v>
      </c>
      <c r="S50" s="5" t="s">
        <v>9</v>
      </c>
      <c r="T50" s="5" t="s">
        <v>67</v>
      </c>
      <c r="U50" s="5" t="s">
        <v>9</v>
      </c>
      <c r="V50" s="5" t="s">
        <v>67</v>
      </c>
      <c r="W50" s="5" t="s">
        <v>9</v>
      </c>
      <c r="X50" s="5" t="s">
        <v>67</v>
      </c>
      <c r="Y50" s="5" t="s">
        <v>9</v>
      </c>
      <c r="Z50" s="2"/>
      <c r="AA50" s="2"/>
      <c r="AB50" s="2"/>
    </row>
    <row r="51" spans="1:28" ht="15.75" thickTop="1" x14ac:dyDescent="0.25">
      <c r="A51" s="13" t="str">
        <f t="shared" ref="A51:A56" si="0">A39</f>
        <v>Enterprise Almacenamiento (Producto)</v>
      </c>
      <c r="B51" s="9"/>
      <c r="C51" s="10">
        <f>$C$39*B51</f>
        <v>0</v>
      </c>
      <c r="D51" s="9"/>
      <c r="E51" s="10">
        <f>$C$39*D51</f>
        <v>0</v>
      </c>
      <c r="F51" s="9"/>
      <c r="G51" s="10">
        <f>$C$39*F51</f>
        <v>0</v>
      </c>
      <c r="H51" s="9">
        <v>1</v>
      </c>
      <c r="I51" s="10">
        <f>$C$39*H51</f>
        <v>60000</v>
      </c>
      <c r="J51" s="9"/>
      <c r="K51" s="10">
        <f>$C$39*J51</f>
        <v>0</v>
      </c>
      <c r="L51" s="9"/>
      <c r="M51" s="10">
        <f>$C$39*L51</f>
        <v>0</v>
      </c>
      <c r="N51" s="9"/>
      <c r="O51" s="10">
        <f>$C$39*N51</f>
        <v>0</v>
      </c>
      <c r="P51" s="9">
        <v>1</v>
      </c>
      <c r="Q51" s="10">
        <f>$C$39*P51</f>
        <v>60000</v>
      </c>
      <c r="R51" s="9"/>
      <c r="S51" s="10">
        <f>$C$39*R51</f>
        <v>0</v>
      </c>
      <c r="T51" s="9"/>
      <c r="U51" s="10">
        <f>$C$39*T51</f>
        <v>0</v>
      </c>
      <c r="V51" s="9"/>
      <c r="W51" s="10">
        <f>$C$39*V51</f>
        <v>0</v>
      </c>
      <c r="X51" s="9">
        <v>1</v>
      </c>
      <c r="Y51" s="10">
        <f>$C$39*X51</f>
        <v>60000</v>
      </c>
      <c r="Z51" s="2"/>
      <c r="AA51" s="2"/>
      <c r="AB51" s="2"/>
    </row>
    <row r="52" spans="1:28" ht="15.75" thickBot="1" x14ac:dyDescent="0.3">
      <c r="A52" s="14" t="str">
        <f t="shared" si="0"/>
        <v>Enterprise Almacenamiento (Licencia Mens.)</v>
      </c>
      <c r="B52" s="11"/>
      <c r="C52" s="12">
        <f>$C$40*B52</f>
        <v>0</v>
      </c>
      <c r="D52" s="11"/>
      <c r="E52" s="12">
        <f>$C$40*D52</f>
        <v>0</v>
      </c>
      <c r="F52" s="11"/>
      <c r="G52" s="12">
        <f>$C$40*F52</f>
        <v>0</v>
      </c>
      <c r="H52" s="11">
        <f>F52+$C$19</f>
        <v>3</v>
      </c>
      <c r="I52" s="12">
        <f>$C$40*H52</f>
        <v>5400</v>
      </c>
      <c r="J52" s="11">
        <f>H52</f>
        <v>3</v>
      </c>
      <c r="K52" s="12">
        <f>$C$40*J52</f>
        <v>5400</v>
      </c>
      <c r="L52" s="11">
        <f>J52</f>
        <v>3</v>
      </c>
      <c r="M52" s="12">
        <f>$C$40*L52</f>
        <v>5400</v>
      </c>
      <c r="N52" s="11">
        <f>L52</f>
        <v>3</v>
      </c>
      <c r="O52" s="12">
        <f>$C$40*N52</f>
        <v>5400</v>
      </c>
      <c r="P52" s="11">
        <f>N52+$C$19</f>
        <v>6</v>
      </c>
      <c r="Q52" s="12">
        <f>$C$40*P52</f>
        <v>10800</v>
      </c>
      <c r="R52" s="11">
        <f>P52</f>
        <v>6</v>
      </c>
      <c r="S52" s="12">
        <f>$C$40*R52</f>
        <v>10800</v>
      </c>
      <c r="T52" s="11">
        <f>R52</f>
        <v>6</v>
      </c>
      <c r="U52" s="12">
        <f>$C$40*T52</f>
        <v>10800</v>
      </c>
      <c r="V52" s="11">
        <f>T52</f>
        <v>6</v>
      </c>
      <c r="W52" s="12">
        <f>$C$40*V52</f>
        <v>10800</v>
      </c>
      <c r="X52" s="11">
        <f>V52+$C$19</f>
        <v>9</v>
      </c>
      <c r="Y52" s="12">
        <f>$C$40*X52</f>
        <v>16200</v>
      </c>
      <c r="Z52" s="2"/>
      <c r="AA52" s="2"/>
      <c r="AB52" s="2"/>
    </row>
    <row r="53" spans="1:28" ht="15.75" thickTop="1" x14ac:dyDescent="0.25">
      <c r="A53" s="14" t="str">
        <f t="shared" si="0"/>
        <v>Enterprise Transporte (Producto)</v>
      </c>
      <c r="B53" s="9"/>
      <c r="C53" s="10">
        <f>$C$41*B53</f>
        <v>0</v>
      </c>
      <c r="D53" s="9"/>
      <c r="E53" s="10">
        <f>$C$41*D53</f>
        <v>0</v>
      </c>
      <c r="F53" s="9"/>
      <c r="G53" s="10">
        <f>$C$41*F53</f>
        <v>0</v>
      </c>
      <c r="H53" s="9">
        <v>1</v>
      </c>
      <c r="I53" s="10">
        <f>$C$41*H53</f>
        <v>35000</v>
      </c>
      <c r="J53" s="9"/>
      <c r="K53" s="10">
        <f>$C$41*J53</f>
        <v>0</v>
      </c>
      <c r="L53" s="9"/>
      <c r="M53" s="10">
        <f>$C$41*L53</f>
        <v>0</v>
      </c>
      <c r="N53" s="9"/>
      <c r="O53" s="10">
        <f>$C$41*N53</f>
        <v>0</v>
      </c>
      <c r="P53" s="9">
        <v>1</v>
      </c>
      <c r="Q53" s="10">
        <f>$C$41*P53</f>
        <v>35000</v>
      </c>
      <c r="R53" s="9"/>
      <c r="S53" s="10">
        <f>$C$41*R53</f>
        <v>0</v>
      </c>
      <c r="T53" s="9"/>
      <c r="U53" s="10">
        <f>$C$41*T53</f>
        <v>0</v>
      </c>
      <c r="V53" s="9"/>
      <c r="W53" s="10">
        <f>$C$41*V53</f>
        <v>0</v>
      </c>
      <c r="X53" s="9">
        <v>1</v>
      </c>
      <c r="Y53" s="10">
        <f>$C$41*X53</f>
        <v>35000</v>
      </c>
      <c r="Z53" s="2"/>
      <c r="AA53" s="2"/>
      <c r="AB53" s="2"/>
    </row>
    <row r="54" spans="1:28" ht="15.75" thickBot="1" x14ac:dyDescent="0.3">
      <c r="A54" s="14" t="str">
        <f t="shared" si="0"/>
        <v>Enterprise Transporte (Licencia Mens.)</v>
      </c>
      <c r="B54" s="11"/>
      <c r="C54" s="12">
        <f>$C$42*B54</f>
        <v>0</v>
      </c>
      <c r="D54" s="11"/>
      <c r="E54" s="12">
        <f>$C$42*D54</f>
        <v>0</v>
      </c>
      <c r="F54" s="11"/>
      <c r="G54" s="12">
        <f>$C$42*F54</f>
        <v>0</v>
      </c>
      <c r="H54" s="11">
        <f>F54+$C$20</f>
        <v>3</v>
      </c>
      <c r="I54" s="12">
        <f>$C$42*H54</f>
        <v>5400</v>
      </c>
      <c r="J54" s="11">
        <f>H54</f>
        <v>3</v>
      </c>
      <c r="K54" s="12">
        <f>$C$42*J54</f>
        <v>5400</v>
      </c>
      <c r="L54" s="11">
        <f>J54</f>
        <v>3</v>
      </c>
      <c r="M54" s="12">
        <f>$C$42*L54</f>
        <v>5400</v>
      </c>
      <c r="N54" s="11">
        <f>L54</f>
        <v>3</v>
      </c>
      <c r="O54" s="12">
        <f>$C$42*N54</f>
        <v>5400</v>
      </c>
      <c r="P54" s="11">
        <f>N54+$C$20</f>
        <v>6</v>
      </c>
      <c r="Q54" s="12">
        <f>$C$42*P54</f>
        <v>10800</v>
      </c>
      <c r="R54" s="11">
        <f>P54</f>
        <v>6</v>
      </c>
      <c r="S54" s="12">
        <f>$C$42*R54</f>
        <v>10800</v>
      </c>
      <c r="T54" s="11">
        <f>R54</f>
        <v>6</v>
      </c>
      <c r="U54" s="12">
        <f>$C$42*T54</f>
        <v>10800</v>
      </c>
      <c r="V54" s="11">
        <f>T54</f>
        <v>6</v>
      </c>
      <c r="W54" s="12">
        <f>$C$42*V54</f>
        <v>10800</v>
      </c>
      <c r="X54" s="11">
        <f>V54+$C$20</f>
        <v>9</v>
      </c>
      <c r="Y54" s="12">
        <f>$C$42*X54</f>
        <v>16200</v>
      </c>
      <c r="Z54" s="2"/>
      <c r="AA54" s="2"/>
      <c r="AB54" s="2"/>
    </row>
    <row r="55" spans="1:28" ht="15.75" thickTop="1" x14ac:dyDescent="0.25">
      <c r="A55" s="14" t="str">
        <f t="shared" si="0"/>
        <v>Enterprise Distribución (Producto)</v>
      </c>
      <c r="B55" s="9"/>
      <c r="C55" s="10">
        <f>$C$43*B55</f>
        <v>0</v>
      </c>
      <c r="D55" s="9"/>
      <c r="E55" s="10">
        <f>$C$43*D55</f>
        <v>0</v>
      </c>
      <c r="F55" s="9"/>
      <c r="G55" s="10">
        <f>$C$43*F55</f>
        <v>0</v>
      </c>
      <c r="H55" s="9">
        <v>1</v>
      </c>
      <c r="I55" s="10">
        <f>$C$43*H55</f>
        <v>50000</v>
      </c>
      <c r="J55" s="9"/>
      <c r="K55" s="10">
        <f>$C$43*J55</f>
        <v>0</v>
      </c>
      <c r="L55" s="9"/>
      <c r="M55" s="10">
        <f>$C$43*L55</f>
        <v>0</v>
      </c>
      <c r="N55" s="9"/>
      <c r="O55" s="10">
        <f>$C$43*N55</f>
        <v>0</v>
      </c>
      <c r="P55" s="9">
        <v>1</v>
      </c>
      <c r="Q55" s="10">
        <f>$C$43*P55</f>
        <v>50000</v>
      </c>
      <c r="R55" s="9"/>
      <c r="S55" s="10">
        <f>$C$43*R55</f>
        <v>0</v>
      </c>
      <c r="T55" s="9"/>
      <c r="U55" s="10">
        <f>$C$43*T55</f>
        <v>0</v>
      </c>
      <c r="V55" s="9"/>
      <c r="W55" s="10">
        <f>$C$43*V55</f>
        <v>0</v>
      </c>
      <c r="X55" s="9">
        <v>1</v>
      </c>
      <c r="Y55" s="10">
        <f>$C$43*X55</f>
        <v>50000</v>
      </c>
      <c r="Z55" s="2"/>
      <c r="AA55" s="2"/>
      <c r="AB55" s="2"/>
    </row>
    <row r="56" spans="1:28" x14ac:dyDescent="0.25">
      <c r="A56" s="14" t="str">
        <f t="shared" si="0"/>
        <v>Enterprise Distribución (Licencia Mens.)</v>
      </c>
      <c r="B56" s="11"/>
      <c r="C56" s="12">
        <f>$C$44*B56</f>
        <v>0</v>
      </c>
      <c r="D56" s="11"/>
      <c r="E56" s="12">
        <f>$C$44*D56</f>
        <v>0</v>
      </c>
      <c r="F56" s="11"/>
      <c r="G56" s="12">
        <f>$C$44*F56</f>
        <v>0</v>
      </c>
      <c r="H56" s="11">
        <f>F56+$C$21</f>
        <v>30</v>
      </c>
      <c r="I56" s="12">
        <f>$C$44*H56</f>
        <v>54000</v>
      </c>
      <c r="J56" s="11">
        <f>H56</f>
        <v>30</v>
      </c>
      <c r="K56" s="12">
        <f>$C$44*J56</f>
        <v>54000</v>
      </c>
      <c r="L56" s="11">
        <f>J56</f>
        <v>30</v>
      </c>
      <c r="M56" s="12">
        <f>$C$44*L56</f>
        <v>54000</v>
      </c>
      <c r="N56" s="11">
        <f>L56</f>
        <v>30</v>
      </c>
      <c r="O56" s="12">
        <f>$C$44*N56</f>
        <v>54000</v>
      </c>
      <c r="P56" s="11">
        <f>N56+$C$21</f>
        <v>60</v>
      </c>
      <c r="Q56" s="12">
        <f>$C$44*P56</f>
        <v>108000</v>
      </c>
      <c r="R56" s="11">
        <f>P56</f>
        <v>60</v>
      </c>
      <c r="S56" s="12">
        <f>$C$44*R56</f>
        <v>108000</v>
      </c>
      <c r="T56" s="11">
        <f>R56</f>
        <v>60</v>
      </c>
      <c r="U56" s="12">
        <f>$C$44*T56</f>
        <v>108000</v>
      </c>
      <c r="V56" s="11">
        <f>T56</f>
        <v>60</v>
      </c>
      <c r="W56" s="12">
        <f>$C$44*V56</f>
        <v>108000</v>
      </c>
      <c r="X56" s="11">
        <f>V56+$C$21</f>
        <v>90</v>
      </c>
      <c r="Y56" s="12">
        <f>$C$44*X56</f>
        <v>162000</v>
      </c>
      <c r="Z56" s="2"/>
      <c r="AA56" s="2"/>
      <c r="AB56" s="2"/>
    </row>
    <row r="57" spans="1:28" x14ac:dyDescent="0.25">
      <c r="A57" s="6" t="s">
        <v>27</v>
      </c>
      <c r="B57" s="7">
        <f t="shared" ref="B57:Y57" si="1">SUM(B51:B56)</f>
        <v>0</v>
      </c>
      <c r="C57" s="8">
        <f t="shared" si="1"/>
        <v>0</v>
      </c>
      <c r="D57" s="7">
        <f t="shared" si="1"/>
        <v>0</v>
      </c>
      <c r="E57" s="8">
        <f t="shared" si="1"/>
        <v>0</v>
      </c>
      <c r="F57" s="7">
        <f t="shared" si="1"/>
        <v>0</v>
      </c>
      <c r="G57" s="8">
        <f t="shared" si="1"/>
        <v>0</v>
      </c>
      <c r="H57" s="7">
        <f t="shared" si="1"/>
        <v>39</v>
      </c>
      <c r="I57" s="8">
        <f t="shared" si="1"/>
        <v>209800</v>
      </c>
      <c r="J57" s="7">
        <f t="shared" si="1"/>
        <v>36</v>
      </c>
      <c r="K57" s="8">
        <f t="shared" si="1"/>
        <v>64800</v>
      </c>
      <c r="L57" s="7">
        <f t="shared" si="1"/>
        <v>36</v>
      </c>
      <c r="M57" s="8">
        <f t="shared" si="1"/>
        <v>64800</v>
      </c>
      <c r="N57" s="7">
        <f t="shared" si="1"/>
        <v>36</v>
      </c>
      <c r="O57" s="8">
        <f t="shared" si="1"/>
        <v>64800</v>
      </c>
      <c r="P57" s="7">
        <f t="shared" si="1"/>
        <v>75</v>
      </c>
      <c r="Q57" s="8">
        <f t="shared" si="1"/>
        <v>274600</v>
      </c>
      <c r="R57" s="7">
        <f t="shared" si="1"/>
        <v>72</v>
      </c>
      <c r="S57" s="8">
        <f t="shared" si="1"/>
        <v>129600</v>
      </c>
      <c r="T57" s="7">
        <f t="shared" si="1"/>
        <v>72</v>
      </c>
      <c r="U57" s="8">
        <f t="shared" si="1"/>
        <v>129600</v>
      </c>
      <c r="V57" s="7">
        <f t="shared" si="1"/>
        <v>72</v>
      </c>
      <c r="W57" s="8">
        <f t="shared" si="1"/>
        <v>129600</v>
      </c>
      <c r="X57" s="7">
        <f t="shared" si="1"/>
        <v>111</v>
      </c>
      <c r="Y57" s="8">
        <f t="shared" si="1"/>
        <v>339400</v>
      </c>
      <c r="Z57" s="2"/>
      <c r="AA57" s="2"/>
      <c r="AB57" s="2"/>
    </row>
    <row r="58" spans="1:28" hidden="1" x14ac:dyDescent="0.25">
      <c r="A58" s="6" t="s">
        <v>28</v>
      </c>
      <c r="B58" s="7">
        <f>SUM(B57)</f>
        <v>0</v>
      </c>
      <c r="C58" s="8">
        <f>SUM(C57)</f>
        <v>0</v>
      </c>
      <c r="D58" s="7">
        <f t="shared" ref="D58:Y58" si="2">SUM(B58,D57)</f>
        <v>0</v>
      </c>
      <c r="E58" s="8">
        <f t="shared" si="2"/>
        <v>0</v>
      </c>
      <c r="F58" s="7">
        <f t="shared" si="2"/>
        <v>0</v>
      </c>
      <c r="G58" s="8">
        <f t="shared" si="2"/>
        <v>0</v>
      </c>
      <c r="H58" s="7">
        <f t="shared" si="2"/>
        <v>39</v>
      </c>
      <c r="I58" s="8">
        <f t="shared" si="2"/>
        <v>209800</v>
      </c>
      <c r="J58" s="7">
        <f t="shared" si="2"/>
        <v>75</v>
      </c>
      <c r="K58" s="8">
        <f t="shared" si="2"/>
        <v>274600</v>
      </c>
      <c r="L58" s="7">
        <f t="shared" si="2"/>
        <v>111</v>
      </c>
      <c r="M58" s="8">
        <f t="shared" si="2"/>
        <v>339400</v>
      </c>
      <c r="N58" s="7">
        <f t="shared" si="2"/>
        <v>147</v>
      </c>
      <c r="O58" s="8">
        <f t="shared" si="2"/>
        <v>404200</v>
      </c>
      <c r="P58" s="7">
        <f t="shared" si="2"/>
        <v>222</v>
      </c>
      <c r="Q58" s="8">
        <f t="shared" si="2"/>
        <v>678800</v>
      </c>
      <c r="R58" s="7">
        <f t="shared" si="2"/>
        <v>294</v>
      </c>
      <c r="S58" s="8">
        <f t="shared" si="2"/>
        <v>808400</v>
      </c>
      <c r="T58" s="7">
        <f t="shared" si="2"/>
        <v>366</v>
      </c>
      <c r="U58" s="8">
        <f t="shared" si="2"/>
        <v>938000</v>
      </c>
      <c r="V58" s="7">
        <f t="shared" si="2"/>
        <v>438</v>
      </c>
      <c r="W58" s="8">
        <f t="shared" si="2"/>
        <v>1067600</v>
      </c>
      <c r="X58" s="7">
        <f t="shared" si="2"/>
        <v>549</v>
      </c>
      <c r="Y58" s="8">
        <f t="shared" si="2"/>
        <v>1407000</v>
      </c>
      <c r="Z58" s="2"/>
      <c r="AA58" s="2"/>
      <c r="AB58" s="2"/>
    </row>
    <row r="59" spans="1:28"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ht="21" x14ac:dyDescent="0.35">
      <c r="A61" s="100" t="s">
        <v>30</v>
      </c>
      <c r="B61" s="100"/>
      <c r="C61" s="100"/>
      <c r="D61" s="100"/>
      <c r="E61" s="100"/>
      <c r="F61" s="2"/>
      <c r="G61" s="2"/>
      <c r="H61" s="2"/>
      <c r="I61" s="2"/>
      <c r="J61" s="2"/>
      <c r="K61" s="2"/>
      <c r="L61" s="2"/>
      <c r="M61" s="2"/>
      <c r="N61" s="2"/>
      <c r="O61" s="2"/>
      <c r="P61" s="2"/>
      <c r="Q61" s="2"/>
      <c r="R61" s="2"/>
      <c r="S61" s="2"/>
      <c r="T61" s="2"/>
      <c r="U61" s="2"/>
      <c r="V61" s="2"/>
      <c r="W61" s="2"/>
      <c r="X61" s="2"/>
      <c r="Y61" s="2"/>
      <c r="Z61" s="2"/>
      <c r="AA61" s="2"/>
      <c r="AB61" s="2"/>
    </row>
    <row r="62" spans="1:28"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ht="17.25" customHeight="1" x14ac:dyDescent="0.25">
      <c r="A63" s="4"/>
      <c r="B63" s="105" t="s">
        <v>15</v>
      </c>
      <c r="C63" s="106"/>
      <c r="D63" s="105" t="s">
        <v>16</v>
      </c>
      <c r="E63" s="106"/>
      <c r="F63" s="105" t="s">
        <v>17</v>
      </c>
      <c r="G63" s="106"/>
      <c r="H63" s="105" t="s">
        <v>18</v>
      </c>
      <c r="I63" s="106"/>
      <c r="J63" s="105" t="s">
        <v>19</v>
      </c>
      <c r="K63" s="106"/>
      <c r="L63" s="105" t="s">
        <v>20</v>
      </c>
      <c r="M63" s="106"/>
      <c r="N63" s="105" t="s">
        <v>21</v>
      </c>
      <c r="O63" s="106"/>
      <c r="P63" s="105" t="s">
        <v>22</v>
      </c>
      <c r="Q63" s="106"/>
      <c r="R63" s="105" t="s">
        <v>23</v>
      </c>
      <c r="S63" s="106"/>
      <c r="T63" s="105" t="s">
        <v>24</v>
      </c>
      <c r="U63" s="106"/>
      <c r="V63" s="105" t="s">
        <v>25</v>
      </c>
      <c r="W63" s="106"/>
      <c r="X63" s="105" t="s">
        <v>26</v>
      </c>
      <c r="Y63" s="107"/>
      <c r="Z63" s="2"/>
      <c r="AA63" s="2"/>
      <c r="AB63" s="2"/>
    </row>
    <row r="64" spans="1:28" ht="15.75" thickBot="1" x14ac:dyDescent="0.3">
      <c r="A64" s="4" t="s">
        <v>29</v>
      </c>
      <c r="B64" s="5" t="s">
        <v>67</v>
      </c>
      <c r="C64" s="5" t="s">
        <v>9</v>
      </c>
      <c r="D64" s="5" t="s">
        <v>67</v>
      </c>
      <c r="E64" s="5" t="s">
        <v>9</v>
      </c>
      <c r="F64" s="5" t="s">
        <v>67</v>
      </c>
      <c r="G64" s="5" t="s">
        <v>9</v>
      </c>
      <c r="H64" s="5" t="s">
        <v>67</v>
      </c>
      <c r="I64" s="5" t="s">
        <v>9</v>
      </c>
      <c r="J64" s="5" t="s">
        <v>67</v>
      </c>
      <c r="K64" s="5" t="s">
        <v>9</v>
      </c>
      <c r="L64" s="5" t="s">
        <v>67</v>
      </c>
      <c r="M64" s="5" t="s">
        <v>9</v>
      </c>
      <c r="N64" s="5" t="s">
        <v>67</v>
      </c>
      <c r="O64" s="5" t="s">
        <v>9</v>
      </c>
      <c r="P64" s="5" t="s">
        <v>67</v>
      </c>
      <c r="Q64" s="5" t="s">
        <v>9</v>
      </c>
      <c r="R64" s="5" t="s">
        <v>67</v>
      </c>
      <c r="S64" s="5" t="s">
        <v>9</v>
      </c>
      <c r="T64" s="5" t="s">
        <v>67</v>
      </c>
      <c r="U64" s="5" t="s">
        <v>9</v>
      </c>
      <c r="V64" s="5" t="s">
        <v>67</v>
      </c>
      <c r="W64" s="5" t="s">
        <v>9</v>
      </c>
      <c r="X64" s="5" t="s">
        <v>67</v>
      </c>
      <c r="Y64" s="5" t="s">
        <v>9</v>
      </c>
      <c r="Z64" s="2"/>
      <c r="AA64" s="2"/>
      <c r="AB64" s="2"/>
    </row>
    <row r="65" spans="1:28" ht="15.75" thickTop="1" x14ac:dyDescent="0.25">
      <c r="A65" s="13" t="str">
        <f t="shared" ref="A65:A70" si="3">A39</f>
        <v>Enterprise Almacenamiento (Producto)</v>
      </c>
      <c r="B65" s="11">
        <f>X51</f>
        <v>1</v>
      </c>
      <c r="C65" s="10">
        <f>$C$39*B65</f>
        <v>60000</v>
      </c>
      <c r="D65" s="9"/>
      <c r="E65" s="10">
        <f>$C$39*D65</f>
        <v>0</v>
      </c>
      <c r="F65" s="9"/>
      <c r="G65" s="10">
        <f>$C$39*F65</f>
        <v>0</v>
      </c>
      <c r="H65" s="9">
        <v>1</v>
      </c>
      <c r="I65" s="10">
        <f>$C$39*H65</f>
        <v>60000</v>
      </c>
      <c r="J65" s="9"/>
      <c r="K65" s="10">
        <f>$C$39*J65</f>
        <v>0</v>
      </c>
      <c r="L65" s="9"/>
      <c r="M65" s="10">
        <f>$C$39*L65</f>
        <v>0</v>
      </c>
      <c r="N65" s="9"/>
      <c r="O65" s="10">
        <f>$C$39*N65</f>
        <v>0</v>
      </c>
      <c r="P65" s="9">
        <v>1</v>
      </c>
      <c r="Q65" s="10">
        <f>$C$39*P65</f>
        <v>60000</v>
      </c>
      <c r="R65" s="9"/>
      <c r="S65" s="10">
        <f>$C$39*R65</f>
        <v>0</v>
      </c>
      <c r="T65" s="9"/>
      <c r="U65" s="10">
        <f>$C$39*T65</f>
        <v>0</v>
      </c>
      <c r="V65" s="9"/>
      <c r="W65" s="10">
        <f>$C$39*V65</f>
        <v>0</v>
      </c>
      <c r="X65" s="9">
        <v>1</v>
      </c>
      <c r="Y65" s="10">
        <f>$C$39*X65</f>
        <v>60000</v>
      </c>
      <c r="Z65" s="2"/>
      <c r="AA65" s="2"/>
      <c r="AB65" s="2"/>
    </row>
    <row r="66" spans="1:28" ht="15.75" thickBot="1" x14ac:dyDescent="0.3">
      <c r="A66" s="14" t="str">
        <f t="shared" si="3"/>
        <v>Enterprise Almacenamiento (Licencia Mens.)</v>
      </c>
      <c r="B66" s="11">
        <f>X52</f>
        <v>9</v>
      </c>
      <c r="C66" s="12">
        <f>$C$40*B66</f>
        <v>16200</v>
      </c>
      <c r="D66" s="11">
        <f>B66</f>
        <v>9</v>
      </c>
      <c r="E66" s="12">
        <f>$C$40*D66</f>
        <v>16200</v>
      </c>
      <c r="F66" s="11">
        <f>D66</f>
        <v>9</v>
      </c>
      <c r="G66" s="12">
        <f>$C$40*F66</f>
        <v>16200</v>
      </c>
      <c r="H66" s="11">
        <f>F66+$C$19</f>
        <v>12</v>
      </c>
      <c r="I66" s="12">
        <f>$C$40*H66</f>
        <v>21600</v>
      </c>
      <c r="J66" s="11">
        <f>H66</f>
        <v>12</v>
      </c>
      <c r="K66" s="12">
        <f>$C$40*J66</f>
        <v>21600</v>
      </c>
      <c r="L66" s="11">
        <f>J66</f>
        <v>12</v>
      </c>
      <c r="M66" s="12">
        <f>$C$40*L66</f>
        <v>21600</v>
      </c>
      <c r="N66" s="11">
        <f>L66</f>
        <v>12</v>
      </c>
      <c r="O66" s="12">
        <f>$C$40*N66</f>
        <v>21600</v>
      </c>
      <c r="P66" s="11">
        <f>N66+$C$19</f>
        <v>15</v>
      </c>
      <c r="Q66" s="12">
        <f>$C$40*P66</f>
        <v>27000</v>
      </c>
      <c r="R66" s="11">
        <f>P66</f>
        <v>15</v>
      </c>
      <c r="S66" s="12">
        <f>$C$40*R66</f>
        <v>27000</v>
      </c>
      <c r="T66" s="11">
        <f>R66</f>
        <v>15</v>
      </c>
      <c r="U66" s="12">
        <f>$C$40*T66</f>
        <v>27000</v>
      </c>
      <c r="V66" s="11">
        <f>T66</f>
        <v>15</v>
      </c>
      <c r="W66" s="12">
        <f>$C$40*V66</f>
        <v>27000</v>
      </c>
      <c r="X66" s="11">
        <f>V66+$C$19</f>
        <v>18</v>
      </c>
      <c r="Y66" s="12">
        <f>$C$40*X66</f>
        <v>32400</v>
      </c>
      <c r="Z66" s="2"/>
      <c r="AA66" s="2"/>
      <c r="AB66" s="2"/>
    </row>
    <row r="67" spans="1:28" ht="15.75" thickTop="1" x14ac:dyDescent="0.25">
      <c r="A67" s="14" t="str">
        <f t="shared" si="3"/>
        <v>Enterprise Transporte (Producto)</v>
      </c>
      <c r="B67" s="11">
        <f t="shared" ref="B67:B70" si="4">X53</f>
        <v>1</v>
      </c>
      <c r="C67" s="10">
        <f>$C$41*B67</f>
        <v>35000</v>
      </c>
      <c r="D67" s="9"/>
      <c r="E67" s="10">
        <f>$C$41*D67</f>
        <v>0</v>
      </c>
      <c r="F67" s="9"/>
      <c r="G67" s="10">
        <f>$C$41*F67</f>
        <v>0</v>
      </c>
      <c r="H67" s="9">
        <v>1</v>
      </c>
      <c r="I67" s="10">
        <f>$C$41*H67</f>
        <v>35000</v>
      </c>
      <c r="J67" s="9"/>
      <c r="K67" s="10">
        <f>$C$41*J67</f>
        <v>0</v>
      </c>
      <c r="L67" s="9"/>
      <c r="M67" s="10">
        <f>$C$41*L67</f>
        <v>0</v>
      </c>
      <c r="N67" s="9"/>
      <c r="O67" s="10">
        <f>$C$41*N67</f>
        <v>0</v>
      </c>
      <c r="P67" s="9">
        <v>1</v>
      </c>
      <c r="Q67" s="10">
        <f>$C$41*P67</f>
        <v>35000</v>
      </c>
      <c r="R67" s="9"/>
      <c r="S67" s="10">
        <f>$C$41*R67</f>
        <v>0</v>
      </c>
      <c r="T67" s="9"/>
      <c r="U67" s="10">
        <f>$C$41*T67</f>
        <v>0</v>
      </c>
      <c r="V67" s="9"/>
      <c r="W67" s="10">
        <f>$C$41*V67</f>
        <v>0</v>
      </c>
      <c r="X67" s="9">
        <v>1</v>
      </c>
      <c r="Y67" s="10">
        <f>$C$41*X67</f>
        <v>35000</v>
      </c>
      <c r="Z67" s="2"/>
      <c r="AA67" s="2"/>
      <c r="AB67" s="2"/>
    </row>
    <row r="68" spans="1:28" ht="15.75" thickBot="1" x14ac:dyDescent="0.3">
      <c r="A68" s="14" t="str">
        <f t="shared" si="3"/>
        <v>Enterprise Transporte (Licencia Mens.)</v>
      </c>
      <c r="B68" s="11">
        <f t="shared" si="4"/>
        <v>9</v>
      </c>
      <c r="C68" s="12">
        <f>$C$42*B68</f>
        <v>16200</v>
      </c>
      <c r="D68" s="11">
        <f>B68</f>
        <v>9</v>
      </c>
      <c r="E68" s="12">
        <f>$C$42*D68</f>
        <v>16200</v>
      </c>
      <c r="F68" s="11">
        <f>D68</f>
        <v>9</v>
      </c>
      <c r="G68" s="12">
        <f>$C$42*F68</f>
        <v>16200</v>
      </c>
      <c r="H68" s="11">
        <f>F68+$C$20</f>
        <v>12</v>
      </c>
      <c r="I68" s="12">
        <f>$C$42*H68</f>
        <v>21600</v>
      </c>
      <c r="J68" s="11">
        <f>H68</f>
        <v>12</v>
      </c>
      <c r="K68" s="12">
        <f>$C$42*J68</f>
        <v>21600</v>
      </c>
      <c r="L68" s="11">
        <f>J68</f>
        <v>12</v>
      </c>
      <c r="M68" s="12">
        <f>$C$42*L68</f>
        <v>21600</v>
      </c>
      <c r="N68" s="11">
        <f>L68</f>
        <v>12</v>
      </c>
      <c r="O68" s="12">
        <f>$C$42*N68</f>
        <v>21600</v>
      </c>
      <c r="P68" s="11">
        <f>N68+$C$20</f>
        <v>15</v>
      </c>
      <c r="Q68" s="12">
        <f>$C$42*P68</f>
        <v>27000</v>
      </c>
      <c r="R68" s="11">
        <f>P68</f>
        <v>15</v>
      </c>
      <c r="S68" s="12">
        <f>$C$42*R68</f>
        <v>27000</v>
      </c>
      <c r="T68" s="11">
        <f>R68</f>
        <v>15</v>
      </c>
      <c r="U68" s="12">
        <f>$C$42*T68</f>
        <v>27000</v>
      </c>
      <c r="V68" s="11">
        <f>T68</f>
        <v>15</v>
      </c>
      <c r="W68" s="12">
        <f>$C$42*V68</f>
        <v>27000</v>
      </c>
      <c r="X68" s="11">
        <f>V68+$C$20</f>
        <v>18</v>
      </c>
      <c r="Y68" s="12">
        <f>$C$42*X68</f>
        <v>32400</v>
      </c>
      <c r="Z68" s="2"/>
      <c r="AA68" s="2"/>
      <c r="AB68" s="2"/>
    </row>
    <row r="69" spans="1:28" ht="15.75" thickTop="1" x14ac:dyDescent="0.25">
      <c r="A69" s="14" t="str">
        <f t="shared" si="3"/>
        <v>Enterprise Distribución (Producto)</v>
      </c>
      <c r="B69" s="11">
        <f t="shared" si="4"/>
        <v>1</v>
      </c>
      <c r="C69" s="10">
        <f>$C$43*B69</f>
        <v>50000</v>
      </c>
      <c r="D69" s="9"/>
      <c r="E69" s="10">
        <f>$C$43*D69</f>
        <v>0</v>
      </c>
      <c r="F69" s="9"/>
      <c r="G69" s="10">
        <f>$C$43*F69</f>
        <v>0</v>
      </c>
      <c r="H69" s="9">
        <v>1</v>
      </c>
      <c r="I69" s="10">
        <f>$C$43*H69</f>
        <v>50000</v>
      </c>
      <c r="J69" s="9"/>
      <c r="K69" s="10">
        <f>$C$43*J69</f>
        <v>0</v>
      </c>
      <c r="L69" s="9"/>
      <c r="M69" s="10">
        <f>$C$43*L69</f>
        <v>0</v>
      </c>
      <c r="N69" s="9"/>
      <c r="O69" s="10">
        <f>$C$43*N69</f>
        <v>0</v>
      </c>
      <c r="P69" s="9">
        <v>1</v>
      </c>
      <c r="Q69" s="10">
        <f>$C$43*P69</f>
        <v>50000</v>
      </c>
      <c r="R69" s="9"/>
      <c r="S69" s="10">
        <f>$C$43*R69</f>
        <v>0</v>
      </c>
      <c r="T69" s="9"/>
      <c r="U69" s="10">
        <f>$C$43*T69</f>
        <v>0</v>
      </c>
      <c r="V69" s="9"/>
      <c r="W69" s="10">
        <f>$C$43*V69</f>
        <v>0</v>
      </c>
      <c r="X69" s="9">
        <v>1</v>
      </c>
      <c r="Y69" s="10">
        <f>$C$43*X69</f>
        <v>50000</v>
      </c>
      <c r="Z69" s="2"/>
      <c r="AA69" s="2"/>
      <c r="AB69" s="2"/>
    </row>
    <row r="70" spans="1:28" x14ac:dyDescent="0.25">
      <c r="A70" s="14" t="str">
        <f t="shared" si="3"/>
        <v>Enterprise Distribución (Licencia Mens.)</v>
      </c>
      <c r="B70" s="11">
        <f t="shared" si="4"/>
        <v>90</v>
      </c>
      <c r="C70" s="12">
        <f>$C$44*B70</f>
        <v>162000</v>
      </c>
      <c r="D70" s="11">
        <f>B70</f>
        <v>90</v>
      </c>
      <c r="E70" s="12">
        <f>$C$44*D70</f>
        <v>162000</v>
      </c>
      <c r="F70" s="11">
        <f>D70</f>
        <v>90</v>
      </c>
      <c r="G70" s="12">
        <f>$C$44*F70</f>
        <v>162000</v>
      </c>
      <c r="H70" s="11">
        <f>F70+$C$21</f>
        <v>120</v>
      </c>
      <c r="I70" s="12">
        <f>$C$44*H70</f>
        <v>216000</v>
      </c>
      <c r="J70" s="11">
        <f>H70</f>
        <v>120</v>
      </c>
      <c r="K70" s="12">
        <f>$C$44*J70</f>
        <v>216000</v>
      </c>
      <c r="L70" s="11">
        <f>J70</f>
        <v>120</v>
      </c>
      <c r="M70" s="12">
        <f>$C$44*L70</f>
        <v>216000</v>
      </c>
      <c r="N70" s="11">
        <f>L70</f>
        <v>120</v>
      </c>
      <c r="O70" s="12">
        <f>$C$44*N70</f>
        <v>216000</v>
      </c>
      <c r="P70" s="11">
        <f>N70+$C$21</f>
        <v>150</v>
      </c>
      <c r="Q70" s="12">
        <f>$C$44*P70</f>
        <v>270000</v>
      </c>
      <c r="R70" s="11">
        <f>P70</f>
        <v>150</v>
      </c>
      <c r="S70" s="12">
        <f>$C$44*R70</f>
        <v>270000</v>
      </c>
      <c r="T70" s="11">
        <f>R70</f>
        <v>150</v>
      </c>
      <c r="U70" s="12">
        <f>$C$44*T70</f>
        <v>270000</v>
      </c>
      <c r="V70" s="11">
        <f>T70</f>
        <v>150</v>
      </c>
      <c r="W70" s="12">
        <f>$C$44*V70</f>
        <v>270000</v>
      </c>
      <c r="X70" s="11">
        <f>V70+$C$21</f>
        <v>180</v>
      </c>
      <c r="Y70" s="12">
        <f>$C$44*X70</f>
        <v>324000</v>
      </c>
      <c r="Z70" s="2"/>
      <c r="AA70" s="2"/>
      <c r="AB70" s="2"/>
    </row>
    <row r="71" spans="1:28" x14ac:dyDescent="0.25">
      <c r="A71" s="6" t="s">
        <v>27</v>
      </c>
      <c r="B71" s="7">
        <f t="shared" ref="B71:Y71" si="5">SUM(B65:B70)</f>
        <v>111</v>
      </c>
      <c r="C71" s="8">
        <f t="shared" si="5"/>
        <v>339400</v>
      </c>
      <c r="D71" s="7">
        <f t="shared" si="5"/>
        <v>108</v>
      </c>
      <c r="E71" s="8">
        <f t="shared" si="5"/>
        <v>194400</v>
      </c>
      <c r="F71" s="7">
        <f t="shared" si="5"/>
        <v>108</v>
      </c>
      <c r="G71" s="8">
        <f t="shared" si="5"/>
        <v>194400</v>
      </c>
      <c r="H71" s="7">
        <f t="shared" si="5"/>
        <v>147</v>
      </c>
      <c r="I71" s="8">
        <f t="shared" si="5"/>
        <v>404200</v>
      </c>
      <c r="J71" s="7">
        <f t="shared" si="5"/>
        <v>144</v>
      </c>
      <c r="K71" s="8">
        <f t="shared" si="5"/>
        <v>259200</v>
      </c>
      <c r="L71" s="7">
        <f t="shared" si="5"/>
        <v>144</v>
      </c>
      <c r="M71" s="8">
        <f t="shared" si="5"/>
        <v>259200</v>
      </c>
      <c r="N71" s="7">
        <f t="shared" si="5"/>
        <v>144</v>
      </c>
      <c r="O71" s="8">
        <f t="shared" si="5"/>
        <v>259200</v>
      </c>
      <c r="P71" s="7">
        <f t="shared" si="5"/>
        <v>183</v>
      </c>
      <c r="Q71" s="8">
        <f t="shared" si="5"/>
        <v>469000</v>
      </c>
      <c r="R71" s="7">
        <f t="shared" si="5"/>
        <v>180</v>
      </c>
      <c r="S71" s="8">
        <f t="shared" si="5"/>
        <v>324000</v>
      </c>
      <c r="T71" s="7">
        <f t="shared" si="5"/>
        <v>180</v>
      </c>
      <c r="U71" s="8">
        <f t="shared" si="5"/>
        <v>324000</v>
      </c>
      <c r="V71" s="7">
        <f t="shared" si="5"/>
        <v>180</v>
      </c>
      <c r="W71" s="8">
        <f t="shared" si="5"/>
        <v>324000</v>
      </c>
      <c r="X71" s="7">
        <f t="shared" si="5"/>
        <v>219</v>
      </c>
      <c r="Y71" s="8">
        <f t="shared" si="5"/>
        <v>533800</v>
      </c>
      <c r="Z71" s="2"/>
      <c r="AA71" s="2"/>
      <c r="AB71" s="2"/>
    </row>
    <row r="72" spans="1:28" hidden="1" x14ac:dyDescent="0.25">
      <c r="A72" s="6" t="s">
        <v>28</v>
      </c>
      <c r="B72" s="7">
        <f>SUM(B71)</f>
        <v>111</v>
      </c>
      <c r="C72" s="8">
        <f>SUM(C71)</f>
        <v>339400</v>
      </c>
      <c r="D72" s="7">
        <f t="shared" ref="D72:Y72" si="6">SUM(B72,D71)</f>
        <v>219</v>
      </c>
      <c r="E72" s="8">
        <f t="shared" si="6"/>
        <v>533800</v>
      </c>
      <c r="F72" s="7">
        <f t="shared" si="6"/>
        <v>327</v>
      </c>
      <c r="G72" s="8">
        <f t="shared" si="6"/>
        <v>728200</v>
      </c>
      <c r="H72" s="7">
        <f t="shared" si="6"/>
        <v>474</v>
      </c>
      <c r="I72" s="8">
        <f t="shared" si="6"/>
        <v>1132400</v>
      </c>
      <c r="J72" s="7">
        <f t="shared" si="6"/>
        <v>618</v>
      </c>
      <c r="K72" s="8">
        <f t="shared" si="6"/>
        <v>1391600</v>
      </c>
      <c r="L72" s="7">
        <f t="shared" si="6"/>
        <v>762</v>
      </c>
      <c r="M72" s="8">
        <f t="shared" si="6"/>
        <v>1650800</v>
      </c>
      <c r="N72" s="7">
        <f t="shared" si="6"/>
        <v>906</v>
      </c>
      <c r="O72" s="8">
        <f t="shared" si="6"/>
        <v>1910000</v>
      </c>
      <c r="P72" s="7">
        <f t="shared" si="6"/>
        <v>1089</v>
      </c>
      <c r="Q72" s="8">
        <f t="shared" si="6"/>
        <v>2379000</v>
      </c>
      <c r="R72" s="7">
        <f t="shared" si="6"/>
        <v>1269</v>
      </c>
      <c r="S72" s="8">
        <f t="shared" si="6"/>
        <v>2703000</v>
      </c>
      <c r="T72" s="7">
        <f t="shared" si="6"/>
        <v>1449</v>
      </c>
      <c r="U72" s="8">
        <f t="shared" si="6"/>
        <v>3027000</v>
      </c>
      <c r="V72" s="7">
        <f t="shared" si="6"/>
        <v>1629</v>
      </c>
      <c r="W72" s="8">
        <f t="shared" si="6"/>
        <v>3351000</v>
      </c>
      <c r="X72" s="7">
        <f t="shared" si="6"/>
        <v>1848</v>
      </c>
      <c r="Y72" s="8">
        <f t="shared" si="6"/>
        <v>3884800</v>
      </c>
      <c r="Z72" s="2"/>
      <c r="AA72" s="2"/>
      <c r="AB72" s="2"/>
    </row>
    <row r="73" spans="1:28"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21" x14ac:dyDescent="0.35">
      <c r="A75" s="100" t="s">
        <v>31</v>
      </c>
      <c r="B75" s="100"/>
      <c r="C75" s="100"/>
      <c r="D75" s="100"/>
      <c r="E75" s="100"/>
      <c r="F75" s="2"/>
      <c r="G75" s="2"/>
      <c r="H75" s="2"/>
      <c r="I75" s="2"/>
      <c r="J75" s="2"/>
      <c r="K75" s="2"/>
      <c r="L75" s="2"/>
      <c r="M75" s="2"/>
      <c r="N75" s="2"/>
      <c r="O75" s="2"/>
      <c r="P75" s="2"/>
      <c r="Q75" s="2"/>
      <c r="R75" s="2"/>
      <c r="S75" s="2"/>
      <c r="T75" s="2"/>
      <c r="U75" s="2"/>
      <c r="V75" s="2"/>
      <c r="W75" s="2"/>
      <c r="X75" s="2"/>
      <c r="Y75" s="2"/>
      <c r="Z75" s="2"/>
      <c r="AA75" s="2"/>
      <c r="AB75" s="2"/>
    </row>
    <row r="76" spans="1:28"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7.25" customHeight="1" x14ac:dyDescent="0.25">
      <c r="A77" s="4"/>
      <c r="B77" s="105" t="s">
        <v>15</v>
      </c>
      <c r="C77" s="106"/>
      <c r="D77" s="105" t="s">
        <v>16</v>
      </c>
      <c r="E77" s="106"/>
      <c r="F77" s="105" t="s">
        <v>17</v>
      </c>
      <c r="G77" s="106"/>
      <c r="H77" s="105" t="s">
        <v>18</v>
      </c>
      <c r="I77" s="106"/>
      <c r="J77" s="105" t="s">
        <v>19</v>
      </c>
      <c r="K77" s="106"/>
      <c r="L77" s="105" t="s">
        <v>20</v>
      </c>
      <c r="M77" s="106"/>
      <c r="N77" s="105" t="s">
        <v>21</v>
      </c>
      <c r="O77" s="106"/>
      <c r="P77" s="105" t="s">
        <v>22</v>
      </c>
      <c r="Q77" s="106"/>
      <c r="R77" s="105" t="s">
        <v>23</v>
      </c>
      <c r="S77" s="106"/>
      <c r="T77" s="105" t="s">
        <v>24</v>
      </c>
      <c r="U77" s="106"/>
      <c r="V77" s="105" t="s">
        <v>25</v>
      </c>
      <c r="W77" s="106"/>
      <c r="X77" s="105" t="s">
        <v>26</v>
      </c>
      <c r="Y77" s="107"/>
      <c r="Z77" s="2"/>
      <c r="AA77" s="2"/>
      <c r="AB77" s="2"/>
    </row>
    <row r="78" spans="1:28" ht="15.75" thickBot="1" x14ac:dyDescent="0.3">
      <c r="A78" s="4" t="s">
        <v>29</v>
      </c>
      <c r="B78" s="5" t="s">
        <v>67</v>
      </c>
      <c r="C78" s="5" t="s">
        <v>9</v>
      </c>
      <c r="D78" s="5" t="s">
        <v>67</v>
      </c>
      <c r="E78" s="5" t="s">
        <v>9</v>
      </c>
      <c r="F78" s="5" t="s">
        <v>67</v>
      </c>
      <c r="G78" s="5" t="s">
        <v>9</v>
      </c>
      <c r="H78" s="5" t="s">
        <v>67</v>
      </c>
      <c r="I78" s="5" t="s">
        <v>9</v>
      </c>
      <c r="J78" s="5" t="s">
        <v>67</v>
      </c>
      <c r="K78" s="5" t="s">
        <v>9</v>
      </c>
      <c r="L78" s="5" t="s">
        <v>67</v>
      </c>
      <c r="M78" s="5" t="s">
        <v>9</v>
      </c>
      <c r="N78" s="5" t="s">
        <v>67</v>
      </c>
      <c r="O78" s="5" t="s">
        <v>9</v>
      </c>
      <c r="P78" s="5" t="s">
        <v>67</v>
      </c>
      <c r="Q78" s="5" t="s">
        <v>9</v>
      </c>
      <c r="R78" s="5" t="s">
        <v>67</v>
      </c>
      <c r="S78" s="5" t="s">
        <v>9</v>
      </c>
      <c r="T78" s="5" t="s">
        <v>67</v>
      </c>
      <c r="U78" s="5" t="s">
        <v>9</v>
      </c>
      <c r="V78" s="5" t="s">
        <v>67</v>
      </c>
      <c r="W78" s="5" t="s">
        <v>9</v>
      </c>
      <c r="X78" s="5" t="s">
        <v>67</v>
      </c>
      <c r="Y78" s="5" t="s">
        <v>9</v>
      </c>
      <c r="Z78" s="2"/>
      <c r="AA78" s="2"/>
      <c r="AB78" s="2"/>
    </row>
    <row r="79" spans="1:28" ht="15.75" thickTop="1" x14ac:dyDescent="0.25">
      <c r="A79" s="13" t="str">
        <f t="shared" ref="A79:A84" si="7">A39</f>
        <v>Enterprise Almacenamiento (Producto)</v>
      </c>
      <c r="B79" s="11">
        <f>X65</f>
        <v>1</v>
      </c>
      <c r="C79" s="10">
        <f>$C$39*B79</f>
        <v>60000</v>
      </c>
      <c r="D79" s="9"/>
      <c r="E79" s="10">
        <f>$C$39*D79</f>
        <v>0</v>
      </c>
      <c r="F79" s="9"/>
      <c r="G79" s="10">
        <f>$C$39*F79</f>
        <v>0</v>
      </c>
      <c r="H79" s="9">
        <v>1</v>
      </c>
      <c r="I79" s="10">
        <f>$C$39*H79</f>
        <v>60000</v>
      </c>
      <c r="J79" s="9"/>
      <c r="K79" s="10">
        <f>$C$39*J79</f>
        <v>0</v>
      </c>
      <c r="L79" s="9"/>
      <c r="M79" s="10">
        <f>$C$39*L79</f>
        <v>0</v>
      </c>
      <c r="N79" s="9"/>
      <c r="O79" s="10">
        <f>$C$39*N79</f>
        <v>0</v>
      </c>
      <c r="P79" s="9">
        <v>1</v>
      </c>
      <c r="Q79" s="10">
        <f>$C$39*P79</f>
        <v>60000</v>
      </c>
      <c r="R79" s="9"/>
      <c r="S79" s="10">
        <f>$C$39*R79</f>
        <v>0</v>
      </c>
      <c r="T79" s="9"/>
      <c r="U79" s="10">
        <f>$C$39*T79</f>
        <v>0</v>
      </c>
      <c r="V79" s="9"/>
      <c r="W79" s="10">
        <f>$C$39*V79</f>
        <v>0</v>
      </c>
      <c r="X79" s="9">
        <v>1</v>
      </c>
      <c r="Y79" s="10">
        <f>$C$39*X79</f>
        <v>60000</v>
      </c>
      <c r="Z79" s="2"/>
      <c r="AA79" s="2"/>
      <c r="AB79" s="2"/>
    </row>
    <row r="80" spans="1:28" ht="15.75" thickBot="1" x14ac:dyDescent="0.3">
      <c r="A80" s="14" t="str">
        <f t="shared" si="7"/>
        <v>Enterprise Almacenamiento (Licencia Mens.)</v>
      </c>
      <c r="B80" s="11">
        <f>X66</f>
        <v>18</v>
      </c>
      <c r="C80" s="12">
        <f>$C$40*B80</f>
        <v>32400</v>
      </c>
      <c r="D80" s="11">
        <f>B80</f>
        <v>18</v>
      </c>
      <c r="E80" s="12">
        <f>$C$40*D80</f>
        <v>32400</v>
      </c>
      <c r="F80" s="11">
        <f>D80</f>
        <v>18</v>
      </c>
      <c r="G80" s="12">
        <f>$C$40*F80</f>
        <v>32400</v>
      </c>
      <c r="H80" s="11">
        <f>F80+$C$19</f>
        <v>21</v>
      </c>
      <c r="I80" s="12">
        <f>$C$40*H80</f>
        <v>37800</v>
      </c>
      <c r="J80" s="11">
        <f>H80</f>
        <v>21</v>
      </c>
      <c r="K80" s="12">
        <f>$C$40*J80</f>
        <v>37800</v>
      </c>
      <c r="L80" s="11">
        <f>J80</f>
        <v>21</v>
      </c>
      <c r="M80" s="12">
        <f>$C$40*L80</f>
        <v>37800</v>
      </c>
      <c r="N80" s="11">
        <f>L80</f>
        <v>21</v>
      </c>
      <c r="O80" s="12">
        <f>$C$40*N80</f>
        <v>37800</v>
      </c>
      <c r="P80" s="11">
        <f>N80+$C$19</f>
        <v>24</v>
      </c>
      <c r="Q80" s="12">
        <f>$C$40*P80</f>
        <v>43200</v>
      </c>
      <c r="R80" s="11">
        <f>P80</f>
        <v>24</v>
      </c>
      <c r="S80" s="12">
        <f>$C$40*R80</f>
        <v>43200</v>
      </c>
      <c r="T80" s="11">
        <f>R80</f>
        <v>24</v>
      </c>
      <c r="U80" s="12">
        <f>$C$40*T80</f>
        <v>43200</v>
      </c>
      <c r="V80" s="11">
        <f>T80</f>
        <v>24</v>
      </c>
      <c r="W80" s="12">
        <f>$C$40*V80</f>
        <v>43200</v>
      </c>
      <c r="X80" s="11">
        <f>V80+$C$19</f>
        <v>27</v>
      </c>
      <c r="Y80" s="12">
        <f>$C$40*X80</f>
        <v>48600</v>
      </c>
      <c r="Z80" s="2"/>
      <c r="AA80" s="2"/>
      <c r="AB80" s="2"/>
    </row>
    <row r="81" spans="1:28" ht="15.75" thickTop="1" x14ac:dyDescent="0.25">
      <c r="A81" s="14" t="str">
        <f t="shared" si="7"/>
        <v>Enterprise Transporte (Producto)</v>
      </c>
      <c r="B81" s="11">
        <f t="shared" ref="B81:B84" si="8">X67</f>
        <v>1</v>
      </c>
      <c r="C81" s="10">
        <f>$C$41*B81</f>
        <v>35000</v>
      </c>
      <c r="D81" s="9"/>
      <c r="E81" s="10">
        <f>$C$41*D81</f>
        <v>0</v>
      </c>
      <c r="F81" s="9"/>
      <c r="G81" s="10">
        <f>$C$41*F81</f>
        <v>0</v>
      </c>
      <c r="H81" s="9">
        <v>1</v>
      </c>
      <c r="I81" s="10">
        <f>$C$41*H81</f>
        <v>35000</v>
      </c>
      <c r="J81" s="9"/>
      <c r="K81" s="10">
        <f>$C$41*J81</f>
        <v>0</v>
      </c>
      <c r="L81" s="9"/>
      <c r="M81" s="10">
        <f>$C$41*L81</f>
        <v>0</v>
      </c>
      <c r="N81" s="9"/>
      <c r="O81" s="10">
        <f>$C$41*N81</f>
        <v>0</v>
      </c>
      <c r="P81" s="9">
        <v>1</v>
      </c>
      <c r="Q81" s="10">
        <f>$C$41*P81</f>
        <v>35000</v>
      </c>
      <c r="R81" s="9"/>
      <c r="S81" s="10">
        <f>$C$41*R81</f>
        <v>0</v>
      </c>
      <c r="T81" s="9"/>
      <c r="U81" s="10">
        <f>$C$41*T81</f>
        <v>0</v>
      </c>
      <c r="V81" s="9"/>
      <c r="W81" s="10">
        <f>$C$41*V81</f>
        <v>0</v>
      </c>
      <c r="X81" s="9">
        <v>1</v>
      </c>
      <c r="Y81" s="10">
        <f>$C$41*X81</f>
        <v>35000</v>
      </c>
      <c r="Z81" s="2"/>
      <c r="AA81" s="2"/>
      <c r="AB81" s="2"/>
    </row>
    <row r="82" spans="1:28" ht="15.75" thickBot="1" x14ac:dyDescent="0.3">
      <c r="A82" s="14" t="str">
        <f t="shared" si="7"/>
        <v>Enterprise Transporte (Licencia Mens.)</v>
      </c>
      <c r="B82" s="11">
        <f t="shared" si="8"/>
        <v>18</v>
      </c>
      <c r="C82" s="12">
        <f>$C$42*B82</f>
        <v>32400</v>
      </c>
      <c r="D82" s="11">
        <f>B82</f>
        <v>18</v>
      </c>
      <c r="E82" s="12">
        <f>$C$42*D82</f>
        <v>32400</v>
      </c>
      <c r="F82" s="11">
        <f>D82</f>
        <v>18</v>
      </c>
      <c r="G82" s="12">
        <f>$C$42*F82</f>
        <v>32400</v>
      </c>
      <c r="H82" s="11">
        <f>F82+$C$20</f>
        <v>21</v>
      </c>
      <c r="I82" s="12">
        <f>$C$42*H82</f>
        <v>37800</v>
      </c>
      <c r="J82" s="11">
        <f>H82</f>
        <v>21</v>
      </c>
      <c r="K82" s="12">
        <f>$C$42*J82</f>
        <v>37800</v>
      </c>
      <c r="L82" s="11">
        <f>J82</f>
        <v>21</v>
      </c>
      <c r="M82" s="12">
        <f>$C$42*L82</f>
        <v>37800</v>
      </c>
      <c r="N82" s="11">
        <f>L82</f>
        <v>21</v>
      </c>
      <c r="O82" s="12">
        <f>$C$42*N82</f>
        <v>37800</v>
      </c>
      <c r="P82" s="11">
        <f>N82+$C$20</f>
        <v>24</v>
      </c>
      <c r="Q82" s="12">
        <f>$C$42*P82</f>
        <v>43200</v>
      </c>
      <c r="R82" s="11">
        <f>P82</f>
        <v>24</v>
      </c>
      <c r="S82" s="12">
        <f>$C$42*R82</f>
        <v>43200</v>
      </c>
      <c r="T82" s="11">
        <f>R82</f>
        <v>24</v>
      </c>
      <c r="U82" s="12">
        <f>$C$42*T82</f>
        <v>43200</v>
      </c>
      <c r="V82" s="11">
        <f>T82</f>
        <v>24</v>
      </c>
      <c r="W82" s="12">
        <f>$C$42*V82</f>
        <v>43200</v>
      </c>
      <c r="X82" s="11">
        <f>V82+$C$20</f>
        <v>27</v>
      </c>
      <c r="Y82" s="12">
        <f>$C$42*X82</f>
        <v>48600</v>
      </c>
      <c r="Z82" s="2"/>
      <c r="AA82" s="2"/>
      <c r="AB82" s="2"/>
    </row>
    <row r="83" spans="1:28" ht="15.75" thickTop="1" x14ac:dyDescent="0.25">
      <c r="A83" s="14" t="str">
        <f t="shared" si="7"/>
        <v>Enterprise Distribución (Producto)</v>
      </c>
      <c r="B83" s="11">
        <f t="shared" si="8"/>
        <v>1</v>
      </c>
      <c r="C83" s="10">
        <f>$C$43*B83</f>
        <v>50000</v>
      </c>
      <c r="D83" s="9"/>
      <c r="E83" s="10">
        <f>$C$43*D83</f>
        <v>0</v>
      </c>
      <c r="F83" s="9"/>
      <c r="G83" s="10">
        <f>$C$43*F83</f>
        <v>0</v>
      </c>
      <c r="H83" s="9">
        <v>1</v>
      </c>
      <c r="I83" s="10">
        <f>$C$43*H83</f>
        <v>50000</v>
      </c>
      <c r="J83" s="9"/>
      <c r="K83" s="10">
        <f>$C$43*J83</f>
        <v>0</v>
      </c>
      <c r="L83" s="9"/>
      <c r="M83" s="10">
        <f>$C$43*L83</f>
        <v>0</v>
      </c>
      <c r="N83" s="9"/>
      <c r="O83" s="10">
        <f>$C$43*N83</f>
        <v>0</v>
      </c>
      <c r="P83" s="9">
        <v>1</v>
      </c>
      <c r="Q83" s="10">
        <f>$C$43*P83</f>
        <v>50000</v>
      </c>
      <c r="R83" s="9"/>
      <c r="S83" s="10">
        <f>$C$43*R83</f>
        <v>0</v>
      </c>
      <c r="T83" s="9"/>
      <c r="U83" s="10">
        <f>$C$43*T83</f>
        <v>0</v>
      </c>
      <c r="V83" s="9"/>
      <c r="W83" s="10">
        <f>$C$43*V83</f>
        <v>0</v>
      </c>
      <c r="X83" s="9">
        <v>1</v>
      </c>
      <c r="Y83" s="10">
        <f>$C$43*X83</f>
        <v>50000</v>
      </c>
      <c r="Z83" s="2"/>
      <c r="AA83" s="2"/>
      <c r="AB83" s="2"/>
    </row>
    <row r="84" spans="1:28" x14ac:dyDescent="0.25">
      <c r="A84" s="14" t="str">
        <f t="shared" si="7"/>
        <v>Enterprise Distribución (Licencia Mens.)</v>
      </c>
      <c r="B84" s="11">
        <f t="shared" si="8"/>
        <v>180</v>
      </c>
      <c r="C84" s="12">
        <f>$C$44*B84</f>
        <v>324000</v>
      </c>
      <c r="D84" s="11">
        <f>B84</f>
        <v>180</v>
      </c>
      <c r="E84" s="12">
        <f>$C$44*D84</f>
        <v>324000</v>
      </c>
      <c r="F84" s="11">
        <f>D84</f>
        <v>180</v>
      </c>
      <c r="G84" s="12">
        <f>$C$44*F84</f>
        <v>324000</v>
      </c>
      <c r="H84" s="11">
        <f>F84+$C$21</f>
        <v>210</v>
      </c>
      <c r="I84" s="12">
        <f>$C$44*H84</f>
        <v>378000</v>
      </c>
      <c r="J84" s="11">
        <f>H84</f>
        <v>210</v>
      </c>
      <c r="K84" s="12">
        <f>$C$44*J84</f>
        <v>378000</v>
      </c>
      <c r="L84" s="11">
        <f>J84</f>
        <v>210</v>
      </c>
      <c r="M84" s="12">
        <f>$C$44*L84</f>
        <v>378000</v>
      </c>
      <c r="N84" s="11">
        <f>L84</f>
        <v>210</v>
      </c>
      <c r="O84" s="12">
        <f>$C$44*N84</f>
        <v>378000</v>
      </c>
      <c r="P84" s="11">
        <f>N84+$C$21</f>
        <v>240</v>
      </c>
      <c r="Q84" s="12">
        <f>$C$44*P84</f>
        <v>432000</v>
      </c>
      <c r="R84" s="11">
        <f>P84</f>
        <v>240</v>
      </c>
      <c r="S84" s="12">
        <f>$C$44*R84</f>
        <v>432000</v>
      </c>
      <c r="T84" s="11">
        <f>R84</f>
        <v>240</v>
      </c>
      <c r="U84" s="12">
        <f>$C$44*T84</f>
        <v>432000</v>
      </c>
      <c r="V84" s="11">
        <f>T84</f>
        <v>240</v>
      </c>
      <c r="W84" s="12">
        <f>$C$44*V84</f>
        <v>432000</v>
      </c>
      <c r="X84" s="11">
        <f>V84+$C$21</f>
        <v>270</v>
      </c>
      <c r="Y84" s="12">
        <f>$C$44*X84</f>
        <v>486000</v>
      </c>
      <c r="Z84" s="2"/>
      <c r="AA84" s="2"/>
      <c r="AB84" s="2"/>
    </row>
    <row r="85" spans="1:28" x14ac:dyDescent="0.25">
      <c r="A85" s="6" t="s">
        <v>27</v>
      </c>
      <c r="B85" s="7">
        <f t="shared" ref="B85:Y85" si="9">SUM(B79:B84)</f>
        <v>219</v>
      </c>
      <c r="C85" s="8">
        <f t="shared" si="9"/>
        <v>533800</v>
      </c>
      <c r="D85" s="7">
        <f t="shared" si="9"/>
        <v>216</v>
      </c>
      <c r="E85" s="8">
        <f t="shared" si="9"/>
        <v>388800</v>
      </c>
      <c r="F85" s="7">
        <f t="shared" si="9"/>
        <v>216</v>
      </c>
      <c r="G85" s="8">
        <f t="shared" si="9"/>
        <v>388800</v>
      </c>
      <c r="H85" s="7">
        <f t="shared" si="9"/>
        <v>255</v>
      </c>
      <c r="I85" s="8">
        <f>SUM(I79:I84)</f>
        <v>598600</v>
      </c>
      <c r="J85" s="7">
        <f t="shared" si="9"/>
        <v>252</v>
      </c>
      <c r="K85" s="8">
        <f t="shared" si="9"/>
        <v>453600</v>
      </c>
      <c r="L85" s="7">
        <f t="shared" si="9"/>
        <v>252</v>
      </c>
      <c r="M85" s="8">
        <f t="shared" si="9"/>
        <v>453600</v>
      </c>
      <c r="N85" s="7">
        <f t="shared" si="9"/>
        <v>252</v>
      </c>
      <c r="O85" s="8">
        <f t="shared" si="9"/>
        <v>453600</v>
      </c>
      <c r="P85" s="7">
        <f t="shared" si="9"/>
        <v>291</v>
      </c>
      <c r="Q85" s="8">
        <f t="shared" si="9"/>
        <v>663400</v>
      </c>
      <c r="R85" s="7">
        <f t="shared" si="9"/>
        <v>288</v>
      </c>
      <c r="S85" s="8">
        <f t="shared" si="9"/>
        <v>518400</v>
      </c>
      <c r="T85" s="7">
        <f t="shared" si="9"/>
        <v>288</v>
      </c>
      <c r="U85" s="8">
        <f t="shared" si="9"/>
        <v>518400</v>
      </c>
      <c r="V85" s="7">
        <f t="shared" si="9"/>
        <v>288</v>
      </c>
      <c r="W85" s="8">
        <f t="shared" si="9"/>
        <v>518400</v>
      </c>
      <c r="X85" s="7">
        <f t="shared" si="9"/>
        <v>327</v>
      </c>
      <c r="Y85" s="8">
        <f t="shared" si="9"/>
        <v>728200</v>
      </c>
      <c r="Z85" s="2"/>
      <c r="AA85" s="2"/>
      <c r="AB85" s="2"/>
    </row>
    <row r="86" spans="1:28" hidden="1" x14ac:dyDescent="0.25">
      <c r="A86" s="6" t="s">
        <v>28</v>
      </c>
      <c r="B86" s="7">
        <f>SUM(B85)</f>
        <v>219</v>
      </c>
      <c r="C86" s="8">
        <f>SUM(C85)</f>
        <v>533800</v>
      </c>
      <c r="D86" s="7">
        <f t="shared" ref="D86:Y86" si="10">SUM(B86,D85)</f>
        <v>435</v>
      </c>
      <c r="E86" s="8">
        <f t="shared" si="10"/>
        <v>922600</v>
      </c>
      <c r="F86" s="7">
        <f t="shared" si="10"/>
        <v>651</v>
      </c>
      <c r="G86" s="8">
        <f t="shared" si="10"/>
        <v>1311400</v>
      </c>
      <c r="H86" s="7">
        <f t="shared" si="10"/>
        <v>906</v>
      </c>
      <c r="I86" s="8">
        <f t="shared" si="10"/>
        <v>1910000</v>
      </c>
      <c r="J86" s="7">
        <f t="shared" si="10"/>
        <v>1158</v>
      </c>
      <c r="K86" s="8">
        <f t="shared" si="10"/>
        <v>2363600</v>
      </c>
      <c r="L86" s="7">
        <f t="shared" si="10"/>
        <v>1410</v>
      </c>
      <c r="M86" s="8">
        <f t="shared" si="10"/>
        <v>2817200</v>
      </c>
      <c r="N86" s="7">
        <f t="shared" si="10"/>
        <v>1662</v>
      </c>
      <c r="O86" s="8">
        <f t="shared" si="10"/>
        <v>3270800</v>
      </c>
      <c r="P86" s="7">
        <f t="shared" si="10"/>
        <v>1953</v>
      </c>
      <c r="Q86" s="8">
        <f t="shared" si="10"/>
        <v>3934200</v>
      </c>
      <c r="R86" s="7">
        <f t="shared" si="10"/>
        <v>2241</v>
      </c>
      <c r="S86" s="8">
        <f t="shared" si="10"/>
        <v>4452600</v>
      </c>
      <c r="T86" s="7">
        <f t="shared" si="10"/>
        <v>2529</v>
      </c>
      <c r="U86" s="8">
        <f t="shared" si="10"/>
        <v>4971000</v>
      </c>
      <c r="V86" s="7">
        <f t="shared" si="10"/>
        <v>2817</v>
      </c>
      <c r="W86" s="8">
        <f t="shared" si="10"/>
        <v>5489400</v>
      </c>
      <c r="X86" s="7">
        <f t="shared" si="10"/>
        <v>3144</v>
      </c>
      <c r="Y86" s="8">
        <f t="shared" si="10"/>
        <v>6217600</v>
      </c>
      <c r="Z86" s="2"/>
      <c r="AA86" s="2"/>
      <c r="AB86" s="2"/>
    </row>
    <row r="87" spans="1:28"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sheetData>
  <mergeCells count="59">
    <mergeCell ref="A61:E61"/>
    <mergeCell ref="A75:E75"/>
    <mergeCell ref="A1:K1"/>
    <mergeCell ref="A38:B38"/>
    <mergeCell ref="A44:B44"/>
    <mergeCell ref="A39:B39"/>
    <mergeCell ref="A40:B40"/>
    <mergeCell ref="A41:B41"/>
    <mergeCell ref="A36:C36"/>
    <mergeCell ref="A42:B42"/>
    <mergeCell ref="A43:B43"/>
    <mergeCell ref="A10:B10"/>
    <mergeCell ref="A11:B11"/>
    <mergeCell ref="A12:B12"/>
    <mergeCell ref="A8:G8"/>
    <mergeCell ref="A16:G16"/>
    <mergeCell ref="B49:C49"/>
    <mergeCell ref="D49:E49"/>
    <mergeCell ref="F49:G49"/>
    <mergeCell ref="H49:I49"/>
    <mergeCell ref="A18:B18"/>
    <mergeCell ref="A19:B19"/>
    <mergeCell ref="A20:B20"/>
    <mergeCell ref="A21:B21"/>
    <mergeCell ref="A23:G23"/>
    <mergeCell ref="A28:G28"/>
    <mergeCell ref="A47:E47"/>
    <mergeCell ref="J49:K49"/>
    <mergeCell ref="L49:M49"/>
    <mergeCell ref="N49:O49"/>
    <mergeCell ref="P49:Q49"/>
    <mergeCell ref="R49:S49"/>
    <mergeCell ref="T49:U49"/>
    <mergeCell ref="H77:I77"/>
    <mergeCell ref="J77:K77"/>
    <mergeCell ref="V49:W49"/>
    <mergeCell ref="X49:Y49"/>
    <mergeCell ref="L63:M63"/>
    <mergeCell ref="N63:O63"/>
    <mergeCell ref="P63:Q63"/>
    <mergeCell ref="R63:S63"/>
    <mergeCell ref="T63:U63"/>
    <mergeCell ref="V63:W63"/>
    <mergeCell ref="X63:Y63"/>
    <mergeCell ref="V77:W77"/>
    <mergeCell ref="X77:Y77"/>
    <mergeCell ref="L77:M77"/>
    <mergeCell ref="N77:O77"/>
    <mergeCell ref="B63:C63"/>
    <mergeCell ref="D63:E63"/>
    <mergeCell ref="F63:G63"/>
    <mergeCell ref="H63:I63"/>
    <mergeCell ref="J63:K63"/>
    <mergeCell ref="P77:Q77"/>
    <mergeCell ref="R77:S77"/>
    <mergeCell ref="T77:U77"/>
    <mergeCell ref="B77:C77"/>
    <mergeCell ref="D77:E77"/>
    <mergeCell ref="F77:G77"/>
  </mergeCells>
  <pageMargins left="0.23622047244094491" right="0.23622047244094491" top="0.9055118110236221" bottom="0.47244094488188981" header="0.31496062992125984" footer="0.31496062992125984"/>
  <pageSetup paperSize="9" scale="40" fitToHeight="0" orientation="landscape" r:id="rId1"/>
  <headerFooter>
    <oddHeader>&amp;L&amp;"-,Negrita"&amp;16NATURAL FORT
&amp;"-,Normal"Alimento para perros&amp;C&amp;"-,Negrita"&amp;20&amp;U&amp;A&amp;RDocente a cargo:  Jorge Scali
Alumno: Hugo Castromán</oddHeader>
    <oddFooter>&amp;CPágina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175"/>
  <sheetViews>
    <sheetView showGridLines="0" topLeftCell="S49" zoomScale="85" zoomScaleNormal="85" zoomScalePageLayoutView="85" workbookViewId="0">
      <selection activeCell="AK53" sqref="AK53"/>
    </sheetView>
  </sheetViews>
  <sheetFormatPr defaultColWidth="11.42578125" defaultRowHeight="15" x14ac:dyDescent="0.25"/>
  <cols>
    <col min="1" max="1" width="41.140625" customWidth="1"/>
    <col min="2" max="2" width="5.42578125" bestFit="1" customWidth="1"/>
    <col min="3" max="3" width="12.7109375" bestFit="1" customWidth="1"/>
    <col min="4" max="4" width="5.42578125" bestFit="1" customWidth="1"/>
    <col min="5" max="5" width="12.7109375" bestFit="1" customWidth="1"/>
    <col min="6" max="6" width="5.42578125" bestFit="1" customWidth="1"/>
    <col min="7" max="7" width="13.7109375" bestFit="1" customWidth="1"/>
    <col min="8" max="8" width="6.42578125" bestFit="1" customWidth="1"/>
    <col min="9" max="9" width="13.7109375" bestFit="1" customWidth="1"/>
    <col min="10" max="10" width="6.42578125" bestFit="1" customWidth="1"/>
    <col min="11" max="11" width="13.7109375" bestFit="1" customWidth="1"/>
    <col min="12" max="12" width="6.42578125" bestFit="1" customWidth="1"/>
    <col min="13" max="13" width="13.7109375" bestFit="1" customWidth="1"/>
    <col min="14" max="14" width="6.42578125" bestFit="1" customWidth="1"/>
    <col min="15" max="15" width="13.7109375" bestFit="1" customWidth="1"/>
    <col min="16" max="16" width="6.42578125" bestFit="1" customWidth="1"/>
    <col min="17" max="17" width="13.7109375" bestFit="1" customWidth="1"/>
    <col min="18" max="18" width="6.42578125" bestFit="1" customWidth="1"/>
    <col min="19" max="19" width="13.7109375" bestFit="1" customWidth="1"/>
    <col min="20" max="20" width="6.42578125" bestFit="1" customWidth="1"/>
    <col min="21" max="21" width="13.7109375" bestFit="1" customWidth="1"/>
    <col min="22" max="22" width="6.42578125" bestFit="1" customWidth="1"/>
    <col min="23" max="23" width="13.7109375" bestFit="1" customWidth="1"/>
    <col min="24" max="24" width="6.42578125" bestFit="1" customWidth="1"/>
    <col min="25" max="25" width="13.7109375" bestFit="1" customWidth="1"/>
    <col min="27" max="27" width="13.7109375" bestFit="1" customWidth="1"/>
  </cols>
  <sheetData>
    <row r="1" spans="1:28" ht="36" x14ac:dyDescent="0.55000000000000004">
      <c r="A1" s="97" t="s">
        <v>1</v>
      </c>
      <c r="B1" s="97"/>
      <c r="C1" s="97"/>
      <c r="D1" s="97"/>
      <c r="E1" s="97"/>
      <c r="F1" s="97"/>
      <c r="G1" s="97"/>
      <c r="H1" s="97"/>
      <c r="I1" s="97"/>
      <c r="J1" s="97"/>
      <c r="K1" s="97"/>
      <c r="L1" s="2"/>
      <c r="M1" s="2"/>
      <c r="N1" s="2"/>
      <c r="O1" s="2"/>
      <c r="P1" s="2"/>
      <c r="Q1" s="2"/>
      <c r="R1" s="2"/>
      <c r="S1" s="2"/>
      <c r="T1" s="2"/>
      <c r="U1" s="2"/>
      <c r="V1" s="2"/>
      <c r="W1" s="2"/>
      <c r="X1" s="2"/>
      <c r="Y1" s="2"/>
      <c r="Z1" s="2"/>
      <c r="AA1" s="2"/>
      <c r="AB1" s="2"/>
    </row>
    <row r="2" spans="1:28" x14ac:dyDescent="0.25">
      <c r="A2" s="2"/>
      <c r="B2" s="2"/>
      <c r="C2" s="2"/>
      <c r="D2" s="2"/>
      <c r="E2" s="2"/>
      <c r="F2" s="2"/>
      <c r="G2" s="2"/>
      <c r="H2" s="2"/>
      <c r="I2" s="2"/>
      <c r="J2" s="2"/>
      <c r="K2" s="2"/>
      <c r="L2" s="2"/>
      <c r="M2" s="2"/>
      <c r="N2" s="2"/>
      <c r="O2" s="2"/>
      <c r="P2" s="2"/>
      <c r="Q2" s="2"/>
      <c r="R2" s="2"/>
      <c r="S2" s="2"/>
      <c r="T2" s="2"/>
      <c r="U2" s="2"/>
      <c r="V2" s="2"/>
      <c r="W2" s="2"/>
      <c r="X2" s="2"/>
      <c r="Y2" s="2"/>
      <c r="Z2" s="2"/>
      <c r="AA2" s="2"/>
      <c r="AB2" s="2"/>
    </row>
    <row r="3" spans="1:28" x14ac:dyDescent="0.25">
      <c r="A3" s="2"/>
      <c r="B3" s="2"/>
      <c r="C3" s="2"/>
      <c r="D3" s="2"/>
      <c r="E3" s="2"/>
      <c r="F3" s="2"/>
      <c r="G3" s="2"/>
      <c r="H3" s="2"/>
      <c r="I3" s="2"/>
      <c r="J3" s="2"/>
      <c r="K3" s="2"/>
      <c r="L3" s="2"/>
      <c r="M3" s="2"/>
      <c r="N3" s="2"/>
      <c r="O3" s="2"/>
      <c r="P3" s="2"/>
      <c r="Q3" s="2"/>
      <c r="R3" s="2"/>
      <c r="S3" s="2"/>
      <c r="T3" s="2"/>
      <c r="U3" s="2"/>
      <c r="V3" s="2"/>
      <c r="W3" s="2"/>
      <c r="X3" s="2"/>
      <c r="Y3" s="2"/>
      <c r="Z3" s="2"/>
      <c r="AA3" s="2"/>
      <c r="AB3" s="2"/>
    </row>
    <row r="4" spans="1:28" ht="15.75" x14ac:dyDescent="0.25">
      <c r="A4" s="1" t="s">
        <v>11</v>
      </c>
      <c r="B4" s="2"/>
      <c r="C4" s="2"/>
      <c r="D4" s="2"/>
      <c r="E4" s="2"/>
      <c r="F4" s="2"/>
      <c r="G4" s="2"/>
      <c r="H4" s="2"/>
      <c r="I4" s="2"/>
      <c r="J4" s="2"/>
      <c r="K4" s="2"/>
      <c r="L4" s="2"/>
      <c r="M4" s="2"/>
      <c r="N4" s="2"/>
      <c r="O4" s="2"/>
      <c r="P4" s="2"/>
      <c r="Q4" s="2"/>
      <c r="R4" s="2"/>
      <c r="S4" s="2"/>
      <c r="T4" s="2"/>
      <c r="U4" s="2"/>
      <c r="V4" s="2"/>
      <c r="W4" s="2"/>
      <c r="X4" s="2"/>
      <c r="Y4" s="2"/>
      <c r="Z4" s="2"/>
      <c r="AA4" s="2"/>
      <c r="AB4" s="2"/>
    </row>
    <row r="5" spans="1:28" x14ac:dyDescent="0.25">
      <c r="A5" s="2" t="s">
        <v>73</v>
      </c>
      <c r="B5" s="2"/>
      <c r="C5" s="2"/>
      <c r="D5" s="2"/>
      <c r="E5" s="2"/>
      <c r="F5" s="2"/>
      <c r="G5" s="2"/>
      <c r="H5" s="2"/>
      <c r="I5" s="2"/>
      <c r="J5" s="2"/>
      <c r="K5" s="2"/>
      <c r="L5" s="2"/>
      <c r="M5" s="2"/>
      <c r="N5" s="2"/>
      <c r="O5" s="2"/>
      <c r="P5" s="2"/>
      <c r="Q5" s="2"/>
      <c r="R5" s="2"/>
      <c r="S5" s="2"/>
      <c r="T5" s="2"/>
      <c r="U5" s="2"/>
      <c r="V5" s="2"/>
      <c r="W5" s="2"/>
      <c r="X5" s="2"/>
      <c r="Y5" s="2"/>
      <c r="Z5" s="2"/>
      <c r="AA5" s="2"/>
      <c r="AB5" s="2"/>
    </row>
    <row r="6" spans="1:28" x14ac:dyDescent="0.25">
      <c r="A6" s="2" t="s">
        <v>74</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2"/>
      <c r="B7" s="2"/>
      <c r="C7" s="2"/>
      <c r="D7" s="2"/>
      <c r="E7" s="2"/>
      <c r="F7" s="2"/>
      <c r="G7" s="2"/>
      <c r="H7" s="2"/>
      <c r="I7" s="2"/>
      <c r="J7" s="2"/>
      <c r="K7" s="2"/>
      <c r="L7" s="2"/>
      <c r="M7" s="2"/>
      <c r="N7" s="2"/>
      <c r="O7" s="2"/>
      <c r="P7" s="2"/>
      <c r="Q7" s="2"/>
      <c r="R7" s="2"/>
      <c r="S7" s="2"/>
      <c r="T7" s="2"/>
      <c r="U7" s="2"/>
      <c r="V7" s="2"/>
      <c r="W7" s="2"/>
      <c r="X7" s="2"/>
      <c r="Y7" s="2"/>
      <c r="Z7" s="2"/>
      <c r="AA7" s="2"/>
      <c r="AB7" s="2"/>
    </row>
    <row r="8" spans="1:28" ht="21" x14ac:dyDescent="0.35">
      <c r="A8" s="100" t="s">
        <v>77</v>
      </c>
      <c r="B8" s="100"/>
      <c r="C8" s="100"/>
      <c r="D8" s="100"/>
      <c r="E8" s="100"/>
      <c r="F8" s="100"/>
      <c r="G8" s="100"/>
      <c r="H8" s="2"/>
      <c r="I8" s="2"/>
      <c r="J8" s="2"/>
      <c r="K8" s="2"/>
      <c r="L8" s="2"/>
      <c r="M8" s="2"/>
      <c r="N8" s="2"/>
      <c r="O8" s="2"/>
      <c r="P8" s="2"/>
      <c r="Q8" s="2"/>
      <c r="R8" s="2"/>
      <c r="S8" s="2"/>
      <c r="T8" s="2"/>
      <c r="U8" s="2"/>
      <c r="V8" s="2"/>
      <c r="W8" s="2"/>
      <c r="X8" s="2"/>
      <c r="Y8" s="2"/>
      <c r="Z8" s="2"/>
      <c r="AA8" s="2"/>
      <c r="AB8" s="2"/>
    </row>
    <row r="9" spans="1:28" ht="15.75" thickBot="1" x14ac:dyDescent="0.3">
      <c r="A9" s="2"/>
      <c r="B9" s="2"/>
      <c r="C9" s="2"/>
      <c r="D9" s="2"/>
      <c r="E9" s="2"/>
      <c r="F9" s="2"/>
      <c r="G9" s="2"/>
      <c r="H9" s="2"/>
      <c r="I9" s="2"/>
      <c r="J9" s="2"/>
      <c r="K9" s="2"/>
      <c r="L9" s="2"/>
      <c r="M9" s="2"/>
      <c r="N9" s="2"/>
      <c r="O9" s="2"/>
      <c r="P9" s="2"/>
      <c r="Q9" s="2"/>
      <c r="R9" s="2"/>
      <c r="S9" s="2"/>
      <c r="T9" s="2"/>
      <c r="U9" s="2"/>
      <c r="V9" s="2"/>
      <c r="W9" s="2"/>
      <c r="X9" s="2"/>
      <c r="Y9" s="2"/>
      <c r="Z9" s="2"/>
      <c r="AA9" s="2"/>
      <c r="AB9" s="2"/>
    </row>
    <row r="10" spans="1:28" ht="15.75" thickBot="1" x14ac:dyDescent="0.3">
      <c r="A10" s="108" t="s">
        <v>4</v>
      </c>
      <c r="B10" s="109"/>
      <c r="C10" s="15" t="s">
        <v>32</v>
      </c>
      <c r="D10" s="2"/>
      <c r="E10" s="2"/>
      <c r="F10" s="2"/>
      <c r="G10" s="2"/>
      <c r="H10" s="2"/>
      <c r="I10" s="2"/>
      <c r="J10" s="2"/>
      <c r="K10" s="2"/>
      <c r="L10" s="2"/>
      <c r="M10" s="2"/>
      <c r="N10" s="2"/>
      <c r="O10" s="2"/>
      <c r="P10" s="2"/>
      <c r="Q10" s="2"/>
      <c r="R10" s="2"/>
      <c r="S10" s="2"/>
      <c r="T10" s="2"/>
      <c r="U10" s="2"/>
      <c r="V10" s="2"/>
      <c r="W10" s="2"/>
      <c r="X10" s="2"/>
      <c r="Y10" s="2"/>
      <c r="Z10" s="2"/>
      <c r="AA10" s="2"/>
      <c r="AB10" s="2"/>
    </row>
    <row r="11" spans="1:28" ht="15" customHeight="1" thickTop="1" thickBot="1" x14ac:dyDescent="0.3">
      <c r="A11" s="110" t="s">
        <v>78</v>
      </c>
      <c r="B11" s="111"/>
      <c r="C11" s="19">
        <v>400</v>
      </c>
      <c r="D11" s="2"/>
      <c r="E11" s="2"/>
      <c r="F11" s="2"/>
      <c r="G11" s="2"/>
      <c r="H11" s="2"/>
      <c r="I11" s="2"/>
      <c r="J11" s="2"/>
      <c r="K11" s="2"/>
      <c r="L11" s="2"/>
      <c r="M11" s="2"/>
      <c r="N11" s="2"/>
      <c r="O11" s="2"/>
      <c r="P11" s="2"/>
      <c r="Q11" s="2"/>
      <c r="R11" s="2"/>
      <c r="S11" s="2"/>
      <c r="T11" s="2"/>
      <c r="U11" s="2"/>
      <c r="V11" s="2"/>
      <c r="W11" s="2"/>
      <c r="X11" s="2"/>
      <c r="Y11" s="2"/>
      <c r="Z11" s="2"/>
      <c r="AA11" s="2"/>
      <c r="AB11" s="2"/>
    </row>
    <row r="12" spans="1:28" ht="15.75" thickTop="1" x14ac:dyDescent="0.25">
      <c r="A12" s="110" t="s">
        <v>79</v>
      </c>
      <c r="B12" s="111"/>
      <c r="C12" s="19">
        <f>C11*0.2</f>
        <v>80</v>
      </c>
      <c r="D12" s="2"/>
      <c r="E12" s="2"/>
      <c r="F12" s="2"/>
      <c r="G12" s="2"/>
      <c r="H12" s="2"/>
      <c r="I12" s="2"/>
      <c r="J12" s="2"/>
      <c r="K12" s="2"/>
      <c r="L12" s="2"/>
      <c r="M12" s="2"/>
      <c r="N12" s="2"/>
      <c r="O12" s="2"/>
      <c r="P12" s="2"/>
      <c r="Q12" s="2"/>
      <c r="R12" s="2"/>
      <c r="S12" s="2"/>
      <c r="T12" s="2"/>
      <c r="U12" s="2"/>
      <c r="V12" s="2"/>
      <c r="W12" s="2"/>
      <c r="X12" s="2"/>
      <c r="Y12" s="2"/>
      <c r="Z12" s="2"/>
      <c r="AA12" s="2"/>
      <c r="AB12" s="2"/>
    </row>
    <row r="13" spans="1:28" x14ac:dyDescent="0.2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row>
    <row r="14" spans="1:28" x14ac:dyDescent="0.25">
      <c r="A14" s="2" t="s">
        <v>80</v>
      </c>
      <c r="B14" s="2"/>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x14ac:dyDescent="0.2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spans="1:28" ht="21" x14ac:dyDescent="0.35">
      <c r="A16" s="100" t="s">
        <v>76</v>
      </c>
      <c r="B16" s="100"/>
      <c r="C16" s="100"/>
      <c r="D16" s="100"/>
      <c r="E16" s="100"/>
      <c r="F16" s="100"/>
      <c r="G16" s="100"/>
      <c r="H16" s="2"/>
      <c r="I16" s="2"/>
      <c r="J16" s="2"/>
      <c r="K16" s="2"/>
      <c r="L16" s="2"/>
      <c r="M16" s="2"/>
      <c r="N16" s="2"/>
      <c r="O16" s="2"/>
      <c r="P16" s="2"/>
      <c r="Q16" s="2"/>
      <c r="R16" s="2"/>
      <c r="S16" s="2"/>
      <c r="T16" s="2"/>
      <c r="U16" s="2"/>
      <c r="V16" s="2"/>
      <c r="W16" s="2"/>
      <c r="X16" s="2"/>
      <c r="Y16" s="2"/>
      <c r="Z16" s="2"/>
      <c r="AA16" s="2"/>
      <c r="AB16" s="2"/>
    </row>
    <row r="17" spans="1:28" ht="15.75" thickBot="1"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ht="15.75" thickBot="1" x14ac:dyDescent="0.3">
      <c r="A18" s="108" t="s">
        <v>4</v>
      </c>
      <c r="B18" s="109"/>
      <c r="C18" s="15" t="s">
        <v>32</v>
      </c>
      <c r="D18" s="2"/>
      <c r="E18" s="2"/>
      <c r="F18" s="2"/>
      <c r="G18" s="2"/>
      <c r="H18" s="2"/>
      <c r="I18" s="2"/>
      <c r="J18" s="2"/>
      <c r="K18" s="2"/>
      <c r="L18" s="2"/>
      <c r="M18" s="2"/>
      <c r="N18" s="2"/>
      <c r="O18" s="2"/>
      <c r="P18" s="2"/>
      <c r="Q18" s="2"/>
      <c r="R18" s="2"/>
      <c r="S18" s="2"/>
      <c r="T18" s="2"/>
      <c r="U18" s="2"/>
      <c r="V18" s="2"/>
      <c r="W18" s="2"/>
      <c r="X18" s="2"/>
      <c r="Y18" s="2"/>
      <c r="Z18" s="2"/>
      <c r="AA18" s="2"/>
      <c r="AB18" s="2"/>
    </row>
    <row r="19" spans="1:28" ht="15" customHeight="1" thickTop="1" thickBot="1" x14ac:dyDescent="0.3">
      <c r="A19" s="110" t="s">
        <v>72</v>
      </c>
      <c r="B19" s="111"/>
      <c r="C19" s="19">
        <v>3</v>
      </c>
      <c r="D19" s="2"/>
      <c r="E19" s="2"/>
      <c r="F19" s="2"/>
      <c r="G19" s="2"/>
      <c r="H19" s="2"/>
      <c r="I19" s="2"/>
      <c r="J19" s="2"/>
      <c r="K19" s="2"/>
      <c r="L19" s="2"/>
      <c r="M19" s="2"/>
      <c r="N19" s="2"/>
      <c r="O19" s="2"/>
      <c r="P19" s="2"/>
      <c r="Q19" s="2"/>
      <c r="R19" s="2"/>
      <c r="S19" s="2"/>
      <c r="T19" s="2"/>
      <c r="U19" s="2"/>
      <c r="V19" s="2"/>
      <c r="W19" s="2"/>
      <c r="X19" s="2"/>
      <c r="Y19" s="2"/>
      <c r="Z19" s="2"/>
      <c r="AA19" s="2"/>
      <c r="AB19" s="2"/>
    </row>
    <row r="20" spans="1:28" ht="16.5" thickTop="1" thickBot="1" x14ac:dyDescent="0.3">
      <c r="A20" s="110" t="s">
        <v>72</v>
      </c>
      <c r="B20" s="111"/>
      <c r="C20" s="19">
        <v>3</v>
      </c>
      <c r="D20" s="2"/>
      <c r="E20" s="2"/>
      <c r="F20" s="2"/>
      <c r="G20" s="2"/>
      <c r="H20" s="2"/>
      <c r="I20" s="2"/>
      <c r="J20" s="2"/>
      <c r="K20" s="2"/>
      <c r="L20" s="2"/>
      <c r="M20" s="2"/>
      <c r="N20" s="2"/>
      <c r="O20" s="2"/>
      <c r="P20" s="2"/>
      <c r="Q20" s="2"/>
      <c r="R20" s="2"/>
      <c r="S20" s="2"/>
      <c r="T20" s="2"/>
      <c r="U20" s="2"/>
      <c r="V20" s="2"/>
      <c r="W20" s="2"/>
      <c r="X20" s="2"/>
      <c r="Y20" s="2"/>
      <c r="Z20" s="2"/>
      <c r="AA20" s="2"/>
      <c r="AB20" s="2"/>
    </row>
    <row r="21" spans="1:28" ht="15.75" thickTop="1" x14ac:dyDescent="0.25">
      <c r="A21" s="110" t="s">
        <v>71</v>
      </c>
      <c r="B21" s="111"/>
      <c r="C21" s="19">
        <v>30</v>
      </c>
      <c r="D21" s="2"/>
      <c r="E21" s="2"/>
      <c r="F21" s="2"/>
      <c r="G21" s="2"/>
      <c r="H21" s="2"/>
      <c r="I21" s="2"/>
      <c r="J21" s="2"/>
      <c r="K21" s="2"/>
      <c r="L21" s="2"/>
      <c r="M21" s="2"/>
      <c r="N21" s="2"/>
      <c r="O21" s="2"/>
      <c r="P21" s="2"/>
      <c r="Q21" s="2"/>
      <c r="R21" s="2"/>
      <c r="S21" s="2"/>
      <c r="T21" s="2"/>
      <c r="U21" s="2"/>
      <c r="V21" s="2"/>
      <c r="W21" s="2"/>
      <c r="X21" s="2"/>
      <c r="Y21" s="2"/>
      <c r="Z21" s="2"/>
      <c r="AA21" s="2"/>
      <c r="AB21" s="2"/>
    </row>
    <row r="22" spans="1:28"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ht="21" x14ac:dyDescent="0.35">
      <c r="A23" s="100" t="s">
        <v>12</v>
      </c>
      <c r="B23" s="100"/>
      <c r="C23" s="100"/>
      <c r="D23" s="100"/>
      <c r="E23" s="100"/>
      <c r="F23" s="100"/>
      <c r="G23" s="100"/>
      <c r="H23" s="2"/>
      <c r="I23" s="2"/>
      <c r="J23" s="2"/>
      <c r="K23" s="2"/>
      <c r="L23" s="2"/>
      <c r="M23" s="2"/>
      <c r="N23" s="2"/>
      <c r="O23" s="2"/>
      <c r="P23" s="2"/>
      <c r="Q23" s="2"/>
      <c r="R23" s="2"/>
      <c r="S23" s="2"/>
      <c r="T23" s="2"/>
      <c r="U23" s="2"/>
      <c r="V23" s="2"/>
      <c r="W23" s="2"/>
      <c r="X23" s="2"/>
      <c r="Y23" s="2"/>
      <c r="Z23" s="2"/>
      <c r="AA23" s="2"/>
      <c r="AB23" s="2"/>
    </row>
    <row r="24" spans="1:28" ht="15.75" x14ac:dyDescent="0.25">
      <c r="A24" s="1" t="s">
        <v>12</v>
      </c>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x14ac:dyDescent="0.25">
      <c r="A25" s="2" t="s">
        <v>65</v>
      </c>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x14ac:dyDescent="0.25">
      <c r="A26" s="2" t="s">
        <v>66</v>
      </c>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ht="21" x14ac:dyDescent="0.35">
      <c r="A28" s="100" t="s">
        <v>13</v>
      </c>
      <c r="B28" s="100"/>
      <c r="C28" s="100"/>
      <c r="D28" s="100"/>
      <c r="E28" s="100"/>
      <c r="F28" s="100"/>
      <c r="G28" s="100"/>
      <c r="H28" s="2"/>
      <c r="I28" s="2"/>
      <c r="J28" s="2"/>
      <c r="K28" s="2"/>
      <c r="L28" s="2"/>
      <c r="M28" s="2"/>
      <c r="N28" s="2"/>
      <c r="O28" s="2"/>
      <c r="P28" s="2"/>
      <c r="Q28" s="2"/>
      <c r="R28" s="2"/>
      <c r="S28" s="2"/>
      <c r="T28" s="2"/>
      <c r="U28" s="2"/>
      <c r="V28" s="2"/>
      <c r="W28" s="2"/>
      <c r="X28" s="2"/>
      <c r="Y28" s="2"/>
      <c r="Z28" s="2"/>
      <c r="AA28" s="2"/>
      <c r="AB28" s="2"/>
    </row>
    <row r="29" spans="1:28" ht="15.75" x14ac:dyDescent="0.25">
      <c r="A29" s="1" t="s">
        <v>13</v>
      </c>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x14ac:dyDescent="0.25">
      <c r="A30" s="2" t="s">
        <v>81</v>
      </c>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x14ac:dyDescent="0.25">
      <c r="A31" s="2" t="s">
        <v>82</v>
      </c>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x14ac:dyDescent="0.25">
      <c r="A32" s="2" t="s">
        <v>83</v>
      </c>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x14ac:dyDescent="0.25">
      <c r="A33" s="2" t="s">
        <v>84</v>
      </c>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ht="21" x14ac:dyDescent="0.35">
      <c r="A36" s="100" t="s">
        <v>3</v>
      </c>
      <c r="B36" s="100"/>
      <c r="C36" s="100"/>
      <c r="D36" s="2"/>
      <c r="E36" s="2"/>
      <c r="F36" s="2"/>
      <c r="G36" s="2"/>
      <c r="H36" s="2"/>
      <c r="I36" s="2"/>
      <c r="J36" s="2"/>
      <c r="K36" s="2"/>
      <c r="L36" s="2"/>
      <c r="M36" s="2"/>
      <c r="N36" s="2"/>
      <c r="O36" s="2"/>
      <c r="P36" s="2"/>
      <c r="Q36" s="2"/>
      <c r="R36" s="2"/>
      <c r="S36" s="2"/>
      <c r="T36" s="2"/>
      <c r="U36" s="2"/>
      <c r="V36" s="2"/>
      <c r="W36" s="2"/>
      <c r="X36" s="2"/>
      <c r="Y36" s="2"/>
      <c r="Z36" s="2"/>
      <c r="AA36" s="2"/>
      <c r="AB36" s="2"/>
    </row>
    <row r="37" spans="1:28" ht="15.75" thickBo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ht="15.75" thickBot="1" x14ac:dyDescent="0.3">
      <c r="A38" s="108" t="s">
        <v>4</v>
      </c>
      <c r="B38" s="109"/>
      <c r="C38" s="15" t="s">
        <v>5</v>
      </c>
      <c r="D38" s="2"/>
      <c r="E38" s="2"/>
      <c r="F38" s="2"/>
      <c r="G38" s="2"/>
      <c r="H38" s="2"/>
      <c r="I38" s="2"/>
      <c r="J38" s="2"/>
      <c r="K38" s="2"/>
      <c r="L38" s="2"/>
      <c r="M38" s="2"/>
      <c r="N38" s="2"/>
      <c r="O38" s="2"/>
      <c r="P38" s="2"/>
      <c r="Q38" s="2"/>
      <c r="R38" s="2"/>
      <c r="S38" s="2"/>
      <c r="T38" s="2"/>
      <c r="U38" s="2"/>
      <c r="V38" s="2"/>
      <c r="W38" s="2"/>
      <c r="X38" s="2"/>
      <c r="Y38" s="2"/>
      <c r="Z38" s="2"/>
      <c r="AA38" s="2"/>
      <c r="AB38" s="2"/>
    </row>
    <row r="39" spans="1:28" ht="15.75" customHeight="1" thickTop="1" thickBot="1" x14ac:dyDescent="0.3">
      <c r="A39" s="112" t="s">
        <v>68</v>
      </c>
      <c r="B39" s="113"/>
      <c r="C39" s="17">
        <v>60000</v>
      </c>
      <c r="D39" s="2"/>
      <c r="E39" s="2"/>
      <c r="F39" s="2"/>
      <c r="G39" s="2"/>
      <c r="H39" s="2"/>
      <c r="I39" s="2"/>
      <c r="J39" s="2"/>
      <c r="K39" s="2"/>
      <c r="L39" s="2"/>
      <c r="M39" s="2"/>
      <c r="N39" s="2"/>
      <c r="O39" s="2"/>
      <c r="P39" s="2"/>
      <c r="Q39" s="2"/>
      <c r="R39" s="2"/>
      <c r="S39" s="2"/>
      <c r="T39" s="2"/>
      <c r="U39" s="2"/>
      <c r="V39" s="2"/>
      <c r="W39" s="2"/>
      <c r="X39" s="2"/>
      <c r="Y39" s="2"/>
      <c r="Z39" s="2"/>
      <c r="AA39" s="2"/>
      <c r="AB39" s="2"/>
    </row>
    <row r="40" spans="1:28" ht="15" customHeight="1" thickTop="1" thickBot="1" x14ac:dyDescent="0.3">
      <c r="A40" s="110" t="s">
        <v>72</v>
      </c>
      <c r="B40" s="111"/>
      <c r="C40" s="18">
        <v>1500</v>
      </c>
      <c r="D40" s="2"/>
      <c r="E40" s="2"/>
      <c r="F40" s="2"/>
      <c r="G40" s="2"/>
      <c r="H40" s="2"/>
      <c r="I40" s="2"/>
      <c r="J40" s="2"/>
      <c r="K40" s="2"/>
      <c r="L40" s="2"/>
      <c r="M40" s="2"/>
      <c r="N40" s="2"/>
      <c r="O40" s="2"/>
      <c r="P40" s="2"/>
      <c r="Q40" s="2"/>
      <c r="R40" s="2"/>
      <c r="S40" s="2"/>
      <c r="T40" s="2"/>
      <c r="U40" s="2"/>
      <c r="V40" s="2"/>
      <c r="W40" s="2"/>
      <c r="X40" s="2"/>
      <c r="Y40" s="2"/>
      <c r="Z40" s="2"/>
      <c r="AA40" s="2"/>
      <c r="AB40" s="2"/>
    </row>
    <row r="41" spans="1:28" ht="16.5" thickTop="1" thickBot="1" x14ac:dyDescent="0.3">
      <c r="A41" s="112" t="s">
        <v>69</v>
      </c>
      <c r="B41" s="113"/>
      <c r="C41" s="16">
        <v>35000</v>
      </c>
      <c r="D41" s="2"/>
      <c r="E41" s="2"/>
      <c r="F41" s="2"/>
      <c r="G41" s="2"/>
      <c r="H41" s="2"/>
      <c r="I41" s="2"/>
      <c r="J41" s="2"/>
      <c r="K41" s="2"/>
      <c r="L41" s="2"/>
      <c r="M41" s="2"/>
      <c r="N41" s="2"/>
      <c r="O41" s="2"/>
      <c r="P41" s="2"/>
      <c r="Q41" s="2"/>
      <c r="R41" s="2"/>
      <c r="S41" s="2"/>
      <c r="T41" s="2"/>
      <c r="U41" s="2"/>
      <c r="V41" s="2"/>
      <c r="W41" s="2"/>
      <c r="X41" s="2"/>
      <c r="Y41" s="2"/>
      <c r="Z41" s="2"/>
      <c r="AA41" s="2"/>
      <c r="AB41" s="2"/>
    </row>
    <row r="42" spans="1:28" ht="16.5" thickTop="1" thickBot="1" x14ac:dyDescent="0.3">
      <c r="A42" s="110" t="s">
        <v>213</v>
      </c>
      <c r="B42" s="111"/>
      <c r="C42" s="18">
        <v>1500</v>
      </c>
      <c r="D42" s="2"/>
      <c r="E42" s="2"/>
      <c r="F42" s="2"/>
      <c r="G42" s="2"/>
      <c r="H42" s="2"/>
      <c r="I42" s="2"/>
      <c r="J42" s="2"/>
      <c r="K42" s="2"/>
      <c r="L42" s="2"/>
      <c r="M42" s="2"/>
      <c r="N42" s="2"/>
      <c r="O42" s="2"/>
      <c r="P42" s="2"/>
      <c r="Q42" s="2"/>
      <c r="R42" s="2"/>
      <c r="S42" s="2"/>
      <c r="T42" s="2"/>
      <c r="U42" s="2"/>
      <c r="V42" s="2"/>
      <c r="W42" s="2"/>
      <c r="X42" s="2"/>
      <c r="Y42" s="2"/>
      <c r="Z42" s="2"/>
      <c r="AA42" s="2"/>
      <c r="AB42" s="2"/>
    </row>
    <row r="43" spans="1:28" ht="16.5" thickTop="1" thickBot="1" x14ac:dyDescent="0.3">
      <c r="A43" s="112" t="s">
        <v>70</v>
      </c>
      <c r="B43" s="113"/>
      <c r="C43" s="16">
        <v>50000</v>
      </c>
      <c r="D43" s="2"/>
      <c r="E43" s="2"/>
      <c r="F43" s="2"/>
      <c r="G43" s="2"/>
      <c r="H43" s="2"/>
      <c r="I43" s="2"/>
      <c r="J43" s="2"/>
      <c r="K43" s="2"/>
      <c r="L43" s="2"/>
      <c r="M43" s="2"/>
      <c r="N43" s="2"/>
      <c r="O43" s="2"/>
      <c r="P43" s="2"/>
      <c r="Q43" s="2"/>
      <c r="R43" s="2"/>
      <c r="S43" s="2"/>
      <c r="T43" s="2"/>
      <c r="U43" s="2"/>
      <c r="V43" s="2"/>
      <c r="W43" s="2"/>
      <c r="X43" s="2"/>
      <c r="Y43" s="2"/>
      <c r="Z43" s="2"/>
      <c r="AA43" s="2"/>
      <c r="AB43" s="2"/>
    </row>
    <row r="44" spans="1:28" ht="15.75" thickTop="1" x14ac:dyDescent="0.25">
      <c r="A44" s="110" t="s">
        <v>212</v>
      </c>
      <c r="B44" s="111"/>
      <c r="C44" s="18">
        <v>1500</v>
      </c>
      <c r="D44" s="2"/>
      <c r="E44" s="2"/>
      <c r="F44" s="2"/>
      <c r="G44" s="2"/>
      <c r="H44" s="2"/>
      <c r="I44" s="2"/>
      <c r="J44" s="2"/>
      <c r="K44" s="2"/>
      <c r="L44" s="2"/>
      <c r="M44" s="2"/>
      <c r="N44" s="2"/>
      <c r="O44" s="2"/>
      <c r="P44" s="2"/>
      <c r="Q44" s="2"/>
      <c r="R44" s="2"/>
      <c r="S44" s="2"/>
      <c r="T44" s="2"/>
      <c r="U44" s="2"/>
      <c r="V44" s="2"/>
      <c r="W44" s="2"/>
      <c r="X44" s="2"/>
      <c r="Y44" s="2"/>
      <c r="Z44" s="2"/>
      <c r="AA44" s="2"/>
      <c r="AB44" s="2"/>
    </row>
    <row r="45" spans="1:28"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ht="21" x14ac:dyDescent="0.35">
      <c r="A47" s="100" t="s">
        <v>14</v>
      </c>
      <c r="B47" s="100"/>
      <c r="C47" s="100"/>
      <c r="D47" s="100"/>
      <c r="E47" s="100"/>
      <c r="F47" s="2"/>
      <c r="G47" s="2"/>
      <c r="H47" s="2"/>
      <c r="I47" s="2"/>
      <c r="J47" s="2"/>
      <c r="K47" s="2"/>
      <c r="L47" s="2"/>
      <c r="M47" s="2"/>
      <c r="N47" s="2"/>
      <c r="O47" s="2"/>
      <c r="P47" s="2"/>
      <c r="Q47" s="2"/>
      <c r="R47" s="2"/>
      <c r="S47" s="2"/>
      <c r="T47" s="2"/>
      <c r="U47" s="2"/>
      <c r="V47" s="2"/>
      <c r="W47" s="2"/>
      <c r="X47" s="2"/>
      <c r="Y47" s="2"/>
      <c r="Z47" s="2"/>
      <c r="AA47" s="2"/>
      <c r="AB47" s="2"/>
    </row>
    <row r="48" spans="1:28"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42" ht="17.25" customHeight="1" x14ac:dyDescent="0.25">
      <c r="A49" s="4"/>
      <c r="B49" s="105" t="s">
        <v>15</v>
      </c>
      <c r="C49" s="106"/>
      <c r="D49" s="105" t="s">
        <v>16</v>
      </c>
      <c r="E49" s="106"/>
      <c r="F49" s="105" t="s">
        <v>17</v>
      </c>
      <c r="G49" s="106"/>
      <c r="H49" s="105" t="s">
        <v>18</v>
      </c>
      <c r="I49" s="106"/>
      <c r="J49" s="105" t="s">
        <v>19</v>
      </c>
      <c r="K49" s="106"/>
      <c r="L49" s="105" t="s">
        <v>20</v>
      </c>
      <c r="M49" s="106"/>
      <c r="N49" s="105" t="s">
        <v>21</v>
      </c>
      <c r="O49" s="106"/>
      <c r="P49" s="105" t="s">
        <v>22</v>
      </c>
      <c r="Q49" s="106"/>
      <c r="R49" s="105" t="s">
        <v>23</v>
      </c>
      <c r="S49" s="106"/>
      <c r="T49" s="105" t="s">
        <v>24</v>
      </c>
      <c r="U49" s="106"/>
      <c r="V49" s="105" t="s">
        <v>25</v>
      </c>
      <c r="W49" s="106"/>
      <c r="X49" s="105" t="s">
        <v>26</v>
      </c>
      <c r="Y49" s="107"/>
      <c r="Z49" s="2"/>
      <c r="AA49" s="2"/>
      <c r="AB49" s="2"/>
      <c r="AJ49" t="s">
        <v>233</v>
      </c>
      <c r="AK49" t="s">
        <v>32</v>
      </c>
      <c r="AL49" t="s">
        <v>202</v>
      </c>
      <c r="AM49" t="s">
        <v>234</v>
      </c>
      <c r="AN49" t="s">
        <v>235</v>
      </c>
      <c r="AO49" t="s">
        <v>237</v>
      </c>
      <c r="AP49" t="s">
        <v>236</v>
      </c>
    </row>
    <row r="50" spans="1:42" ht="15.75" thickBot="1" x14ac:dyDescent="0.3">
      <c r="A50" s="4" t="s">
        <v>29</v>
      </c>
      <c r="B50" s="77" t="s">
        <v>67</v>
      </c>
      <c r="C50" s="77" t="s">
        <v>9</v>
      </c>
      <c r="D50" s="77" t="s">
        <v>67</v>
      </c>
      <c r="E50" s="77" t="s">
        <v>9</v>
      </c>
      <c r="F50" s="77" t="s">
        <v>67</v>
      </c>
      <c r="G50" s="77" t="s">
        <v>9</v>
      </c>
      <c r="H50" s="77" t="s">
        <v>67</v>
      </c>
      <c r="I50" s="77" t="s">
        <v>9</v>
      </c>
      <c r="J50" s="77" t="s">
        <v>67</v>
      </c>
      <c r="K50" s="77" t="s">
        <v>9</v>
      </c>
      <c r="L50" s="77" t="s">
        <v>67</v>
      </c>
      <c r="M50" s="77" t="s">
        <v>9</v>
      </c>
      <c r="N50" s="77" t="s">
        <v>67</v>
      </c>
      <c r="O50" s="77" t="s">
        <v>9</v>
      </c>
      <c r="P50" s="77" t="s">
        <v>67</v>
      </c>
      <c r="Q50" s="77" t="s">
        <v>9</v>
      </c>
      <c r="R50" s="77" t="s">
        <v>67</v>
      </c>
      <c r="S50" s="77" t="s">
        <v>9</v>
      </c>
      <c r="T50" s="77" t="s">
        <v>67</v>
      </c>
      <c r="U50" s="77" t="s">
        <v>9</v>
      </c>
      <c r="V50" s="77" t="s">
        <v>67</v>
      </c>
      <c r="W50" s="77" t="s">
        <v>9</v>
      </c>
      <c r="X50" s="77" t="s">
        <v>67</v>
      </c>
      <c r="Y50" s="77" t="s">
        <v>9</v>
      </c>
      <c r="Z50" s="2"/>
      <c r="AA50" s="2"/>
      <c r="AB50" s="2">
        <f>AB51*1500</f>
        <v>9879000</v>
      </c>
      <c r="AJ50">
        <v>1500</v>
      </c>
      <c r="AK50">
        <v>0</v>
      </c>
      <c r="AL50">
        <f>AJ50*AK50</f>
        <v>0</v>
      </c>
      <c r="AM50">
        <f>$AE$63</f>
        <v>8571484.8000000007</v>
      </c>
      <c r="AN50">
        <f>$AE$55</f>
        <v>122.26237473428485</v>
      </c>
      <c r="AO50">
        <f>AK50*AN50</f>
        <v>0</v>
      </c>
      <c r="AP50">
        <f>AO50+AM50</f>
        <v>8571484.8000000007</v>
      </c>
    </row>
    <row r="51" spans="1:42" ht="15.75" thickTop="1" x14ac:dyDescent="0.25">
      <c r="A51" s="13" t="str">
        <f t="shared" ref="A51:A56" si="0">A39</f>
        <v>Enterprise Almacenamiento (Producto)</v>
      </c>
      <c r="B51" s="9">
        <f>'PROYECCION DE VENTAS'!B51</f>
        <v>0</v>
      </c>
      <c r="C51" s="10">
        <f>'PROYECCION DE VENTAS'!C51</f>
        <v>0</v>
      </c>
      <c r="D51" s="9">
        <f>'PROYECCION DE VENTAS'!D51</f>
        <v>0</v>
      </c>
      <c r="E51" s="10">
        <f>'PROYECCION DE VENTAS'!E51</f>
        <v>0</v>
      </c>
      <c r="F51" s="9">
        <f>'PROYECCION DE VENTAS'!F51</f>
        <v>0</v>
      </c>
      <c r="G51" s="10">
        <f>'PROYECCION DE VENTAS'!G51</f>
        <v>0</v>
      </c>
      <c r="H51" s="9">
        <f>'PROYECCION DE VENTAS'!H51</f>
        <v>1</v>
      </c>
      <c r="I51" s="10">
        <f>'PROYECCION DE VENTAS'!I51</f>
        <v>60000</v>
      </c>
      <c r="J51" s="9">
        <f>'PROYECCION DE VENTAS'!J51</f>
        <v>0</v>
      </c>
      <c r="K51" s="10">
        <f>'PROYECCION DE VENTAS'!K51</f>
        <v>0</v>
      </c>
      <c r="L51" s="9">
        <f>'PROYECCION DE VENTAS'!L51</f>
        <v>0</v>
      </c>
      <c r="M51" s="10">
        <f>'PROYECCION DE VENTAS'!M51</f>
        <v>0</v>
      </c>
      <c r="N51" s="9">
        <f>'PROYECCION DE VENTAS'!N51</f>
        <v>0</v>
      </c>
      <c r="O51" s="10">
        <f>'PROYECCION DE VENTAS'!O51</f>
        <v>0</v>
      </c>
      <c r="P51" s="9">
        <f>'PROYECCION DE VENTAS'!P51</f>
        <v>1</v>
      </c>
      <c r="Q51" s="10">
        <f>'PROYECCION DE VENTAS'!Q51</f>
        <v>60000</v>
      </c>
      <c r="R51" s="9">
        <f>'PROYECCION DE VENTAS'!R51</f>
        <v>0</v>
      </c>
      <c r="S51" s="10">
        <f>'PROYECCION DE VENTAS'!S51</f>
        <v>0</v>
      </c>
      <c r="T51" s="9">
        <f>'PROYECCION DE VENTAS'!T51</f>
        <v>0</v>
      </c>
      <c r="U51" s="10">
        <f>'PROYECCION DE VENTAS'!U51</f>
        <v>0</v>
      </c>
      <c r="V51" s="9">
        <f>'PROYECCION DE VENTAS'!V51</f>
        <v>0</v>
      </c>
      <c r="W51" s="10">
        <f>'PROYECCION DE VENTAS'!W51</f>
        <v>0</v>
      </c>
      <c r="X51" s="9">
        <f>'PROYECCION DE VENTAS'!X51</f>
        <v>1</v>
      </c>
      <c r="Y51" s="10">
        <f>'PROYECCION DE VENTAS'!Y51</f>
        <v>60000</v>
      </c>
      <c r="Z51" s="85">
        <f>B51+D51+F51+H51+J51+L51+N51+P51+R51+T51+V51+X51</f>
        <v>3</v>
      </c>
      <c r="AA51" s="2">
        <f>Z51*40</f>
        <v>120</v>
      </c>
      <c r="AB51" s="2">
        <f>AA57+AA71+AA85</f>
        <v>6586</v>
      </c>
      <c r="AC51">
        <v>150000</v>
      </c>
      <c r="AD51">
        <f>AC51/AB51</f>
        <v>22.775584573337383</v>
      </c>
      <c r="AJ51">
        <v>1500</v>
      </c>
      <c r="AK51" s="2">
        <f>AA57</f>
        <v>834</v>
      </c>
      <c r="AL51">
        <f t="shared" ref="AL51:AL53" si="1">AJ51*AK51</f>
        <v>1251000</v>
      </c>
      <c r="AM51">
        <f>$AE$63</f>
        <v>8571484.8000000007</v>
      </c>
      <c r="AN51">
        <f t="shared" ref="AN51:AN54" si="2">$AE$55</f>
        <v>122.26237473428485</v>
      </c>
      <c r="AO51">
        <f>AK51*AN51</f>
        <v>101966.82052839357</v>
      </c>
      <c r="AP51">
        <f t="shared" ref="AP51:AP53" si="3">AO51+AM51</f>
        <v>8673451.6205283944</v>
      </c>
    </row>
    <row r="52" spans="1:42" ht="15.75" thickBot="1" x14ac:dyDescent="0.3">
      <c r="A52" s="14" t="str">
        <f t="shared" si="0"/>
        <v>Enterprise Almacenamiento (Licencia Mens.)</v>
      </c>
      <c r="B52" s="11">
        <f>'PROYECCION DE VENTAS'!B52</f>
        <v>0</v>
      </c>
      <c r="C52" s="12">
        <f>'PROYECCION DE VENTAS'!C52</f>
        <v>0</v>
      </c>
      <c r="D52" s="11">
        <f>'PROYECCION DE VENTAS'!D52</f>
        <v>0</v>
      </c>
      <c r="E52" s="12">
        <f>'PROYECCION DE VENTAS'!E52</f>
        <v>0</v>
      </c>
      <c r="F52" s="11">
        <f>'PROYECCION DE VENTAS'!F52</f>
        <v>0</v>
      </c>
      <c r="G52" s="12">
        <f>'PROYECCION DE VENTAS'!G52</f>
        <v>0</v>
      </c>
      <c r="H52" s="11">
        <f>'PROYECCION DE VENTAS'!H52</f>
        <v>3</v>
      </c>
      <c r="I52" s="12">
        <f>'PROYECCION DE VENTAS'!I52</f>
        <v>5400</v>
      </c>
      <c r="J52" s="11">
        <f>'PROYECCION DE VENTAS'!J52</f>
        <v>3</v>
      </c>
      <c r="K52" s="12">
        <f>'PROYECCION DE VENTAS'!K52</f>
        <v>5400</v>
      </c>
      <c r="L52" s="11">
        <f>'PROYECCION DE VENTAS'!L52</f>
        <v>3</v>
      </c>
      <c r="M52" s="12">
        <f>'PROYECCION DE VENTAS'!M52</f>
        <v>5400</v>
      </c>
      <c r="N52" s="11">
        <f>'PROYECCION DE VENTAS'!N52</f>
        <v>3</v>
      </c>
      <c r="O52" s="12">
        <f>'PROYECCION DE VENTAS'!O52</f>
        <v>5400</v>
      </c>
      <c r="P52" s="11">
        <f>'PROYECCION DE VENTAS'!P52</f>
        <v>6</v>
      </c>
      <c r="Q52" s="12">
        <f>'PROYECCION DE VENTAS'!Q52</f>
        <v>10800</v>
      </c>
      <c r="R52" s="11">
        <f>'PROYECCION DE VENTAS'!R52</f>
        <v>6</v>
      </c>
      <c r="S52" s="12">
        <f>'PROYECCION DE VENTAS'!S52</f>
        <v>10800</v>
      </c>
      <c r="T52" s="11">
        <f>'PROYECCION DE VENTAS'!T52</f>
        <v>6</v>
      </c>
      <c r="U52" s="12">
        <f>'PROYECCION DE VENTAS'!U52</f>
        <v>10800</v>
      </c>
      <c r="V52" s="11">
        <f>'PROYECCION DE VENTAS'!V52</f>
        <v>6</v>
      </c>
      <c r="W52" s="12">
        <f>'PROYECCION DE VENTAS'!W52</f>
        <v>10800</v>
      </c>
      <c r="X52" s="11">
        <f>'PROYECCION DE VENTAS'!X52</f>
        <v>9</v>
      </c>
      <c r="Y52" s="12">
        <f>'PROYECCION DE VENTAS'!Y52</f>
        <v>16200</v>
      </c>
      <c r="Z52" s="85">
        <f t="shared" ref="Z52:Z56" si="4">B52+D52+F52+H52+J52+L52+N52+P52+R52+T52+V52+X52</f>
        <v>45</v>
      </c>
      <c r="AA52" s="2">
        <f>Z52*1</f>
        <v>45</v>
      </c>
      <c r="AB52" s="2"/>
      <c r="AJ52">
        <v>1500</v>
      </c>
      <c r="AK52">
        <v>3000</v>
      </c>
      <c r="AL52">
        <f>AJ52*AK52</f>
        <v>4500000</v>
      </c>
      <c r="AM52">
        <f>$AE$63</f>
        <v>8571484.8000000007</v>
      </c>
      <c r="AN52">
        <f t="shared" si="2"/>
        <v>122.26237473428485</v>
      </c>
      <c r="AO52">
        <f>AK52*AN52</f>
        <v>366787.12420285452</v>
      </c>
      <c r="AP52">
        <f>AO52+AM52</f>
        <v>8938271.9242028557</v>
      </c>
    </row>
    <row r="53" spans="1:42" ht="15.75" thickTop="1" x14ac:dyDescent="0.25">
      <c r="A53" s="14" t="str">
        <f t="shared" si="0"/>
        <v>Enterprise Transporte (Producto)</v>
      </c>
      <c r="B53" s="9">
        <f>'PROYECCION DE VENTAS'!B53</f>
        <v>0</v>
      </c>
      <c r="C53" s="10">
        <f>'PROYECCION DE VENTAS'!C53</f>
        <v>0</v>
      </c>
      <c r="D53" s="9">
        <f>'PROYECCION DE VENTAS'!D53</f>
        <v>0</v>
      </c>
      <c r="E53" s="10">
        <f>'PROYECCION DE VENTAS'!E53</f>
        <v>0</v>
      </c>
      <c r="F53" s="9">
        <f>'PROYECCION DE VENTAS'!F53</f>
        <v>0</v>
      </c>
      <c r="G53" s="10">
        <f>'PROYECCION DE VENTAS'!G53</f>
        <v>0</v>
      </c>
      <c r="H53" s="9">
        <f>'PROYECCION DE VENTAS'!H53</f>
        <v>1</v>
      </c>
      <c r="I53" s="10">
        <f>'PROYECCION DE VENTAS'!I53</f>
        <v>35000</v>
      </c>
      <c r="J53" s="9">
        <f>'PROYECCION DE VENTAS'!J53</f>
        <v>0</v>
      </c>
      <c r="K53" s="10">
        <f>'PROYECCION DE VENTAS'!K53</f>
        <v>0</v>
      </c>
      <c r="L53" s="9">
        <f>'PROYECCION DE VENTAS'!L53</f>
        <v>0</v>
      </c>
      <c r="M53" s="10">
        <f>'PROYECCION DE VENTAS'!M53</f>
        <v>0</v>
      </c>
      <c r="N53" s="9">
        <f>'PROYECCION DE VENTAS'!N53</f>
        <v>0</v>
      </c>
      <c r="O53" s="10">
        <f>'PROYECCION DE VENTAS'!O53</f>
        <v>0</v>
      </c>
      <c r="P53" s="9">
        <f>'PROYECCION DE VENTAS'!P53</f>
        <v>1</v>
      </c>
      <c r="Q53" s="10">
        <f>'PROYECCION DE VENTAS'!Q53</f>
        <v>35000</v>
      </c>
      <c r="R53" s="9">
        <f>'PROYECCION DE VENTAS'!R53</f>
        <v>0</v>
      </c>
      <c r="S53" s="10">
        <f>'PROYECCION DE VENTAS'!S53</f>
        <v>0</v>
      </c>
      <c r="T53" s="9">
        <f>'PROYECCION DE VENTAS'!T53</f>
        <v>0</v>
      </c>
      <c r="U53" s="10">
        <f>'PROYECCION DE VENTAS'!U53</f>
        <v>0</v>
      </c>
      <c r="V53" s="9">
        <f>'PROYECCION DE VENTAS'!V53</f>
        <v>0</v>
      </c>
      <c r="W53" s="10">
        <f>'PROYECCION DE VENTAS'!W53</f>
        <v>0</v>
      </c>
      <c r="X53" s="9">
        <f>'PROYECCION DE VENTAS'!X53</f>
        <v>1</v>
      </c>
      <c r="Y53" s="10">
        <f>'PROYECCION DE VENTAS'!Y53</f>
        <v>35000</v>
      </c>
      <c r="Z53" s="85">
        <f t="shared" si="4"/>
        <v>3</v>
      </c>
      <c r="AA53" s="2">
        <f>Z53*24</f>
        <v>72</v>
      </c>
      <c r="AB53" s="2"/>
      <c r="AJ53">
        <v>1500</v>
      </c>
      <c r="AK53">
        <f>AB51</f>
        <v>6586</v>
      </c>
      <c r="AL53">
        <f t="shared" si="1"/>
        <v>9879000</v>
      </c>
      <c r="AM53">
        <f>$AE$63</f>
        <v>8571484.8000000007</v>
      </c>
      <c r="AN53">
        <f t="shared" si="2"/>
        <v>122.26237473428485</v>
      </c>
      <c r="AO53">
        <f>AK53*AN53</f>
        <v>805220</v>
      </c>
      <c r="AP53">
        <f t="shared" si="3"/>
        <v>9376704.8000000007</v>
      </c>
    </row>
    <row r="54" spans="1:42" ht="15.75" thickBot="1" x14ac:dyDescent="0.3">
      <c r="A54" s="14" t="str">
        <f t="shared" si="0"/>
        <v>Enterprise Transporte (Licencia Mens.)</v>
      </c>
      <c r="B54" s="11">
        <f>'PROYECCION DE VENTAS'!B54</f>
        <v>0</v>
      </c>
      <c r="C54" s="12">
        <f>'PROYECCION DE VENTAS'!C54</f>
        <v>0</v>
      </c>
      <c r="D54" s="11">
        <f>'PROYECCION DE VENTAS'!D54</f>
        <v>0</v>
      </c>
      <c r="E54" s="12">
        <f>'PROYECCION DE VENTAS'!E54</f>
        <v>0</v>
      </c>
      <c r="F54" s="11">
        <f>'PROYECCION DE VENTAS'!F54</f>
        <v>0</v>
      </c>
      <c r="G54" s="12">
        <f>'PROYECCION DE VENTAS'!G54</f>
        <v>0</v>
      </c>
      <c r="H54" s="11">
        <f>'PROYECCION DE VENTAS'!H54</f>
        <v>3</v>
      </c>
      <c r="I54" s="12">
        <f>'PROYECCION DE VENTAS'!I54</f>
        <v>5400</v>
      </c>
      <c r="J54" s="11">
        <f>'PROYECCION DE VENTAS'!J54</f>
        <v>3</v>
      </c>
      <c r="K54" s="12">
        <f>'PROYECCION DE VENTAS'!K54</f>
        <v>5400</v>
      </c>
      <c r="L54" s="11">
        <f>'PROYECCION DE VENTAS'!L54</f>
        <v>3</v>
      </c>
      <c r="M54" s="12">
        <f>'PROYECCION DE VENTAS'!M54</f>
        <v>5400</v>
      </c>
      <c r="N54" s="11">
        <f>'PROYECCION DE VENTAS'!N54</f>
        <v>3</v>
      </c>
      <c r="O54" s="12">
        <f>'PROYECCION DE VENTAS'!O54</f>
        <v>5400</v>
      </c>
      <c r="P54" s="11">
        <f>'PROYECCION DE VENTAS'!P54</f>
        <v>6</v>
      </c>
      <c r="Q54" s="12">
        <f>'PROYECCION DE VENTAS'!Q54</f>
        <v>10800</v>
      </c>
      <c r="R54" s="11">
        <f>'PROYECCION DE VENTAS'!R54</f>
        <v>6</v>
      </c>
      <c r="S54" s="12">
        <f>'PROYECCION DE VENTAS'!S54</f>
        <v>10800</v>
      </c>
      <c r="T54" s="11">
        <f>'PROYECCION DE VENTAS'!T54</f>
        <v>6</v>
      </c>
      <c r="U54" s="12">
        <f>'PROYECCION DE VENTAS'!U54</f>
        <v>10800</v>
      </c>
      <c r="V54" s="11">
        <f>'PROYECCION DE VENTAS'!V54</f>
        <v>6</v>
      </c>
      <c r="W54" s="12">
        <f>'PROYECCION DE VENTAS'!W54</f>
        <v>10800</v>
      </c>
      <c r="X54" s="11">
        <f>'PROYECCION DE VENTAS'!X54</f>
        <v>9</v>
      </c>
      <c r="Y54" s="12">
        <f>'PROYECCION DE VENTAS'!Y54</f>
        <v>16200</v>
      </c>
      <c r="Z54" s="85">
        <f t="shared" si="4"/>
        <v>45</v>
      </c>
      <c r="AA54" s="2">
        <f>Z54*1</f>
        <v>45</v>
      </c>
      <c r="AB54" s="2"/>
      <c r="AC54" s="86">
        <f>'COSTOS VARIABLES'!Y13+'COSTOS VARIABLES'!Y27+'COSTOS VARIABLES'!Y41</f>
        <v>655220</v>
      </c>
      <c r="AD54" s="87">
        <f>AC54/AB51</f>
        <v>99.486790160947464</v>
      </c>
      <c r="AJ54">
        <v>1500</v>
      </c>
      <c r="AK54" s="2">
        <f>AF64</f>
        <v>6211.220869565218</v>
      </c>
      <c r="AL54">
        <f>AJ54*AK54</f>
        <v>9316831.3043478262</v>
      </c>
      <c r="AM54">
        <f>$AE$63</f>
        <v>8571484.8000000007</v>
      </c>
      <c r="AN54">
        <f t="shared" si="2"/>
        <v>122.26237473428485</v>
      </c>
      <c r="AO54">
        <f>AK54*AN54</f>
        <v>759398.61351219332</v>
      </c>
      <c r="AP54">
        <f>AO54+AM54</f>
        <v>9330883.4135121945</v>
      </c>
    </row>
    <row r="55" spans="1:42" ht="15.75" thickTop="1" x14ac:dyDescent="0.25">
      <c r="A55" s="14" t="str">
        <f t="shared" si="0"/>
        <v>Enterprise Distribución (Producto)</v>
      </c>
      <c r="B55" s="9">
        <f>'PROYECCION DE VENTAS'!B55</f>
        <v>0</v>
      </c>
      <c r="C55" s="10">
        <f>'PROYECCION DE VENTAS'!C55</f>
        <v>0</v>
      </c>
      <c r="D55" s="9">
        <f>'PROYECCION DE VENTAS'!D55</f>
        <v>0</v>
      </c>
      <c r="E55" s="10">
        <f>'PROYECCION DE VENTAS'!E55</f>
        <v>0</v>
      </c>
      <c r="F55" s="9">
        <f>'PROYECCION DE VENTAS'!F55</f>
        <v>0</v>
      </c>
      <c r="G55" s="10">
        <f>'PROYECCION DE VENTAS'!G55</f>
        <v>0</v>
      </c>
      <c r="H55" s="9">
        <f>'PROYECCION DE VENTAS'!H55</f>
        <v>1</v>
      </c>
      <c r="I55" s="10">
        <f>'PROYECCION DE VENTAS'!I55</f>
        <v>50000</v>
      </c>
      <c r="J55" s="9">
        <f>'PROYECCION DE VENTAS'!J55</f>
        <v>0</v>
      </c>
      <c r="K55" s="10">
        <f>'PROYECCION DE VENTAS'!K55</f>
        <v>0</v>
      </c>
      <c r="L55" s="9">
        <f>'PROYECCION DE VENTAS'!L55</f>
        <v>0</v>
      </c>
      <c r="M55" s="10">
        <f>'PROYECCION DE VENTAS'!M55</f>
        <v>0</v>
      </c>
      <c r="N55" s="9">
        <f>'PROYECCION DE VENTAS'!N55</f>
        <v>0</v>
      </c>
      <c r="O55" s="10">
        <f>'PROYECCION DE VENTAS'!O55</f>
        <v>0</v>
      </c>
      <c r="P55" s="9">
        <f>'PROYECCION DE VENTAS'!P55</f>
        <v>1</v>
      </c>
      <c r="Q55" s="10">
        <f>'PROYECCION DE VENTAS'!Q55</f>
        <v>50000</v>
      </c>
      <c r="R55" s="9">
        <f>'PROYECCION DE VENTAS'!R55</f>
        <v>0</v>
      </c>
      <c r="S55" s="10">
        <f>'PROYECCION DE VENTAS'!S55</f>
        <v>0</v>
      </c>
      <c r="T55" s="9">
        <f>'PROYECCION DE VENTAS'!T55</f>
        <v>0</v>
      </c>
      <c r="U55" s="10">
        <f>'PROYECCION DE VENTAS'!U55</f>
        <v>0</v>
      </c>
      <c r="V55" s="9">
        <f>'PROYECCION DE VENTAS'!V55</f>
        <v>0</v>
      </c>
      <c r="W55" s="10">
        <f>'PROYECCION DE VENTAS'!W55</f>
        <v>0</v>
      </c>
      <c r="X55" s="9">
        <f>'PROYECCION DE VENTAS'!X55</f>
        <v>1</v>
      </c>
      <c r="Y55" s="10">
        <f>'PROYECCION DE VENTAS'!Y55</f>
        <v>50000</v>
      </c>
      <c r="Z55" s="85">
        <f t="shared" si="4"/>
        <v>3</v>
      </c>
      <c r="AA55" s="2">
        <f>Z55*34</f>
        <v>102</v>
      </c>
      <c r="AB55" s="2"/>
      <c r="AD55">
        <f>SUM(AD51:AD54)</f>
        <v>122.26237473428485</v>
      </c>
      <c r="AE55" s="87">
        <f>AD54+AD51</f>
        <v>122.26237473428485</v>
      </c>
    </row>
    <row r="56" spans="1:42" x14ac:dyDescent="0.25">
      <c r="A56" s="14" t="str">
        <f t="shared" si="0"/>
        <v>Enterprise Distribución (Licencia Mens.)</v>
      </c>
      <c r="B56" s="11">
        <f>'PROYECCION DE VENTAS'!B56</f>
        <v>0</v>
      </c>
      <c r="C56" s="12">
        <f>'PROYECCION DE VENTAS'!C56</f>
        <v>0</v>
      </c>
      <c r="D56" s="11">
        <f>'PROYECCION DE VENTAS'!D56</f>
        <v>0</v>
      </c>
      <c r="E56" s="12">
        <f>'PROYECCION DE VENTAS'!E56</f>
        <v>0</v>
      </c>
      <c r="F56" s="11">
        <f>'PROYECCION DE VENTAS'!F56</f>
        <v>0</v>
      </c>
      <c r="G56" s="12">
        <f>'PROYECCION DE VENTAS'!G56</f>
        <v>0</v>
      </c>
      <c r="H56" s="11">
        <f>'PROYECCION DE VENTAS'!H56</f>
        <v>30</v>
      </c>
      <c r="I56" s="12">
        <f>'PROYECCION DE VENTAS'!I56</f>
        <v>54000</v>
      </c>
      <c r="J56" s="11">
        <f>'PROYECCION DE VENTAS'!J56</f>
        <v>30</v>
      </c>
      <c r="K56" s="12">
        <f>'PROYECCION DE VENTAS'!K56</f>
        <v>54000</v>
      </c>
      <c r="L56" s="11">
        <f>'PROYECCION DE VENTAS'!L56</f>
        <v>30</v>
      </c>
      <c r="M56" s="12">
        <f>'PROYECCION DE VENTAS'!M56</f>
        <v>54000</v>
      </c>
      <c r="N56" s="11">
        <f>'PROYECCION DE VENTAS'!N56</f>
        <v>30</v>
      </c>
      <c r="O56" s="12">
        <f>'PROYECCION DE VENTAS'!O56</f>
        <v>54000</v>
      </c>
      <c r="P56" s="11">
        <f>'PROYECCION DE VENTAS'!P56</f>
        <v>60</v>
      </c>
      <c r="Q56" s="12">
        <f>'PROYECCION DE VENTAS'!Q56</f>
        <v>108000</v>
      </c>
      <c r="R56" s="11">
        <f>'PROYECCION DE VENTAS'!R56</f>
        <v>60</v>
      </c>
      <c r="S56" s="12">
        <f>'PROYECCION DE VENTAS'!S56</f>
        <v>108000</v>
      </c>
      <c r="T56" s="11">
        <f>'PROYECCION DE VENTAS'!T56</f>
        <v>60</v>
      </c>
      <c r="U56" s="12">
        <f>'PROYECCION DE VENTAS'!U56</f>
        <v>108000</v>
      </c>
      <c r="V56" s="11">
        <f>'PROYECCION DE VENTAS'!V56</f>
        <v>60</v>
      </c>
      <c r="W56" s="12">
        <f>'PROYECCION DE VENTAS'!W56</f>
        <v>108000</v>
      </c>
      <c r="X56" s="11">
        <f>'PROYECCION DE VENTAS'!X56</f>
        <v>90</v>
      </c>
      <c r="Y56" s="12">
        <f>'PROYECCION DE VENTAS'!Y56</f>
        <v>162000</v>
      </c>
      <c r="Z56" s="85">
        <f t="shared" si="4"/>
        <v>450</v>
      </c>
      <c r="AA56" s="2">
        <f>Z56*1</f>
        <v>450</v>
      </c>
      <c r="AB56" s="2"/>
    </row>
    <row r="57" spans="1:42" x14ac:dyDescent="0.25">
      <c r="A57" s="6" t="s">
        <v>27</v>
      </c>
      <c r="B57" s="7">
        <f t="shared" ref="B57:Y57" si="5">SUM(B51:B56)</f>
        <v>0</v>
      </c>
      <c r="C57" s="8">
        <f t="shared" si="5"/>
        <v>0</v>
      </c>
      <c r="D57" s="7">
        <f t="shared" si="5"/>
        <v>0</v>
      </c>
      <c r="E57" s="8">
        <f t="shared" si="5"/>
        <v>0</v>
      </c>
      <c r="F57" s="7">
        <f t="shared" si="5"/>
        <v>0</v>
      </c>
      <c r="G57" s="8">
        <f t="shared" si="5"/>
        <v>0</v>
      </c>
      <c r="H57" s="7">
        <f t="shared" si="5"/>
        <v>39</v>
      </c>
      <c r="I57" s="8">
        <f t="shared" si="5"/>
        <v>209800</v>
      </c>
      <c r="J57" s="7">
        <f t="shared" si="5"/>
        <v>36</v>
      </c>
      <c r="K57" s="8">
        <f t="shared" si="5"/>
        <v>64800</v>
      </c>
      <c r="L57" s="7">
        <f t="shared" si="5"/>
        <v>36</v>
      </c>
      <c r="M57" s="8">
        <f t="shared" si="5"/>
        <v>64800</v>
      </c>
      <c r="N57" s="7">
        <f t="shared" si="5"/>
        <v>36</v>
      </c>
      <c r="O57" s="8">
        <f t="shared" si="5"/>
        <v>64800</v>
      </c>
      <c r="P57" s="7">
        <f t="shared" si="5"/>
        <v>75</v>
      </c>
      <c r="Q57" s="8">
        <f t="shared" si="5"/>
        <v>274600</v>
      </c>
      <c r="R57" s="7">
        <f t="shared" si="5"/>
        <v>72</v>
      </c>
      <c r="S57" s="8">
        <f t="shared" si="5"/>
        <v>129600</v>
      </c>
      <c r="T57" s="7">
        <f t="shared" si="5"/>
        <v>72</v>
      </c>
      <c r="U57" s="8">
        <f t="shared" si="5"/>
        <v>129600</v>
      </c>
      <c r="V57" s="7">
        <f t="shared" si="5"/>
        <v>72</v>
      </c>
      <c r="W57" s="8">
        <f t="shared" si="5"/>
        <v>129600</v>
      </c>
      <c r="X57" s="7">
        <f t="shared" si="5"/>
        <v>111</v>
      </c>
      <c r="Y57" s="8">
        <f t="shared" si="5"/>
        <v>339400</v>
      </c>
      <c r="Z57" s="2"/>
      <c r="AA57" s="2">
        <f>SUM(AA51:AA56)</f>
        <v>834</v>
      </c>
      <c r="AB57" s="2"/>
    </row>
    <row r="58" spans="1:42" hidden="1" x14ac:dyDescent="0.25">
      <c r="A58" s="6" t="s">
        <v>28</v>
      </c>
      <c r="B58" s="7">
        <f>SUM(B57)</f>
        <v>0</v>
      </c>
      <c r="C58" s="8">
        <f>SUM(C57)</f>
        <v>0</v>
      </c>
      <c r="D58" s="7">
        <f t="shared" ref="D58:Y58" si="6">SUM(B58,D57)</f>
        <v>0</v>
      </c>
      <c r="E58" s="8">
        <f t="shared" si="6"/>
        <v>0</v>
      </c>
      <c r="F58" s="7">
        <f t="shared" si="6"/>
        <v>0</v>
      </c>
      <c r="G58" s="8">
        <f t="shared" si="6"/>
        <v>0</v>
      </c>
      <c r="H58" s="7">
        <f t="shared" si="6"/>
        <v>39</v>
      </c>
      <c r="I58" s="8">
        <f t="shared" si="6"/>
        <v>209800</v>
      </c>
      <c r="J58" s="7">
        <f t="shared" si="6"/>
        <v>75</v>
      </c>
      <c r="K58" s="8">
        <f t="shared" si="6"/>
        <v>274600</v>
      </c>
      <c r="L58" s="7">
        <f t="shared" si="6"/>
        <v>111</v>
      </c>
      <c r="M58" s="8">
        <f t="shared" si="6"/>
        <v>339400</v>
      </c>
      <c r="N58" s="7">
        <f t="shared" si="6"/>
        <v>147</v>
      </c>
      <c r="O58" s="8">
        <f t="shared" si="6"/>
        <v>404200</v>
      </c>
      <c r="P58" s="7">
        <f t="shared" si="6"/>
        <v>222</v>
      </c>
      <c r="Q58" s="8">
        <f t="shared" si="6"/>
        <v>678800</v>
      </c>
      <c r="R58" s="7">
        <f t="shared" si="6"/>
        <v>294</v>
      </c>
      <c r="S58" s="8">
        <f t="shared" si="6"/>
        <v>808400</v>
      </c>
      <c r="T58" s="7">
        <f t="shared" si="6"/>
        <v>366</v>
      </c>
      <c r="U58" s="8">
        <f t="shared" si="6"/>
        <v>938000</v>
      </c>
      <c r="V58" s="7">
        <f t="shared" si="6"/>
        <v>438</v>
      </c>
      <c r="W58" s="8">
        <f t="shared" si="6"/>
        <v>1067600</v>
      </c>
      <c r="X58" s="7">
        <f t="shared" si="6"/>
        <v>549</v>
      </c>
      <c r="Y58" s="8">
        <f t="shared" si="6"/>
        <v>1407000</v>
      </c>
      <c r="Z58" s="2"/>
      <c r="AA58" s="2"/>
      <c r="AB58" s="2"/>
    </row>
    <row r="59" spans="1:42"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42"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42" ht="21" x14ac:dyDescent="0.35">
      <c r="A61" s="100" t="s">
        <v>30</v>
      </c>
      <c r="B61" s="100"/>
      <c r="C61" s="100"/>
      <c r="D61" s="100"/>
      <c r="E61" s="100"/>
      <c r="F61" s="2"/>
      <c r="G61" s="2"/>
      <c r="H61" s="2"/>
      <c r="I61" s="2"/>
      <c r="J61" s="2"/>
      <c r="K61" s="2"/>
      <c r="L61" s="2"/>
      <c r="M61" s="2"/>
      <c r="N61" s="2"/>
      <c r="O61" s="2"/>
      <c r="P61" s="2"/>
      <c r="Q61" s="2"/>
      <c r="R61" s="2"/>
      <c r="S61" s="2"/>
      <c r="T61" s="2"/>
      <c r="U61" s="2"/>
      <c r="V61" s="2"/>
      <c r="W61" s="2"/>
      <c r="X61" s="2"/>
      <c r="Y61" s="2"/>
      <c r="Z61" s="2"/>
      <c r="AA61" s="2"/>
      <c r="AB61" s="2"/>
      <c r="AC61" t="s">
        <v>231</v>
      </c>
      <c r="AE61">
        <f xml:space="preserve"> 1-(AE55/1500)</f>
        <v>0.91849175017714346</v>
      </c>
    </row>
    <row r="62" spans="1:42"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42" ht="17.25" customHeight="1" x14ac:dyDescent="0.25">
      <c r="A63" s="4"/>
      <c r="B63" s="105" t="s">
        <v>15</v>
      </c>
      <c r="C63" s="106"/>
      <c r="D63" s="105" t="s">
        <v>16</v>
      </c>
      <c r="E63" s="106"/>
      <c r="F63" s="105" t="s">
        <v>17</v>
      </c>
      <c r="G63" s="106"/>
      <c r="H63" s="105" t="s">
        <v>18</v>
      </c>
      <c r="I63" s="106"/>
      <c r="J63" s="105" t="s">
        <v>19</v>
      </c>
      <c r="K63" s="106"/>
      <c r="L63" s="105" t="s">
        <v>20</v>
      </c>
      <c r="M63" s="106"/>
      <c r="N63" s="105" t="s">
        <v>21</v>
      </c>
      <c r="O63" s="106"/>
      <c r="P63" s="105" t="s">
        <v>22</v>
      </c>
      <c r="Q63" s="106"/>
      <c r="R63" s="105" t="s">
        <v>23</v>
      </c>
      <c r="S63" s="106"/>
      <c r="T63" s="105" t="s">
        <v>24</v>
      </c>
      <c r="U63" s="106"/>
      <c r="V63" s="105" t="s">
        <v>25</v>
      </c>
      <c r="W63" s="106"/>
      <c r="X63" s="105" t="s">
        <v>26</v>
      </c>
      <c r="Y63" s="107"/>
      <c r="Z63" s="2"/>
      <c r="AA63" s="2"/>
      <c r="AB63" s="2"/>
      <c r="AC63" t="s">
        <v>232</v>
      </c>
      <c r="AE63">
        <f>SUM(Sheet3!C9:E9)* -1</f>
        <v>8571484.8000000007</v>
      </c>
      <c r="AF63">
        <f xml:space="preserve"> AE63/AE61</f>
        <v>9332130.4174445495</v>
      </c>
    </row>
    <row r="64" spans="1:42" ht="15.75" thickBot="1" x14ac:dyDescent="0.3">
      <c r="A64" s="4" t="s">
        <v>29</v>
      </c>
      <c r="B64" s="77" t="s">
        <v>67</v>
      </c>
      <c r="C64" s="77" t="s">
        <v>9</v>
      </c>
      <c r="D64" s="77" t="s">
        <v>67</v>
      </c>
      <c r="E64" s="77" t="s">
        <v>9</v>
      </c>
      <c r="F64" s="77" t="s">
        <v>67</v>
      </c>
      <c r="G64" s="77" t="s">
        <v>9</v>
      </c>
      <c r="H64" s="77" t="s">
        <v>67</v>
      </c>
      <c r="I64" s="77" t="s">
        <v>9</v>
      </c>
      <c r="J64" s="77" t="s">
        <v>67</v>
      </c>
      <c r="K64" s="77" t="s">
        <v>9</v>
      </c>
      <c r="L64" s="77" t="s">
        <v>67</v>
      </c>
      <c r="M64" s="77" t="s">
        <v>9</v>
      </c>
      <c r="N64" s="77" t="s">
        <v>67</v>
      </c>
      <c r="O64" s="77" t="s">
        <v>9</v>
      </c>
      <c r="P64" s="77" t="s">
        <v>67</v>
      </c>
      <c r="Q64" s="77" t="s">
        <v>9</v>
      </c>
      <c r="R64" s="77" t="s">
        <v>67</v>
      </c>
      <c r="S64" s="77" t="s">
        <v>9</v>
      </c>
      <c r="T64" s="77" t="s">
        <v>67</v>
      </c>
      <c r="U64" s="77" t="s">
        <v>9</v>
      </c>
      <c r="V64" s="77" t="s">
        <v>67</v>
      </c>
      <c r="W64" s="77" t="s">
        <v>9</v>
      </c>
      <c r="X64" s="77" t="s">
        <v>67</v>
      </c>
      <c r="Y64" s="77" t="s">
        <v>9</v>
      </c>
      <c r="Z64" s="2"/>
      <c r="AA64" s="2"/>
      <c r="AB64" s="2"/>
      <c r="AF64">
        <f>AE63/(1500-120)</f>
        <v>6211.220869565218</v>
      </c>
    </row>
    <row r="65" spans="1:28" ht="15.75" thickTop="1" x14ac:dyDescent="0.25">
      <c r="A65" s="13" t="str">
        <f t="shared" ref="A65:A70" si="7">A39</f>
        <v>Enterprise Almacenamiento (Producto)</v>
      </c>
      <c r="B65" s="9">
        <f>'PROYECCION DE VENTAS'!B65</f>
        <v>1</v>
      </c>
      <c r="C65" s="10">
        <f>'PROYECCION DE VENTAS'!C65</f>
        <v>60000</v>
      </c>
      <c r="D65" s="9">
        <f>'PROYECCION DE VENTAS'!D65</f>
        <v>0</v>
      </c>
      <c r="E65" s="10">
        <f>'PROYECCION DE VENTAS'!E65</f>
        <v>0</v>
      </c>
      <c r="F65" s="9">
        <f>'PROYECCION DE VENTAS'!F65</f>
        <v>0</v>
      </c>
      <c r="G65" s="10">
        <f>'PROYECCION DE VENTAS'!G65</f>
        <v>0</v>
      </c>
      <c r="H65" s="9">
        <f>'PROYECCION DE VENTAS'!H65</f>
        <v>1</v>
      </c>
      <c r="I65" s="10">
        <f>'PROYECCION DE VENTAS'!I65</f>
        <v>60000</v>
      </c>
      <c r="J65" s="9">
        <f>'PROYECCION DE VENTAS'!J65</f>
        <v>0</v>
      </c>
      <c r="K65" s="10">
        <f>'PROYECCION DE VENTAS'!K65</f>
        <v>0</v>
      </c>
      <c r="L65" s="9">
        <f>'PROYECCION DE VENTAS'!L65</f>
        <v>0</v>
      </c>
      <c r="M65" s="10">
        <f>'PROYECCION DE VENTAS'!M65</f>
        <v>0</v>
      </c>
      <c r="N65" s="9">
        <f>'PROYECCION DE VENTAS'!N65</f>
        <v>0</v>
      </c>
      <c r="O65" s="10">
        <f>'PROYECCION DE VENTAS'!O65</f>
        <v>0</v>
      </c>
      <c r="P65" s="9">
        <f>'PROYECCION DE VENTAS'!P65</f>
        <v>1</v>
      </c>
      <c r="Q65" s="10">
        <f>'PROYECCION DE VENTAS'!Q65</f>
        <v>60000</v>
      </c>
      <c r="R65" s="9">
        <f>'PROYECCION DE VENTAS'!R65</f>
        <v>0</v>
      </c>
      <c r="S65" s="10">
        <f>'PROYECCION DE VENTAS'!S65</f>
        <v>0</v>
      </c>
      <c r="T65" s="9">
        <f>'PROYECCION DE VENTAS'!T65</f>
        <v>0</v>
      </c>
      <c r="U65" s="10">
        <f>'PROYECCION DE VENTAS'!U65</f>
        <v>0</v>
      </c>
      <c r="V65" s="9">
        <f>'PROYECCION DE VENTAS'!V65</f>
        <v>0</v>
      </c>
      <c r="W65" s="10">
        <f>'PROYECCION DE VENTAS'!W65</f>
        <v>0</v>
      </c>
      <c r="X65" s="9">
        <f>'PROYECCION DE VENTAS'!X65</f>
        <v>1</v>
      </c>
      <c r="Y65" s="10">
        <f>'PROYECCION DE VENTAS'!Y65</f>
        <v>60000</v>
      </c>
      <c r="Z65" s="85">
        <f>B65+D65+F65+H65+J65+L65+N65+P65+R65+T65+V65+X65</f>
        <v>4</v>
      </c>
      <c r="AA65" s="2">
        <f>Z65*40</f>
        <v>160</v>
      </c>
      <c r="AB65" s="2"/>
    </row>
    <row r="66" spans="1:28" ht="15.75" thickBot="1" x14ac:dyDescent="0.3">
      <c r="A66" s="14" t="str">
        <f t="shared" si="7"/>
        <v>Enterprise Almacenamiento (Licencia Mens.)</v>
      </c>
      <c r="B66" s="11">
        <f>'PROYECCION DE VENTAS'!B66</f>
        <v>9</v>
      </c>
      <c r="C66" s="12">
        <f>'PROYECCION DE VENTAS'!C66</f>
        <v>16200</v>
      </c>
      <c r="D66" s="11">
        <f>'PROYECCION DE VENTAS'!D66</f>
        <v>9</v>
      </c>
      <c r="E66" s="12">
        <f>'PROYECCION DE VENTAS'!E66</f>
        <v>16200</v>
      </c>
      <c r="F66" s="11">
        <f>'PROYECCION DE VENTAS'!F66</f>
        <v>9</v>
      </c>
      <c r="G66" s="12">
        <f>'PROYECCION DE VENTAS'!G66</f>
        <v>16200</v>
      </c>
      <c r="H66" s="11">
        <f>'PROYECCION DE VENTAS'!H66</f>
        <v>12</v>
      </c>
      <c r="I66" s="12">
        <f>'PROYECCION DE VENTAS'!I66</f>
        <v>21600</v>
      </c>
      <c r="J66" s="11">
        <f>'PROYECCION DE VENTAS'!J66</f>
        <v>12</v>
      </c>
      <c r="K66" s="12">
        <f>'PROYECCION DE VENTAS'!K66</f>
        <v>21600</v>
      </c>
      <c r="L66" s="11">
        <f>'PROYECCION DE VENTAS'!L66</f>
        <v>12</v>
      </c>
      <c r="M66" s="12">
        <f>'PROYECCION DE VENTAS'!M66</f>
        <v>21600</v>
      </c>
      <c r="N66" s="11">
        <f>'PROYECCION DE VENTAS'!N66</f>
        <v>12</v>
      </c>
      <c r="O66" s="12">
        <f>'PROYECCION DE VENTAS'!O66</f>
        <v>21600</v>
      </c>
      <c r="P66" s="11">
        <f>'PROYECCION DE VENTAS'!P66</f>
        <v>15</v>
      </c>
      <c r="Q66" s="12">
        <f>'PROYECCION DE VENTAS'!Q66</f>
        <v>27000</v>
      </c>
      <c r="R66" s="11">
        <f>'PROYECCION DE VENTAS'!R66</f>
        <v>15</v>
      </c>
      <c r="S66" s="12">
        <f>'PROYECCION DE VENTAS'!S66</f>
        <v>27000</v>
      </c>
      <c r="T66" s="11">
        <f>'PROYECCION DE VENTAS'!T66</f>
        <v>15</v>
      </c>
      <c r="U66" s="12">
        <f>'PROYECCION DE VENTAS'!U66</f>
        <v>27000</v>
      </c>
      <c r="V66" s="11">
        <f>'PROYECCION DE VENTAS'!V66</f>
        <v>15</v>
      </c>
      <c r="W66" s="12">
        <f>'PROYECCION DE VENTAS'!W66</f>
        <v>27000</v>
      </c>
      <c r="X66" s="11">
        <f>'PROYECCION DE VENTAS'!X66</f>
        <v>18</v>
      </c>
      <c r="Y66" s="12">
        <f>'PROYECCION DE VENTAS'!Y66</f>
        <v>32400</v>
      </c>
      <c r="Z66" s="85">
        <f t="shared" ref="Z66:Z70" si="8">B66+D66+F66+H66+J66+L66+N66+P66+R66+T66+V66+X66</f>
        <v>153</v>
      </c>
      <c r="AA66" s="2">
        <f>Z66*1</f>
        <v>153</v>
      </c>
      <c r="AB66" s="2"/>
    </row>
    <row r="67" spans="1:28" ht="15.75" thickTop="1" x14ac:dyDescent="0.25">
      <c r="A67" s="14" t="str">
        <f t="shared" si="7"/>
        <v>Enterprise Transporte (Producto)</v>
      </c>
      <c r="B67" s="9">
        <f>'PROYECCION DE VENTAS'!B67</f>
        <v>1</v>
      </c>
      <c r="C67" s="10">
        <f>'PROYECCION DE VENTAS'!C67</f>
        <v>35000</v>
      </c>
      <c r="D67" s="9">
        <f>'PROYECCION DE VENTAS'!D67</f>
        <v>0</v>
      </c>
      <c r="E67" s="10">
        <f>'PROYECCION DE VENTAS'!E67</f>
        <v>0</v>
      </c>
      <c r="F67" s="9">
        <f>'PROYECCION DE VENTAS'!F67</f>
        <v>0</v>
      </c>
      <c r="G67" s="10">
        <f>'PROYECCION DE VENTAS'!G67</f>
        <v>0</v>
      </c>
      <c r="H67" s="9">
        <f>'PROYECCION DE VENTAS'!H67</f>
        <v>1</v>
      </c>
      <c r="I67" s="10">
        <f>'PROYECCION DE VENTAS'!I67</f>
        <v>35000</v>
      </c>
      <c r="J67" s="9">
        <f>'PROYECCION DE VENTAS'!J67</f>
        <v>0</v>
      </c>
      <c r="K67" s="10">
        <f>'PROYECCION DE VENTAS'!K67</f>
        <v>0</v>
      </c>
      <c r="L67" s="9">
        <f>'PROYECCION DE VENTAS'!L67</f>
        <v>0</v>
      </c>
      <c r="M67" s="10">
        <f>'PROYECCION DE VENTAS'!M67</f>
        <v>0</v>
      </c>
      <c r="N67" s="9">
        <f>'PROYECCION DE VENTAS'!N67</f>
        <v>0</v>
      </c>
      <c r="O67" s="10">
        <f>'PROYECCION DE VENTAS'!O67</f>
        <v>0</v>
      </c>
      <c r="P67" s="9">
        <f>'PROYECCION DE VENTAS'!P67</f>
        <v>1</v>
      </c>
      <c r="Q67" s="10">
        <f>'PROYECCION DE VENTAS'!Q67</f>
        <v>35000</v>
      </c>
      <c r="R67" s="9">
        <f>'PROYECCION DE VENTAS'!R67</f>
        <v>0</v>
      </c>
      <c r="S67" s="10">
        <f>'PROYECCION DE VENTAS'!S67</f>
        <v>0</v>
      </c>
      <c r="T67" s="9">
        <f>'PROYECCION DE VENTAS'!T67</f>
        <v>0</v>
      </c>
      <c r="U67" s="10">
        <f>'PROYECCION DE VENTAS'!U67</f>
        <v>0</v>
      </c>
      <c r="V67" s="9">
        <f>'PROYECCION DE VENTAS'!V67</f>
        <v>0</v>
      </c>
      <c r="W67" s="10">
        <f>'PROYECCION DE VENTAS'!W67</f>
        <v>0</v>
      </c>
      <c r="X67" s="9">
        <f>'PROYECCION DE VENTAS'!X67</f>
        <v>1</v>
      </c>
      <c r="Y67" s="10">
        <f>'PROYECCION DE VENTAS'!Y67</f>
        <v>35000</v>
      </c>
      <c r="Z67" s="85">
        <f t="shared" si="8"/>
        <v>4</v>
      </c>
      <c r="AA67" s="2">
        <f>Z67*24</f>
        <v>96</v>
      </c>
      <c r="AB67" s="2"/>
    </row>
    <row r="68" spans="1:28" ht="15.75" thickBot="1" x14ac:dyDescent="0.3">
      <c r="A68" s="14" t="str">
        <f t="shared" si="7"/>
        <v>Enterprise Transporte (Licencia Mens.)</v>
      </c>
      <c r="B68" s="11">
        <f>'PROYECCION DE VENTAS'!B68</f>
        <v>9</v>
      </c>
      <c r="C68" s="12">
        <f>'PROYECCION DE VENTAS'!C68</f>
        <v>16200</v>
      </c>
      <c r="D68" s="11">
        <f>'PROYECCION DE VENTAS'!D68</f>
        <v>9</v>
      </c>
      <c r="E68" s="12">
        <f>'PROYECCION DE VENTAS'!E68</f>
        <v>16200</v>
      </c>
      <c r="F68" s="11">
        <f>'PROYECCION DE VENTAS'!F68</f>
        <v>9</v>
      </c>
      <c r="G68" s="12">
        <f>'PROYECCION DE VENTAS'!G68</f>
        <v>16200</v>
      </c>
      <c r="H68" s="11">
        <f>'PROYECCION DE VENTAS'!H68</f>
        <v>12</v>
      </c>
      <c r="I68" s="12">
        <f>'PROYECCION DE VENTAS'!I68</f>
        <v>21600</v>
      </c>
      <c r="J68" s="11">
        <f>'PROYECCION DE VENTAS'!J68</f>
        <v>12</v>
      </c>
      <c r="K68" s="12">
        <f>'PROYECCION DE VENTAS'!K68</f>
        <v>21600</v>
      </c>
      <c r="L68" s="11">
        <f>'PROYECCION DE VENTAS'!L68</f>
        <v>12</v>
      </c>
      <c r="M68" s="12">
        <f>'PROYECCION DE VENTAS'!M68</f>
        <v>21600</v>
      </c>
      <c r="N68" s="11">
        <f>'PROYECCION DE VENTAS'!N68</f>
        <v>12</v>
      </c>
      <c r="O68" s="12">
        <f>'PROYECCION DE VENTAS'!O68</f>
        <v>21600</v>
      </c>
      <c r="P68" s="11">
        <f>'PROYECCION DE VENTAS'!P68</f>
        <v>15</v>
      </c>
      <c r="Q68" s="12">
        <f>'PROYECCION DE VENTAS'!Q68</f>
        <v>27000</v>
      </c>
      <c r="R68" s="11">
        <f>'PROYECCION DE VENTAS'!R68</f>
        <v>15</v>
      </c>
      <c r="S68" s="12">
        <f>'PROYECCION DE VENTAS'!S68</f>
        <v>27000</v>
      </c>
      <c r="T68" s="11">
        <f>'PROYECCION DE VENTAS'!T68</f>
        <v>15</v>
      </c>
      <c r="U68" s="12">
        <f>'PROYECCION DE VENTAS'!U68</f>
        <v>27000</v>
      </c>
      <c r="V68" s="11">
        <f>'PROYECCION DE VENTAS'!V68</f>
        <v>15</v>
      </c>
      <c r="W68" s="12">
        <f>'PROYECCION DE VENTAS'!W68</f>
        <v>27000</v>
      </c>
      <c r="X68" s="11">
        <f>'PROYECCION DE VENTAS'!X68</f>
        <v>18</v>
      </c>
      <c r="Y68" s="12">
        <f>'PROYECCION DE VENTAS'!Y68</f>
        <v>32400</v>
      </c>
      <c r="Z68" s="85">
        <f t="shared" si="8"/>
        <v>153</v>
      </c>
      <c r="AA68" s="2">
        <f>Z68*1</f>
        <v>153</v>
      </c>
      <c r="AB68" s="2"/>
    </row>
    <row r="69" spans="1:28" ht="15.75" thickTop="1" x14ac:dyDescent="0.25">
      <c r="A69" s="14" t="str">
        <f t="shared" si="7"/>
        <v>Enterprise Distribución (Producto)</v>
      </c>
      <c r="B69" s="9">
        <f>'PROYECCION DE VENTAS'!B69</f>
        <v>1</v>
      </c>
      <c r="C69" s="10">
        <f>'PROYECCION DE VENTAS'!C69</f>
        <v>50000</v>
      </c>
      <c r="D69" s="9">
        <f>'PROYECCION DE VENTAS'!D69</f>
        <v>0</v>
      </c>
      <c r="E69" s="10">
        <f>'PROYECCION DE VENTAS'!E69</f>
        <v>0</v>
      </c>
      <c r="F69" s="9">
        <f>'PROYECCION DE VENTAS'!F69</f>
        <v>0</v>
      </c>
      <c r="G69" s="10">
        <f>'PROYECCION DE VENTAS'!G69</f>
        <v>0</v>
      </c>
      <c r="H69" s="9">
        <f>'PROYECCION DE VENTAS'!H69</f>
        <v>1</v>
      </c>
      <c r="I69" s="10">
        <f>'PROYECCION DE VENTAS'!I69</f>
        <v>50000</v>
      </c>
      <c r="J69" s="9">
        <f>'PROYECCION DE VENTAS'!J69</f>
        <v>0</v>
      </c>
      <c r="K69" s="10">
        <f>'PROYECCION DE VENTAS'!K69</f>
        <v>0</v>
      </c>
      <c r="L69" s="9">
        <f>'PROYECCION DE VENTAS'!L69</f>
        <v>0</v>
      </c>
      <c r="M69" s="10">
        <f>'PROYECCION DE VENTAS'!M69</f>
        <v>0</v>
      </c>
      <c r="N69" s="9">
        <f>'PROYECCION DE VENTAS'!N69</f>
        <v>0</v>
      </c>
      <c r="O69" s="10">
        <f>'PROYECCION DE VENTAS'!O69</f>
        <v>0</v>
      </c>
      <c r="P69" s="9">
        <f>'PROYECCION DE VENTAS'!P69</f>
        <v>1</v>
      </c>
      <c r="Q69" s="10">
        <f>'PROYECCION DE VENTAS'!Q69</f>
        <v>50000</v>
      </c>
      <c r="R69" s="9">
        <f>'PROYECCION DE VENTAS'!R69</f>
        <v>0</v>
      </c>
      <c r="S69" s="10">
        <f>'PROYECCION DE VENTAS'!S69</f>
        <v>0</v>
      </c>
      <c r="T69" s="9">
        <f>'PROYECCION DE VENTAS'!T69</f>
        <v>0</v>
      </c>
      <c r="U69" s="10">
        <f>'PROYECCION DE VENTAS'!U69</f>
        <v>0</v>
      </c>
      <c r="V69" s="9">
        <f>'PROYECCION DE VENTAS'!V69</f>
        <v>0</v>
      </c>
      <c r="W69" s="10">
        <f>'PROYECCION DE VENTAS'!W69</f>
        <v>0</v>
      </c>
      <c r="X69" s="9">
        <f>'PROYECCION DE VENTAS'!X69</f>
        <v>1</v>
      </c>
      <c r="Y69" s="10">
        <f>'PROYECCION DE VENTAS'!Y69</f>
        <v>50000</v>
      </c>
      <c r="Z69" s="85">
        <f t="shared" si="8"/>
        <v>4</v>
      </c>
      <c r="AA69" s="2">
        <f>Z69*34</f>
        <v>136</v>
      </c>
      <c r="AB69" s="2"/>
    </row>
    <row r="70" spans="1:28" x14ac:dyDescent="0.25">
      <c r="A70" s="14" t="str">
        <f t="shared" si="7"/>
        <v>Enterprise Distribución (Licencia Mens.)</v>
      </c>
      <c r="B70" s="11">
        <f>'PROYECCION DE VENTAS'!B70</f>
        <v>90</v>
      </c>
      <c r="C70" s="12">
        <f>'PROYECCION DE VENTAS'!C70</f>
        <v>162000</v>
      </c>
      <c r="D70" s="11">
        <f>'PROYECCION DE VENTAS'!D70</f>
        <v>90</v>
      </c>
      <c r="E70" s="12">
        <f>'PROYECCION DE VENTAS'!E70</f>
        <v>162000</v>
      </c>
      <c r="F70" s="11">
        <f>'PROYECCION DE VENTAS'!F70</f>
        <v>90</v>
      </c>
      <c r="G70" s="12">
        <f>'PROYECCION DE VENTAS'!G70</f>
        <v>162000</v>
      </c>
      <c r="H70" s="11">
        <f>'PROYECCION DE VENTAS'!H70</f>
        <v>120</v>
      </c>
      <c r="I70" s="12">
        <f>'PROYECCION DE VENTAS'!I70</f>
        <v>216000</v>
      </c>
      <c r="J70" s="11">
        <f>'PROYECCION DE VENTAS'!J70</f>
        <v>120</v>
      </c>
      <c r="K70" s="12">
        <f>'PROYECCION DE VENTAS'!K70</f>
        <v>216000</v>
      </c>
      <c r="L70" s="11">
        <f>'PROYECCION DE VENTAS'!L70</f>
        <v>120</v>
      </c>
      <c r="M70" s="12">
        <f>'PROYECCION DE VENTAS'!M70</f>
        <v>216000</v>
      </c>
      <c r="N70" s="11">
        <f>'PROYECCION DE VENTAS'!N70</f>
        <v>120</v>
      </c>
      <c r="O70" s="12">
        <f>'PROYECCION DE VENTAS'!O70</f>
        <v>216000</v>
      </c>
      <c r="P70" s="11">
        <f>'PROYECCION DE VENTAS'!P70</f>
        <v>150</v>
      </c>
      <c r="Q70" s="12">
        <f>'PROYECCION DE VENTAS'!Q70</f>
        <v>270000</v>
      </c>
      <c r="R70" s="11">
        <f>'PROYECCION DE VENTAS'!R70</f>
        <v>150</v>
      </c>
      <c r="S70" s="12">
        <f>'PROYECCION DE VENTAS'!S70</f>
        <v>270000</v>
      </c>
      <c r="T70" s="11">
        <f>'PROYECCION DE VENTAS'!T70</f>
        <v>150</v>
      </c>
      <c r="U70" s="12">
        <f>'PROYECCION DE VENTAS'!U70</f>
        <v>270000</v>
      </c>
      <c r="V70" s="11">
        <f>'PROYECCION DE VENTAS'!V70</f>
        <v>150</v>
      </c>
      <c r="W70" s="12">
        <f>'PROYECCION DE VENTAS'!W70</f>
        <v>270000</v>
      </c>
      <c r="X70" s="11">
        <f>'PROYECCION DE VENTAS'!X70</f>
        <v>180</v>
      </c>
      <c r="Y70" s="12">
        <f>'PROYECCION DE VENTAS'!Y70</f>
        <v>324000</v>
      </c>
      <c r="Z70" s="85">
        <f t="shared" si="8"/>
        <v>1530</v>
      </c>
      <c r="AA70" s="2">
        <f>Z70*1</f>
        <v>1530</v>
      </c>
      <c r="AB70" s="2"/>
    </row>
    <row r="71" spans="1:28" x14ac:dyDescent="0.25">
      <c r="A71" s="6" t="s">
        <v>27</v>
      </c>
      <c r="B71" s="7">
        <f t="shared" ref="B71:Y71" si="9">SUM(B65:B70)</f>
        <v>111</v>
      </c>
      <c r="C71" s="8">
        <f t="shared" si="9"/>
        <v>339400</v>
      </c>
      <c r="D71" s="7">
        <f t="shared" si="9"/>
        <v>108</v>
      </c>
      <c r="E71" s="8">
        <f t="shared" si="9"/>
        <v>194400</v>
      </c>
      <c r="F71" s="7">
        <f t="shared" si="9"/>
        <v>108</v>
      </c>
      <c r="G71" s="8">
        <f t="shared" si="9"/>
        <v>194400</v>
      </c>
      <c r="H71" s="7">
        <f t="shared" si="9"/>
        <v>147</v>
      </c>
      <c r="I71" s="8">
        <f t="shared" si="9"/>
        <v>404200</v>
      </c>
      <c r="J71" s="7">
        <f t="shared" si="9"/>
        <v>144</v>
      </c>
      <c r="K71" s="8">
        <f t="shared" si="9"/>
        <v>259200</v>
      </c>
      <c r="L71" s="7">
        <f t="shared" si="9"/>
        <v>144</v>
      </c>
      <c r="M71" s="8">
        <f t="shared" si="9"/>
        <v>259200</v>
      </c>
      <c r="N71" s="7">
        <f t="shared" si="9"/>
        <v>144</v>
      </c>
      <c r="O71" s="8">
        <f t="shared" si="9"/>
        <v>259200</v>
      </c>
      <c r="P71" s="7">
        <f t="shared" si="9"/>
        <v>183</v>
      </c>
      <c r="Q71" s="8">
        <f t="shared" si="9"/>
        <v>469000</v>
      </c>
      <c r="R71" s="7">
        <f t="shared" si="9"/>
        <v>180</v>
      </c>
      <c r="S71" s="8">
        <f t="shared" si="9"/>
        <v>324000</v>
      </c>
      <c r="T71" s="7">
        <f t="shared" si="9"/>
        <v>180</v>
      </c>
      <c r="U71" s="8">
        <f t="shared" si="9"/>
        <v>324000</v>
      </c>
      <c r="V71" s="7">
        <f t="shared" si="9"/>
        <v>180</v>
      </c>
      <c r="W71" s="8">
        <f t="shared" si="9"/>
        <v>324000</v>
      </c>
      <c r="X71" s="7">
        <f t="shared" si="9"/>
        <v>219</v>
      </c>
      <c r="Y71" s="8">
        <f t="shared" si="9"/>
        <v>533800</v>
      </c>
      <c r="Z71" s="2"/>
      <c r="AA71" s="2">
        <f>SUM(AA65:AA70)</f>
        <v>2228</v>
      </c>
      <c r="AB71" s="2"/>
    </row>
    <row r="72" spans="1:28" hidden="1" x14ac:dyDescent="0.25">
      <c r="A72" s="6" t="s">
        <v>28</v>
      </c>
      <c r="B72" s="7">
        <f>SUM(B71)</f>
        <v>111</v>
      </c>
      <c r="C72" s="8">
        <f>SUM(C71)</f>
        <v>339400</v>
      </c>
      <c r="D72" s="7">
        <f t="shared" ref="D72:Y72" si="10">SUM(B72,D71)</f>
        <v>219</v>
      </c>
      <c r="E72" s="8">
        <f t="shared" si="10"/>
        <v>533800</v>
      </c>
      <c r="F72" s="7">
        <f t="shared" si="10"/>
        <v>327</v>
      </c>
      <c r="G72" s="8">
        <f t="shared" si="10"/>
        <v>728200</v>
      </c>
      <c r="H72" s="7">
        <f t="shared" si="10"/>
        <v>474</v>
      </c>
      <c r="I72" s="8">
        <f t="shared" si="10"/>
        <v>1132400</v>
      </c>
      <c r="J72" s="7">
        <f t="shared" si="10"/>
        <v>618</v>
      </c>
      <c r="K72" s="8">
        <f t="shared" si="10"/>
        <v>1391600</v>
      </c>
      <c r="L72" s="7">
        <f t="shared" si="10"/>
        <v>762</v>
      </c>
      <c r="M72" s="8">
        <f t="shared" si="10"/>
        <v>1650800</v>
      </c>
      <c r="N72" s="7">
        <f t="shared" si="10"/>
        <v>906</v>
      </c>
      <c r="O72" s="8">
        <f t="shared" si="10"/>
        <v>1910000</v>
      </c>
      <c r="P72" s="7">
        <f t="shared" si="10"/>
        <v>1089</v>
      </c>
      <c r="Q72" s="8">
        <f t="shared" si="10"/>
        <v>2379000</v>
      </c>
      <c r="R72" s="7">
        <f t="shared" si="10"/>
        <v>1269</v>
      </c>
      <c r="S72" s="8">
        <f t="shared" si="10"/>
        <v>2703000</v>
      </c>
      <c r="T72" s="7">
        <f t="shared" si="10"/>
        <v>1449</v>
      </c>
      <c r="U72" s="8">
        <f t="shared" si="10"/>
        <v>3027000</v>
      </c>
      <c r="V72" s="7">
        <f t="shared" si="10"/>
        <v>1629</v>
      </c>
      <c r="W72" s="8">
        <f t="shared" si="10"/>
        <v>3351000</v>
      </c>
      <c r="X72" s="7">
        <f t="shared" si="10"/>
        <v>1848</v>
      </c>
      <c r="Y72" s="8">
        <f t="shared" si="10"/>
        <v>3884800</v>
      </c>
      <c r="Z72" s="2"/>
      <c r="AA72" s="2"/>
      <c r="AB72" s="2"/>
    </row>
    <row r="73" spans="1:28"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21" x14ac:dyDescent="0.35">
      <c r="A75" s="100" t="s">
        <v>31</v>
      </c>
      <c r="B75" s="100"/>
      <c r="C75" s="100"/>
      <c r="D75" s="100"/>
      <c r="E75" s="100"/>
      <c r="F75" s="2"/>
      <c r="G75" s="2"/>
      <c r="H75" s="2"/>
      <c r="I75" s="2"/>
      <c r="J75" s="2"/>
      <c r="K75" s="2"/>
      <c r="L75" s="2"/>
      <c r="M75" s="2"/>
      <c r="N75" s="2"/>
      <c r="O75" s="2"/>
      <c r="P75" s="2"/>
      <c r="Q75" s="2"/>
      <c r="R75" s="2"/>
      <c r="S75" s="2"/>
      <c r="T75" s="2"/>
      <c r="U75" s="2"/>
      <c r="V75" s="2"/>
      <c r="W75" s="2"/>
      <c r="X75" s="2"/>
      <c r="Y75" s="2"/>
      <c r="Z75" s="2"/>
      <c r="AA75" s="2"/>
      <c r="AB75" s="2"/>
    </row>
    <row r="76" spans="1:28"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7.25" customHeight="1" x14ac:dyDescent="0.25">
      <c r="A77" s="4"/>
      <c r="B77" s="105" t="s">
        <v>15</v>
      </c>
      <c r="C77" s="106"/>
      <c r="D77" s="105" t="s">
        <v>16</v>
      </c>
      <c r="E77" s="106"/>
      <c r="F77" s="105" t="s">
        <v>17</v>
      </c>
      <c r="G77" s="106"/>
      <c r="H77" s="105" t="s">
        <v>18</v>
      </c>
      <c r="I77" s="106"/>
      <c r="J77" s="105" t="s">
        <v>19</v>
      </c>
      <c r="K77" s="106"/>
      <c r="L77" s="105" t="s">
        <v>20</v>
      </c>
      <c r="M77" s="106"/>
      <c r="N77" s="105" t="s">
        <v>21</v>
      </c>
      <c r="O77" s="106"/>
      <c r="P77" s="105" t="s">
        <v>22</v>
      </c>
      <c r="Q77" s="106"/>
      <c r="R77" s="105" t="s">
        <v>23</v>
      </c>
      <c r="S77" s="106"/>
      <c r="T77" s="105" t="s">
        <v>24</v>
      </c>
      <c r="U77" s="106"/>
      <c r="V77" s="105" t="s">
        <v>25</v>
      </c>
      <c r="W77" s="106"/>
      <c r="X77" s="105" t="s">
        <v>26</v>
      </c>
      <c r="Y77" s="107"/>
      <c r="Z77" s="2"/>
      <c r="AA77" s="2"/>
      <c r="AB77" s="2"/>
    </row>
    <row r="78" spans="1:28" ht="15.75" thickBot="1" x14ac:dyDescent="0.3">
      <c r="A78" s="4" t="s">
        <v>29</v>
      </c>
      <c r="B78" s="77" t="s">
        <v>67</v>
      </c>
      <c r="C78" s="77" t="s">
        <v>9</v>
      </c>
      <c r="D78" s="77" t="s">
        <v>67</v>
      </c>
      <c r="E78" s="77" t="s">
        <v>9</v>
      </c>
      <c r="F78" s="77" t="s">
        <v>67</v>
      </c>
      <c r="G78" s="77" t="s">
        <v>9</v>
      </c>
      <c r="H78" s="77" t="s">
        <v>67</v>
      </c>
      <c r="I78" s="77" t="s">
        <v>9</v>
      </c>
      <c r="J78" s="77" t="s">
        <v>67</v>
      </c>
      <c r="K78" s="77" t="s">
        <v>9</v>
      </c>
      <c r="L78" s="77" t="s">
        <v>67</v>
      </c>
      <c r="M78" s="77" t="s">
        <v>9</v>
      </c>
      <c r="N78" s="77" t="s">
        <v>67</v>
      </c>
      <c r="O78" s="77" t="s">
        <v>9</v>
      </c>
      <c r="P78" s="77" t="s">
        <v>67</v>
      </c>
      <c r="Q78" s="77" t="s">
        <v>9</v>
      </c>
      <c r="R78" s="77" t="s">
        <v>67</v>
      </c>
      <c r="S78" s="77" t="s">
        <v>9</v>
      </c>
      <c r="T78" s="77" t="s">
        <v>67</v>
      </c>
      <c r="U78" s="77" t="s">
        <v>9</v>
      </c>
      <c r="V78" s="77" t="s">
        <v>67</v>
      </c>
      <c r="W78" s="77" t="s">
        <v>9</v>
      </c>
      <c r="X78" s="77" t="s">
        <v>67</v>
      </c>
      <c r="Y78" s="77" t="s">
        <v>9</v>
      </c>
      <c r="Z78" s="2"/>
      <c r="AA78" s="2"/>
      <c r="AB78" s="2"/>
    </row>
    <row r="79" spans="1:28" ht="15.75" thickTop="1" x14ac:dyDescent="0.25">
      <c r="A79" s="13" t="str">
        <f t="shared" ref="A79:A84" si="11">A39</f>
        <v>Enterprise Almacenamiento (Producto)</v>
      </c>
      <c r="B79" s="9">
        <f>'PROYECCION DE VENTAS'!B79</f>
        <v>1</v>
      </c>
      <c r="C79" s="10">
        <f>'PROYECCION DE VENTAS'!C79</f>
        <v>60000</v>
      </c>
      <c r="D79" s="9">
        <f>'PROYECCION DE VENTAS'!D79</f>
        <v>0</v>
      </c>
      <c r="E79" s="10">
        <f>'PROYECCION DE VENTAS'!E79</f>
        <v>0</v>
      </c>
      <c r="F79" s="9">
        <f>'PROYECCION DE VENTAS'!F79</f>
        <v>0</v>
      </c>
      <c r="G79" s="10">
        <f>'PROYECCION DE VENTAS'!G79</f>
        <v>0</v>
      </c>
      <c r="H79" s="9">
        <f>'PROYECCION DE VENTAS'!H79</f>
        <v>1</v>
      </c>
      <c r="I79" s="10">
        <f>'PROYECCION DE VENTAS'!I79</f>
        <v>60000</v>
      </c>
      <c r="J79" s="9">
        <f>'PROYECCION DE VENTAS'!J79</f>
        <v>0</v>
      </c>
      <c r="K79" s="10">
        <f>'PROYECCION DE VENTAS'!K79</f>
        <v>0</v>
      </c>
      <c r="L79" s="9">
        <f>'PROYECCION DE VENTAS'!L79</f>
        <v>0</v>
      </c>
      <c r="M79" s="10">
        <f>'PROYECCION DE VENTAS'!M79</f>
        <v>0</v>
      </c>
      <c r="N79" s="9">
        <f>'PROYECCION DE VENTAS'!N79</f>
        <v>0</v>
      </c>
      <c r="O79" s="10">
        <f>'PROYECCION DE VENTAS'!O79</f>
        <v>0</v>
      </c>
      <c r="P79" s="9">
        <f>'PROYECCION DE VENTAS'!P79</f>
        <v>1</v>
      </c>
      <c r="Q79" s="10">
        <f>'PROYECCION DE VENTAS'!Q79</f>
        <v>60000</v>
      </c>
      <c r="R79" s="9">
        <f>'PROYECCION DE VENTAS'!R79</f>
        <v>0</v>
      </c>
      <c r="S79" s="10">
        <f>'PROYECCION DE VENTAS'!S79</f>
        <v>0</v>
      </c>
      <c r="T79" s="9">
        <f>'PROYECCION DE VENTAS'!T79</f>
        <v>0</v>
      </c>
      <c r="U79" s="10">
        <f>'PROYECCION DE VENTAS'!U79</f>
        <v>0</v>
      </c>
      <c r="V79" s="9">
        <f>'PROYECCION DE VENTAS'!V79</f>
        <v>0</v>
      </c>
      <c r="W79" s="10">
        <f>'PROYECCION DE VENTAS'!W79</f>
        <v>0</v>
      </c>
      <c r="X79" s="9">
        <f>'PROYECCION DE VENTAS'!X79</f>
        <v>1</v>
      </c>
      <c r="Y79" s="10">
        <f>'PROYECCION DE VENTAS'!Y79</f>
        <v>60000</v>
      </c>
      <c r="Z79" s="85">
        <f>B79+D79+F79+H79+J79+L79+N79+P79+R79+T79+V79+X79</f>
        <v>4</v>
      </c>
      <c r="AA79" s="2">
        <f>Z79*40</f>
        <v>160</v>
      </c>
      <c r="AB79" s="2"/>
    </row>
    <row r="80" spans="1:28" ht="15.75" thickBot="1" x14ac:dyDescent="0.3">
      <c r="A80" s="14" t="str">
        <f t="shared" si="11"/>
        <v>Enterprise Almacenamiento (Licencia Mens.)</v>
      </c>
      <c r="B80" s="11">
        <f>'PROYECCION DE VENTAS'!B80</f>
        <v>18</v>
      </c>
      <c r="C80" s="12">
        <f>'PROYECCION DE VENTAS'!C80</f>
        <v>32400</v>
      </c>
      <c r="D80" s="11">
        <f>'PROYECCION DE VENTAS'!D80</f>
        <v>18</v>
      </c>
      <c r="E80" s="12">
        <f>'PROYECCION DE VENTAS'!E80</f>
        <v>32400</v>
      </c>
      <c r="F80" s="11">
        <f>'PROYECCION DE VENTAS'!F80</f>
        <v>18</v>
      </c>
      <c r="G80" s="12">
        <f>'PROYECCION DE VENTAS'!G80</f>
        <v>32400</v>
      </c>
      <c r="H80" s="11">
        <f>'PROYECCION DE VENTAS'!H80</f>
        <v>21</v>
      </c>
      <c r="I80" s="12">
        <f>'PROYECCION DE VENTAS'!I80</f>
        <v>37800</v>
      </c>
      <c r="J80" s="11">
        <f>'PROYECCION DE VENTAS'!J80</f>
        <v>21</v>
      </c>
      <c r="K80" s="12">
        <f>'PROYECCION DE VENTAS'!K80</f>
        <v>37800</v>
      </c>
      <c r="L80" s="11">
        <f>'PROYECCION DE VENTAS'!L80</f>
        <v>21</v>
      </c>
      <c r="M80" s="12">
        <f>'PROYECCION DE VENTAS'!M80</f>
        <v>37800</v>
      </c>
      <c r="N80" s="11">
        <f>'PROYECCION DE VENTAS'!N80</f>
        <v>21</v>
      </c>
      <c r="O80" s="12">
        <f>'PROYECCION DE VENTAS'!O80</f>
        <v>37800</v>
      </c>
      <c r="P80" s="11">
        <f>'PROYECCION DE VENTAS'!P80</f>
        <v>24</v>
      </c>
      <c r="Q80" s="12">
        <f>'PROYECCION DE VENTAS'!Q80</f>
        <v>43200</v>
      </c>
      <c r="R80" s="11">
        <f>'PROYECCION DE VENTAS'!R80</f>
        <v>24</v>
      </c>
      <c r="S80" s="12">
        <f>'PROYECCION DE VENTAS'!S80</f>
        <v>43200</v>
      </c>
      <c r="T80" s="11">
        <f>'PROYECCION DE VENTAS'!T80</f>
        <v>24</v>
      </c>
      <c r="U80" s="12">
        <f>'PROYECCION DE VENTAS'!U80</f>
        <v>43200</v>
      </c>
      <c r="V80" s="11">
        <f>'PROYECCION DE VENTAS'!V80</f>
        <v>24</v>
      </c>
      <c r="W80" s="12">
        <f>'PROYECCION DE VENTAS'!W80</f>
        <v>43200</v>
      </c>
      <c r="X80" s="11">
        <f>'PROYECCION DE VENTAS'!X80</f>
        <v>27</v>
      </c>
      <c r="Y80" s="12">
        <f>'PROYECCION DE VENTAS'!Y80</f>
        <v>48600</v>
      </c>
      <c r="Z80" s="85">
        <f t="shared" ref="Z80:Z84" si="12">B80+D80+F80+H80+J80+L80+N80+P80+R80+T80+V80+X80</f>
        <v>261</v>
      </c>
      <c r="AA80" s="2">
        <f>Z80*1</f>
        <v>261</v>
      </c>
      <c r="AB80" s="2"/>
    </row>
    <row r="81" spans="1:28" ht="15.75" thickTop="1" x14ac:dyDescent="0.25">
      <c r="A81" s="14" t="str">
        <f t="shared" si="11"/>
        <v>Enterprise Transporte (Producto)</v>
      </c>
      <c r="B81" s="9">
        <f>'PROYECCION DE VENTAS'!B81</f>
        <v>1</v>
      </c>
      <c r="C81" s="10">
        <f>'PROYECCION DE VENTAS'!C81</f>
        <v>35000</v>
      </c>
      <c r="D81" s="9">
        <f>'PROYECCION DE VENTAS'!D81</f>
        <v>0</v>
      </c>
      <c r="E81" s="10">
        <f>'PROYECCION DE VENTAS'!E81</f>
        <v>0</v>
      </c>
      <c r="F81" s="9">
        <f>'PROYECCION DE VENTAS'!F81</f>
        <v>0</v>
      </c>
      <c r="G81" s="10">
        <f>'PROYECCION DE VENTAS'!G81</f>
        <v>0</v>
      </c>
      <c r="H81" s="9">
        <f>'PROYECCION DE VENTAS'!H81</f>
        <v>1</v>
      </c>
      <c r="I81" s="10">
        <f>'PROYECCION DE VENTAS'!I81</f>
        <v>35000</v>
      </c>
      <c r="J81" s="9">
        <f>'PROYECCION DE VENTAS'!J81</f>
        <v>0</v>
      </c>
      <c r="K81" s="10">
        <f>'PROYECCION DE VENTAS'!K81</f>
        <v>0</v>
      </c>
      <c r="L81" s="9">
        <f>'PROYECCION DE VENTAS'!L81</f>
        <v>0</v>
      </c>
      <c r="M81" s="10">
        <f>'PROYECCION DE VENTAS'!M81</f>
        <v>0</v>
      </c>
      <c r="N81" s="9">
        <f>'PROYECCION DE VENTAS'!N81</f>
        <v>0</v>
      </c>
      <c r="O81" s="10">
        <f>'PROYECCION DE VENTAS'!O81</f>
        <v>0</v>
      </c>
      <c r="P81" s="9">
        <f>'PROYECCION DE VENTAS'!P81</f>
        <v>1</v>
      </c>
      <c r="Q81" s="10">
        <f>'PROYECCION DE VENTAS'!Q81</f>
        <v>35000</v>
      </c>
      <c r="R81" s="9">
        <f>'PROYECCION DE VENTAS'!R81</f>
        <v>0</v>
      </c>
      <c r="S81" s="10">
        <f>'PROYECCION DE VENTAS'!S81</f>
        <v>0</v>
      </c>
      <c r="T81" s="9">
        <f>'PROYECCION DE VENTAS'!T81</f>
        <v>0</v>
      </c>
      <c r="U81" s="10">
        <f>'PROYECCION DE VENTAS'!U81</f>
        <v>0</v>
      </c>
      <c r="V81" s="9">
        <f>'PROYECCION DE VENTAS'!V81</f>
        <v>0</v>
      </c>
      <c r="W81" s="10">
        <f>'PROYECCION DE VENTAS'!W81</f>
        <v>0</v>
      </c>
      <c r="X81" s="9">
        <f>'PROYECCION DE VENTAS'!X81</f>
        <v>1</v>
      </c>
      <c r="Y81" s="10">
        <f>'PROYECCION DE VENTAS'!Y81</f>
        <v>35000</v>
      </c>
      <c r="Z81" s="85">
        <f t="shared" si="12"/>
        <v>4</v>
      </c>
      <c r="AA81" s="2">
        <f>Z81*24</f>
        <v>96</v>
      </c>
      <c r="AB81" s="2"/>
    </row>
    <row r="82" spans="1:28" ht="15.75" thickBot="1" x14ac:dyDescent="0.3">
      <c r="A82" s="14" t="str">
        <f t="shared" si="11"/>
        <v>Enterprise Transporte (Licencia Mens.)</v>
      </c>
      <c r="B82" s="11">
        <f>'PROYECCION DE VENTAS'!B82</f>
        <v>18</v>
      </c>
      <c r="C82" s="12">
        <f>'PROYECCION DE VENTAS'!C82</f>
        <v>32400</v>
      </c>
      <c r="D82" s="11">
        <f>'PROYECCION DE VENTAS'!D82</f>
        <v>18</v>
      </c>
      <c r="E82" s="12">
        <f>'PROYECCION DE VENTAS'!E82</f>
        <v>32400</v>
      </c>
      <c r="F82" s="11">
        <f>'PROYECCION DE VENTAS'!F82</f>
        <v>18</v>
      </c>
      <c r="G82" s="12">
        <f>'PROYECCION DE VENTAS'!G82</f>
        <v>32400</v>
      </c>
      <c r="H82" s="11">
        <f>'PROYECCION DE VENTAS'!H82</f>
        <v>21</v>
      </c>
      <c r="I82" s="12">
        <f>'PROYECCION DE VENTAS'!I82</f>
        <v>37800</v>
      </c>
      <c r="J82" s="11">
        <f>'PROYECCION DE VENTAS'!J82</f>
        <v>21</v>
      </c>
      <c r="K82" s="12">
        <f>'PROYECCION DE VENTAS'!K82</f>
        <v>37800</v>
      </c>
      <c r="L82" s="11">
        <f>'PROYECCION DE VENTAS'!L82</f>
        <v>21</v>
      </c>
      <c r="M82" s="12">
        <f>'PROYECCION DE VENTAS'!M82</f>
        <v>37800</v>
      </c>
      <c r="N82" s="11">
        <f>'PROYECCION DE VENTAS'!N82</f>
        <v>21</v>
      </c>
      <c r="O82" s="12">
        <f>'PROYECCION DE VENTAS'!O82</f>
        <v>37800</v>
      </c>
      <c r="P82" s="11">
        <f>'PROYECCION DE VENTAS'!P82</f>
        <v>24</v>
      </c>
      <c r="Q82" s="12">
        <f>'PROYECCION DE VENTAS'!Q82</f>
        <v>43200</v>
      </c>
      <c r="R82" s="11">
        <f>'PROYECCION DE VENTAS'!R82</f>
        <v>24</v>
      </c>
      <c r="S82" s="12">
        <f>'PROYECCION DE VENTAS'!S82</f>
        <v>43200</v>
      </c>
      <c r="T82" s="11">
        <f>'PROYECCION DE VENTAS'!T82</f>
        <v>24</v>
      </c>
      <c r="U82" s="12">
        <f>'PROYECCION DE VENTAS'!U82</f>
        <v>43200</v>
      </c>
      <c r="V82" s="11">
        <f>'PROYECCION DE VENTAS'!V82</f>
        <v>24</v>
      </c>
      <c r="W82" s="12">
        <f>'PROYECCION DE VENTAS'!W82</f>
        <v>43200</v>
      </c>
      <c r="X82" s="11">
        <f>'PROYECCION DE VENTAS'!X82</f>
        <v>27</v>
      </c>
      <c r="Y82" s="12">
        <f>'PROYECCION DE VENTAS'!Y82</f>
        <v>48600</v>
      </c>
      <c r="Z82" s="85">
        <f t="shared" si="12"/>
        <v>261</v>
      </c>
      <c r="AA82" s="2">
        <f>Z82*1</f>
        <v>261</v>
      </c>
      <c r="AB82" s="2"/>
    </row>
    <row r="83" spans="1:28" ht="15.75" thickTop="1" x14ac:dyDescent="0.25">
      <c r="A83" s="14" t="str">
        <f t="shared" si="11"/>
        <v>Enterprise Distribución (Producto)</v>
      </c>
      <c r="B83" s="9">
        <f>'PROYECCION DE VENTAS'!B83</f>
        <v>1</v>
      </c>
      <c r="C83" s="10">
        <f>'PROYECCION DE VENTAS'!C83</f>
        <v>50000</v>
      </c>
      <c r="D83" s="9">
        <f>'PROYECCION DE VENTAS'!D83</f>
        <v>0</v>
      </c>
      <c r="E83" s="10">
        <f>'PROYECCION DE VENTAS'!E83</f>
        <v>0</v>
      </c>
      <c r="F83" s="9">
        <f>'PROYECCION DE VENTAS'!F83</f>
        <v>0</v>
      </c>
      <c r="G83" s="10">
        <f>'PROYECCION DE VENTAS'!G83</f>
        <v>0</v>
      </c>
      <c r="H83" s="9">
        <f>'PROYECCION DE VENTAS'!H83</f>
        <v>1</v>
      </c>
      <c r="I83" s="10">
        <f>'PROYECCION DE VENTAS'!I83</f>
        <v>50000</v>
      </c>
      <c r="J83" s="9">
        <f>'PROYECCION DE VENTAS'!J83</f>
        <v>0</v>
      </c>
      <c r="K83" s="10">
        <f>'PROYECCION DE VENTAS'!K83</f>
        <v>0</v>
      </c>
      <c r="L83" s="9">
        <f>'PROYECCION DE VENTAS'!L83</f>
        <v>0</v>
      </c>
      <c r="M83" s="10">
        <f>'PROYECCION DE VENTAS'!M83</f>
        <v>0</v>
      </c>
      <c r="N83" s="9">
        <f>'PROYECCION DE VENTAS'!N83</f>
        <v>0</v>
      </c>
      <c r="O83" s="10">
        <f>'PROYECCION DE VENTAS'!O83</f>
        <v>0</v>
      </c>
      <c r="P83" s="9">
        <f>'PROYECCION DE VENTAS'!P83</f>
        <v>1</v>
      </c>
      <c r="Q83" s="10">
        <f>'PROYECCION DE VENTAS'!Q83</f>
        <v>50000</v>
      </c>
      <c r="R83" s="9">
        <f>'PROYECCION DE VENTAS'!R83</f>
        <v>0</v>
      </c>
      <c r="S83" s="10">
        <f>'PROYECCION DE VENTAS'!S83</f>
        <v>0</v>
      </c>
      <c r="T83" s="9">
        <f>'PROYECCION DE VENTAS'!T83</f>
        <v>0</v>
      </c>
      <c r="U83" s="10">
        <f>'PROYECCION DE VENTAS'!U83</f>
        <v>0</v>
      </c>
      <c r="V83" s="9">
        <f>'PROYECCION DE VENTAS'!V83</f>
        <v>0</v>
      </c>
      <c r="W83" s="10">
        <f>'PROYECCION DE VENTAS'!W83</f>
        <v>0</v>
      </c>
      <c r="X83" s="9">
        <f>'PROYECCION DE VENTAS'!X83</f>
        <v>1</v>
      </c>
      <c r="Y83" s="10">
        <f>'PROYECCION DE VENTAS'!Y83</f>
        <v>50000</v>
      </c>
      <c r="Z83" s="85">
        <f t="shared" si="12"/>
        <v>4</v>
      </c>
      <c r="AA83" s="2">
        <f>Z83*34</f>
        <v>136</v>
      </c>
      <c r="AB83" s="2"/>
    </row>
    <row r="84" spans="1:28" x14ac:dyDescent="0.25">
      <c r="A84" s="14" t="str">
        <f t="shared" si="11"/>
        <v>Enterprise Distribución (Licencia Mens.)</v>
      </c>
      <c r="B84" s="11">
        <f>'PROYECCION DE VENTAS'!B84</f>
        <v>180</v>
      </c>
      <c r="C84" s="12">
        <f>'PROYECCION DE VENTAS'!C84</f>
        <v>324000</v>
      </c>
      <c r="D84" s="11">
        <f>'PROYECCION DE VENTAS'!D84</f>
        <v>180</v>
      </c>
      <c r="E84" s="12">
        <f>'PROYECCION DE VENTAS'!E84</f>
        <v>324000</v>
      </c>
      <c r="F84" s="11">
        <f>'PROYECCION DE VENTAS'!F84</f>
        <v>180</v>
      </c>
      <c r="G84" s="12">
        <f>'PROYECCION DE VENTAS'!G84</f>
        <v>324000</v>
      </c>
      <c r="H84" s="11">
        <f>'PROYECCION DE VENTAS'!H84</f>
        <v>210</v>
      </c>
      <c r="I84" s="12">
        <f>'PROYECCION DE VENTAS'!I84</f>
        <v>378000</v>
      </c>
      <c r="J84" s="11">
        <f>'PROYECCION DE VENTAS'!J84</f>
        <v>210</v>
      </c>
      <c r="K84" s="12">
        <f>'PROYECCION DE VENTAS'!K84</f>
        <v>378000</v>
      </c>
      <c r="L84" s="11">
        <f>'PROYECCION DE VENTAS'!L84</f>
        <v>210</v>
      </c>
      <c r="M84" s="12">
        <f>'PROYECCION DE VENTAS'!M84</f>
        <v>378000</v>
      </c>
      <c r="N84" s="11">
        <f>'PROYECCION DE VENTAS'!N84</f>
        <v>210</v>
      </c>
      <c r="O84" s="12">
        <f>'PROYECCION DE VENTAS'!O84</f>
        <v>378000</v>
      </c>
      <c r="P84" s="11">
        <f>'PROYECCION DE VENTAS'!P84</f>
        <v>240</v>
      </c>
      <c r="Q84" s="12">
        <f>'PROYECCION DE VENTAS'!Q84</f>
        <v>432000</v>
      </c>
      <c r="R84" s="11">
        <f>'PROYECCION DE VENTAS'!R84</f>
        <v>240</v>
      </c>
      <c r="S84" s="12">
        <f>'PROYECCION DE VENTAS'!S84</f>
        <v>432000</v>
      </c>
      <c r="T84" s="11">
        <f>'PROYECCION DE VENTAS'!T84</f>
        <v>240</v>
      </c>
      <c r="U84" s="12">
        <f>'PROYECCION DE VENTAS'!U84</f>
        <v>432000</v>
      </c>
      <c r="V84" s="11">
        <f>'PROYECCION DE VENTAS'!V84</f>
        <v>240</v>
      </c>
      <c r="W84" s="12">
        <f>'PROYECCION DE VENTAS'!W84</f>
        <v>432000</v>
      </c>
      <c r="X84" s="11">
        <f>'PROYECCION DE VENTAS'!X84</f>
        <v>270</v>
      </c>
      <c r="Y84" s="12">
        <f>'PROYECCION DE VENTAS'!Y84</f>
        <v>486000</v>
      </c>
      <c r="Z84" s="85">
        <f t="shared" si="12"/>
        <v>2610</v>
      </c>
      <c r="AA84" s="2">
        <f>Z84*1</f>
        <v>2610</v>
      </c>
      <c r="AB84" s="2"/>
    </row>
    <row r="85" spans="1:28" x14ac:dyDescent="0.25">
      <c r="A85" s="6" t="s">
        <v>27</v>
      </c>
      <c r="B85" s="7">
        <f t="shared" ref="B85:Y85" si="13">SUM(B79:B84)</f>
        <v>219</v>
      </c>
      <c r="C85" s="8">
        <f t="shared" si="13"/>
        <v>533800</v>
      </c>
      <c r="D85" s="7">
        <f t="shared" si="13"/>
        <v>216</v>
      </c>
      <c r="E85" s="8">
        <f t="shared" si="13"/>
        <v>388800</v>
      </c>
      <c r="F85" s="7">
        <f t="shared" si="13"/>
        <v>216</v>
      </c>
      <c r="G85" s="8">
        <f t="shared" si="13"/>
        <v>388800</v>
      </c>
      <c r="H85" s="7">
        <f t="shared" si="13"/>
        <v>255</v>
      </c>
      <c r="I85" s="8">
        <f>SUM(I79:I84)</f>
        <v>598600</v>
      </c>
      <c r="J85" s="7">
        <f t="shared" si="13"/>
        <v>252</v>
      </c>
      <c r="K85" s="8">
        <f t="shared" si="13"/>
        <v>453600</v>
      </c>
      <c r="L85" s="7">
        <f t="shared" si="13"/>
        <v>252</v>
      </c>
      <c r="M85" s="8">
        <f t="shared" si="13"/>
        <v>453600</v>
      </c>
      <c r="N85" s="7">
        <f t="shared" si="13"/>
        <v>252</v>
      </c>
      <c r="O85" s="8">
        <f t="shared" si="13"/>
        <v>453600</v>
      </c>
      <c r="P85" s="7">
        <f t="shared" si="13"/>
        <v>291</v>
      </c>
      <c r="Q85" s="8">
        <f t="shared" si="13"/>
        <v>663400</v>
      </c>
      <c r="R85" s="7">
        <f t="shared" si="13"/>
        <v>288</v>
      </c>
      <c r="S85" s="8">
        <f t="shared" si="13"/>
        <v>518400</v>
      </c>
      <c r="T85" s="7">
        <f t="shared" si="13"/>
        <v>288</v>
      </c>
      <c r="U85" s="8">
        <f t="shared" si="13"/>
        <v>518400</v>
      </c>
      <c r="V85" s="7">
        <f t="shared" si="13"/>
        <v>288</v>
      </c>
      <c r="W85" s="8">
        <f t="shared" si="13"/>
        <v>518400</v>
      </c>
      <c r="X85" s="7">
        <f t="shared" si="13"/>
        <v>327</v>
      </c>
      <c r="Y85" s="8">
        <f t="shared" si="13"/>
        <v>728200</v>
      </c>
      <c r="Z85" s="2"/>
      <c r="AA85" s="2">
        <f>SUM(AA79:AA84)</f>
        <v>3524</v>
      </c>
      <c r="AB85" s="2"/>
    </row>
    <row r="86" spans="1:28" hidden="1" x14ac:dyDescent="0.25">
      <c r="A86" s="6" t="s">
        <v>28</v>
      </c>
      <c r="B86" s="7">
        <f>SUM(B85)</f>
        <v>219</v>
      </c>
      <c r="C86" s="8">
        <f>SUM(C85)</f>
        <v>533800</v>
      </c>
      <c r="D86" s="7">
        <f t="shared" ref="D86:Y86" si="14">SUM(B86,D85)</f>
        <v>435</v>
      </c>
      <c r="E86" s="8">
        <f t="shared" si="14"/>
        <v>922600</v>
      </c>
      <c r="F86" s="7">
        <f t="shared" si="14"/>
        <v>651</v>
      </c>
      <c r="G86" s="8">
        <f t="shared" si="14"/>
        <v>1311400</v>
      </c>
      <c r="H86" s="7">
        <f t="shared" si="14"/>
        <v>906</v>
      </c>
      <c r="I86" s="8">
        <f t="shared" si="14"/>
        <v>1910000</v>
      </c>
      <c r="J86" s="7">
        <f t="shared" si="14"/>
        <v>1158</v>
      </c>
      <c r="K86" s="8">
        <f t="shared" si="14"/>
        <v>2363600</v>
      </c>
      <c r="L86" s="7">
        <f t="shared" si="14"/>
        <v>1410</v>
      </c>
      <c r="M86" s="8">
        <f t="shared" si="14"/>
        <v>2817200</v>
      </c>
      <c r="N86" s="7">
        <f t="shared" si="14"/>
        <v>1662</v>
      </c>
      <c r="O86" s="8">
        <f t="shared" si="14"/>
        <v>3270800</v>
      </c>
      <c r="P86" s="7">
        <f t="shared" si="14"/>
        <v>1953</v>
      </c>
      <c r="Q86" s="8">
        <f t="shared" si="14"/>
        <v>3934200</v>
      </c>
      <c r="R86" s="7">
        <f t="shared" si="14"/>
        <v>2241</v>
      </c>
      <c r="S86" s="8">
        <f t="shared" si="14"/>
        <v>4452600</v>
      </c>
      <c r="T86" s="7">
        <f t="shared" si="14"/>
        <v>2529</v>
      </c>
      <c r="U86" s="8">
        <f t="shared" si="14"/>
        <v>4971000</v>
      </c>
      <c r="V86" s="7">
        <f t="shared" si="14"/>
        <v>2817</v>
      </c>
      <c r="W86" s="8">
        <f t="shared" si="14"/>
        <v>5489400</v>
      </c>
      <c r="X86" s="7">
        <f t="shared" si="14"/>
        <v>3144</v>
      </c>
      <c r="Y86" s="8">
        <f t="shared" si="14"/>
        <v>6217600</v>
      </c>
      <c r="Z86" s="2"/>
      <c r="AA86" s="2"/>
      <c r="AB86" s="2"/>
    </row>
    <row r="87" spans="1:28"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sheetData>
  <mergeCells count="59">
    <mergeCell ref="X77:Y77"/>
    <mergeCell ref="L77:M77"/>
    <mergeCell ref="N77:O77"/>
    <mergeCell ref="P77:Q77"/>
    <mergeCell ref="R77:S77"/>
    <mergeCell ref="T77:U77"/>
    <mergeCell ref="V77:W77"/>
    <mergeCell ref="A75:E75"/>
    <mergeCell ref="B77:C77"/>
    <mergeCell ref="D77:E77"/>
    <mergeCell ref="F77:G77"/>
    <mergeCell ref="H77:I77"/>
    <mergeCell ref="J77:K77"/>
    <mergeCell ref="N63:O63"/>
    <mergeCell ref="P63:Q63"/>
    <mergeCell ref="R63:S63"/>
    <mergeCell ref="T63:U63"/>
    <mergeCell ref="J63:K63"/>
    <mergeCell ref="L63:M63"/>
    <mergeCell ref="V63:W63"/>
    <mergeCell ref="X63:Y63"/>
    <mergeCell ref="T49:U49"/>
    <mergeCell ref="V49:W49"/>
    <mergeCell ref="X49:Y49"/>
    <mergeCell ref="A61:E61"/>
    <mergeCell ref="B63:C63"/>
    <mergeCell ref="D63:E63"/>
    <mergeCell ref="F63:G63"/>
    <mergeCell ref="H63:I63"/>
    <mergeCell ref="R49:S49"/>
    <mergeCell ref="A43:B43"/>
    <mergeCell ref="A44:B44"/>
    <mergeCell ref="A47:E47"/>
    <mergeCell ref="B49:C49"/>
    <mergeCell ref="D49:E49"/>
    <mergeCell ref="F49:G49"/>
    <mergeCell ref="H49:I49"/>
    <mergeCell ref="J49:K49"/>
    <mergeCell ref="L49:M49"/>
    <mergeCell ref="N49:O49"/>
    <mergeCell ref="P49:Q49"/>
    <mergeCell ref="A42:B42"/>
    <mergeCell ref="A18:B18"/>
    <mergeCell ref="A19:B19"/>
    <mergeCell ref="A20:B20"/>
    <mergeCell ref="A21:B21"/>
    <mergeCell ref="A23:G23"/>
    <mergeCell ref="A28:G28"/>
    <mergeCell ref="A36:C36"/>
    <mergeCell ref="A38:B38"/>
    <mergeCell ref="A39:B39"/>
    <mergeCell ref="A40:B40"/>
    <mergeCell ref="A41:B41"/>
    <mergeCell ref="A16:G16"/>
    <mergeCell ref="A1:K1"/>
    <mergeCell ref="A8:G8"/>
    <mergeCell ref="A10:B10"/>
    <mergeCell ref="A11:B11"/>
    <mergeCell ref="A12:B12"/>
  </mergeCells>
  <pageMargins left="0.23622047244094491" right="0.23622047244094491" top="0.9055118110236221" bottom="0.47244094488188981" header="0.31496062992125984" footer="0.31496062992125984"/>
  <pageSetup paperSize="9" scale="40" fitToHeight="0" orientation="landscape" r:id="rId1"/>
  <headerFooter>
    <oddHeader>&amp;L&amp;"-,Negrita"&amp;16NATURAL FORT
&amp;"-,Normal"Alimento para perros&amp;C&amp;"-,Negrita"&amp;20&amp;U&amp;A&amp;RDocente a cargo:  Jorge Scali
Alumno: Hugo Castromán</oddHeader>
    <oddFooter>&amp;CPágina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5"/>
  <sheetViews>
    <sheetView showGridLines="0" zoomScaleNormal="100" zoomScalePageLayoutView="80" workbookViewId="0">
      <selection activeCell="B14" sqref="B14"/>
    </sheetView>
  </sheetViews>
  <sheetFormatPr defaultColWidth="11.42578125" defaultRowHeight="15" x14ac:dyDescent="0.25"/>
  <cols>
    <col min="1" max="1" width="36" customWidth="1"/>
    <col min="2" max="13" width="9.140625" customWidth="1"/>
    <col min="14" max="14" width="11.85546875" customWidth="1"/>
  </cols>
  <sheetData>
    <row r="1" spans="1:15" ht="21" x14ac:dyDescent="0.35">
      <c r="A1" s="100" t="s">
        <v>88</v>
      </c>
      <c r="B1" s="100"/>
      <c r="C1" s="100"/>
      <c r="D1" s="100"/>
      <c r="E1" s="100"/>
      <c r="F1" s="100"/>
      <c r="G1" s="100"/>
      <c r="H1" s="100"/>
      <c r="I1" s="100"/>
      <c r="J1" s="100"/>
      <c r="K1" s="100"/>
      <c r="L1" s="100"/>
      <c r="M1" s="100"/>
      <c r="N1" s="100"/>
    </row>
    <row r="4" spans="1:15" ht="21" x14ac:dyDescent="0.35">
      <c r="A4" s="100" t="s">
        <v>160</v>
      </c>
      <c r="B4" s="100"/>
      <c r="C4" s="100"/>
      <c r="D4" s="100"/>
      <c r="E4" s="100"/>
      <c r="F4" s="100"/>
      <c r="G4" s="100"/>
      <c r="H4" s="100"/>
      <c r="I4" s="100"/>
      <c r="J4" s="100"/>
      <c r="K4" s="100"/>
      <c r="L4" s="100"/>
      <c r="M4" s="100"/>
      <c r="N4" s="100"/>
    </row>
    <row r="5" spans="1:15" x14ac:dyDescent="0.25">
      <c r="A5" s="4" t="s">
        <v>89</v>
      </c>
      <c r="B5" s="4" t="s">
        <v>214</v>
      </c>
      <c r="C5" s="4" t="s">
        <v>215</v>
      </c>
      <c r="D5" s="4" t="s">
        <v>216</v>
      </c>
      <c r="E5" s="4" t="s">
        <v>217</v>
      </c>
      <c r="F5" s="4" t="s">
        <v>218</v>
      </c>
      <c r="G5" s="4" t="s">
        <v>219</v>
      </c>
      <c r="H5" s="4" t="s">
        <v>220</v>
      </c>
      <c r="I5" s="4" t="s">
        <v>221</v>
      </c>
      <c r="J5" s="4" t="s">
        <v>222</v>
      </c>
      <c r="K5" s="4" t="s">
        <v>223</v>
      </c>
      <c r="L5" s="4" t="s">
        <v>224</v>
      </c>
      <c r="M5" s="4" t="s">
        <v>225</v>
      </c>
      <c r="N5" s="4" t="s">
        <v>90</v>
      </c>
    </row>
    <row r="6" spans="1:15" ht="15.75" thickBot="1" x14ac:dyDescent="0.3">
      <c r="A6" s="4" t="s">
        <v>91</v>
      </c>
      <c r="B6" s="4"/>
      <c r="C6" s="4"/>
      <c r="D6" s="4"/>
      <c r="E6" s="4"/>
      <c r="F6" s="4"/>
      <c r="G6" s="4"/>
      <c r="H6" s="4"/>
      <c r="I6" s="4"/>
      <c r="J6" s="4"/>
      <c r="K6" s="4"/>
      <c r="L6" s="4"/>
      <c r="M6" s="4"/>
      <c r="N6" s="4"/>
    </row>
    <row r="7" spans="1:15" ht="15.75" thickTop="1" x14ac:dyDescent="0.25">
      <c r="A7" s="14" t="s">
        <v>92</v>
      </c>
      <c r="B7" s="10">
        <v>18000</v>
      </c>
      <c r="C7" s="10">
        <v>18000</v>
      </c>
      <c r="D7" s="10">
        <v>18000</v>
      </c>
      <c r="E7" s="10">
        <v>18000</v>
      </c>
      <c r="F7" s="10">
        <v>18000</v>
      </c>
      <c r="G7" s="10">
        <v>18000</v>
      </c>
      <c r="H7" s="10">
        <v>18000</v>
      </c>
      <c r="I7" s="10">
        <v>18000</v>
      </c>
      <c r="J7" s="10">
        <v>18000</v>
      </c>
      <c r="K7" s="10">
        <v>18000</v>
      </c>
      <c r="L7" s="10">
        <v>18000</v>
      </c>
      <c r="M7" s="10">
        <v>18000</v>
      </c>
      <c r="N7" s="8">
        <f>SUM(B7:M7)</f>
        <v>216000</v>
      </c>
      <c r="O7" s="61" t="s">
        <v>159</v>
      </c>
    </row>
    <row r="8" spans="1:15" x14ac:dyDescent="0.25">
      <c r="A8" s="2"/>
      <c r="B8" s="2"/>
      <c r="C8" s="2"/>
      <c r="D8" s="2"/>
      <c r="E8" s="2"/>
      <c r="F8" s="2"/>
      <c r="G8" s="2"/>
      <c r="H8" s="2"/>
      <c r="I8" s="2"/>
      <c r="J8" s="2"/>
      <c r="K8" s="2"/>
      <c r="L8" s="2"/>
      <c r="M8" s="2"/>
      <c r="N8" s="2"/>
    </row>
    <row r="9" spans="1:15" ht="15.75" thickBot="1" x14ac:dyDescent="0.3">
      <c r="A9" s="4" t="s">
        <v>93</v>
      </c>
      <c r="B9" s="4"/>
      <c r="C9" s="4"/>
      <c r="D9" s="4"/>
      <c r="E9" s="4"/>
      <c r="F9" s="4"/>
      <c r="G9" s="4"/>
      <c r="H9" s="4"/>
      <c r="I9" s="4"/>
      <c r="J9" s="4"/>
      <c r="K9" s="4"/>
      <c r="L9" s="4"/>
      <c r="M9" s="4"/>
      <c r="N9" s="4"/>
    </row>
    <row r="10" spans="1:15" ht="15.75" thickTop="1" x14ac:dyDescent="0.25">
      <c r="A10" s="14" t="s">
        <v>94</v>
      </c>
      <c r="B10" s="10">
        <v>600</v>
      </c>
      <c r="C10" s="10">
        <v>450</v>
      </c>
      <c r="D10" s="10">
        <v>450</v>
      </c>
      <c r="E10" s="10">
        <v>450</v>
      </c>
      <c r="F10" s="10">
        <v>450</v>
      </c>
      <c r="G10" s="10">
        <v>450</v>
      </c>
      <c r="H10" s="10">
        <v>450</v>
      </c>
      <c r="I10" s="10">
        <v>450</v>
      </c>
      <c r="J10" s="10">
        <v>450</v>
      </c>
      <c r="K10" s="10">
        <v>450</v>
      </c>
      <c r="L10" s="10">
        <v>450</v>
      </c>
      <c r="M10" s="10">
        <v>450</v>
      </c>
      <c r="N10" s="8">
        <f t="shared" ref="N10:N24" si="0">SUM(B10:M10)</f>
        <v>5550</v>
      </c>
    </row>
    <row r="11" spans="1:15" ht="15.75" thickBot="1" x14ac:dyDescent="0.3">
      <c r="A11" s="14" t="s">
        <v>95</v>
      </c>
      <c r="B11" s="12">
        <v>400</v>
      </c>
      <c r="C11" s="12">
        <v>400</v>
      </c>
      <c r="D11" s="12">
        <v>400</v>
      </c>
      <c r="E11" s="12">
        <v>400</v>
      </c>
      <c r="F11" s="12">
        <v>400</v>
      </c>
      <c r="G11" s="12">
        <v>400</v>
      </c>
      <c r="H11" s="12">
        <v>400</v>
      </c>
      <c r="I11" s="12">
        <v>400</v>
      </c>
      <c r="J11" s="12">
        <v>400</v>
      </c>
      <c r="K11" s="12">
        <v>400</v>
      </c>
      <c r="L11" s="12">
        <v>400</v>
      </c>
      <c r="M11" s="12">
        <v>400</v>
      </c>
      <c r="N11" s="8">
        <f t="shared" si="0"/>
        <v>4800</v>
      </c>
    </row>
    <row r="12" spans="1:15" ht="15.75" thickTop="1" x14ac:dyDescent="0.25">
      <c r="A12" s="14" t="s">
        <v>158</v>
      </c>
      <c r="B12" s="10">
        <v>2000</v>
      </c>
      <c r="C12" s="10">
        <v>2000</v>
      </c>
      <c r="D12" s="10">
        <v>2000</v>
      </c>
      <c r="E12" s="10">
        <v>2000</v>
      </c>
      <c r="F12" s="10">
        <v>2000</v>
      </c>
      <c r="G12" s="10">
        <v>2000</v>
      </c>
      <c r="H12" s="10">
        <v>2000</v>
      </c>
      <c r="I12" s="10">
        <v>2000</v>
      </c>
      <c r="J12" s="10">
        <v>2000</v>
      </c>
      <c r="K12" s="10">
        <v>2000</v>
      </c>
      <c r="L12" s="10">
        <v>2000</v>
      </c>
      <c r="M12" s="10">
        <v>2000</v>
      </c>
      <c r="N12" s="8">
        <f t="shared" si="0"/>
        <v>24000</v>
      </c>
    </row>
    <row r="13" spans="1:15" ht="15.75" thickBot="1" x14ac:dyDescent="0.3">
      <c r="A13" s="14" t="s">
        <v>96</v>
      </c>
      <c r="B13" s="12">
        <v>1500</v>
      </c>
      <c r="C13" s="12">
        <v>1500</v>
      </c>
      <c r="D13" s="12">
        <v>1500</v>
      </c>
      <c r="E13" s="12">
        <v>1500</v>
      </c>
      <c r="F13" s="12">
        <v>1500</v>
      </c>
      <c r="G13" s="12">
        <v>1500</v>
      </c>
      <c r="H13" s="12">
        <v>1500</v>
      </c>
      <c r="I13" s="12">
        <v>1500</v>
      </c>
      <c r="J13" s="12">
        <v>1500</v>
      </c>
      <c r="K13" s="12">
        <v>1500</v>
      </c>
      <c r="L13" s="12">
        <v>1500</v>
      </c>
      <c r="M13" s="12">
        <v>1500</v>
      </c>
      <c r="N13" s="8">
        <f t="shared" si="0"/>
        <v>18000</v>
      </c>
    </row>
    <row r="14" spans="1:15" ht="15.75" thickTop="1" x14ac:dyDescent="0.25">
      <c r="A14" s="14" t="s">
        <v>180</v>
      </c>
      <c r="B14" s="10">
        <f>SUM('COSTOS RRHH'!$B$23,'COSTOS RRHH'!$B$27,'COSTOS RRHH'!$B$28,'COSTOS RRHH'!$B$29,'COSTOS RRHH'!$B$30)*490</f>
        <v>1960</v>
      </c>
      <c r="C14" s="10">
        <f>SUM('COSTOS RRHH'!$B$23,'COSTOS RRHH'!$B$27,'COSTOS RRHH'!$B$28,'COSTOS RRHH'!$B$29,'COSTOS RRHH'!$B$30)*490</f>
        <v>1960</v>
      </c>
      <c r="D14" s="10">
        <f>SUM('COSTOS RRHH'!$B$23,'COSTOS RRHH'!$B$27,'COSTOS RRHH'!$B$28,'COSTOS RRHH'!$B$29,'COSTOS RRHH'!$B$30)*490</f>
        <v>1960</v>
      </c>
      <c r="E14" s="10">
        <f>SUM('COSTOS RRHH'!$B$23,'COSTOS RRHH'!$B$27,'COSTOS RRHH'!$B$28,'COSTOS RRHH'!$B$29,'COSTOS RRHH'!$B$30)*490</f>
        <v>1960</v>
      </c>
      <c r="F14" s="10">
        <f>SUM('COSTOS RRHH'!$B$23,'COSTOS RRHH'!$B$27,'COSTOS RRHH'!$B$28,'COSTOS RRHH'!$B$29,'COSTOS RRHH'!$B$30)*490</f>
        <v>1960</v>
      </c>
      <c r="G14" s="10">
        <f>SUM('COSTOS RRHH'!$B$23,'COSTOS RRHH'!$B$27,'COSTOS RRHH'!$B$28,'COSTOS RRHH'!$B$29,'COSTOS RRHH'!$B$30)*490</f>
        <v>1960</v>
      </c>
      <c r="H14" s="10">
        <f>SUM('COSTOS RRHH'!$B$23,'COSTOS RRHH'!$B$27,'COSTOS RRHH'!$B$28,'COSTOS RRHH'!$B$29,'COSTOS RRHH'!$B$30)*490</f>
        <v>1960</v>
      </c>
      <c r="I14" s="10">
        <f>SUM('COSTOS RRHH'!$B$23,'COSTOS RRHH'!$B$27,'COSTOS RRHH'!$B$28,'COSTOS RRHH'!$B$29,'COSTOS RRHH'!$B$30)*490</f>
        <v>1960</v>
      </c>
      <c r="J14" s="10">
        <f>SUM('COSTOS RRHH'!$B$23,'COSTOS RRHH'!$B$27,'COSTOS RRHH'!$B$28,'COSTOS RRHH'!$B$29,'COSTOS RRHH'!$B$30)*490</f>
        <v>1960</v>
      </c>
      <c r="K14" s="10">
        <f>SUM('COSTOS RRHH'!$B$23,'COSTOS RRHH'!$B$27,'COSTOS RRHH'!$B$28,'COSTOS RRHH'!$B$29,'COSTOS RRHH'!$B$30)*490</f>
        <v>1960</v>
      </c>
      <c r="L14" s="10">
        <f>SUM('COSTOS RRHH'!$B$23,'COSTOS RRHH'!$B$27,'COSTOS RRHH'!$B$28,'COSTOS RRHH'!$B$29,'COSTOS RRHH'!$B$30)*490</f>
        <v>1960</v>
      </c>
      <c r="M14" s="10">
        <f>SUM('COSTOS RRHH'!$B$23,'COSTOS RRHH'!$B$27,'COSTOS RRHH'!$B$28,'COSTOS RRHH'!$B$29,'COSTOS RRHH'!$B$30)*490</f>
        <v>1960</v>
      </c>
      <c r="N14" s="8">
        <f t="shared" si="0"/>
        <v>23520</v>
      </c>
      <c r="O14" t="s">
        <v>181</v>
      </c>
    </row>
    <row r="15" spans="1:15" ht="15.75" thickBot="1" x14ac:dyDescent="0.3">
      <c r="A15" s="14" t="s">
        <v>161</v>
      </c>
      <c r="B15" s="12">
        <v>2500</v>
      </c>
      <c r="C15" s="12">
        <v>2500</v>
      </c>
      <c r="D15" s="12">
        <v>2500</v>
      </c>
      <c r="E15" s="12">
        <v>2500</v>
      </c>
      <c r="F15" s="12">
        <v>2500</v>
      </c>
      <c r="G15" s="12">
        <v>2500</v>
      </c>
      <c r="H15" s="12">
        <v>2500</v>
      </c>
      <c r="I15" s="12">
        <v>2500</v>
      </c>
      <c r="J15" s="12">
        <v>2500</v>
      </c>
      <c r="K15" s="12">
        <v>2500</v>
      </c>
      <c r="L15" s="12">
        <v>2500</v>
      </c>
      <c r="M15" s="12">
        <v>2500</v>
      </c>
      <c r="N15" s="8">
        <f t="shared" si="0"/>
        <v>30000</v>
      </c>
      <c r="O15" t="s">
        <v>162</v>
      </c>
    </row>
    <row r="16" spans="1:15" ht="15.75" thickTop="1" x14ac:dyDescent="0.25">
      <c r="A16" s="14" t="s">
        <v>97</v>
      </c>
      <c r="B16" s="10">
        <v>600</v>
      </c>
      <c r="C16" s="10">
        <v>600</v>
      </c>
      <c r="D16" s="10">
        <v>600</v>
      </c>
      <c r="E16" s="10">
        <v>600</v>
      </c>
      <c r="F16" s="10">
        <v>600</v>
      </c>
      <c r="G16" s="10">
        <v>600</v>
      </c>
      <c r="H16" s="10">
        <v>600</v>
      </c>
      <c r="I16" s="10">
        <v>600</v>
      </c>
      <c r="J16" s="10">
        <v>600</v>
      </c>
      <c r="K16" s="10">
        <v>600</v>
      </c>
      <c r="L16" s="10">
        <v>600</v>
      </c>
      <c r="M16" s="10">
        <v>600</v>
      </c>
      <c r="N16" s="8">
        <f t="shared" si="0"/>
        <v>7200</v>
      </c>
    </row>
    <row r="17" spans="1:14" x14ac:dyDescent="0.25">
      <c r="A17" s="14" t="s">
        <v>163</v>
      </c>
      <c r="B17" s="12">
        <v>1500</v>
      </c>
      <c r="C17" s="12">
        <v>1500</v>
      </c>
      <c r="D17" s="12">
        <v>1500</v>
      </c>
      <c r="E17" s="12">
        <v>1500</v>
      </c>
      <c r="F17" s="12">
        <v>1500</v>
      </c>
      <c r="G17" s="12">
        <v>1500</v>
      </c>
      <c r="H17" s="12">
        <v>1500</v>
      </c>
      <c r="I17" s="12">
        <v>1500</v>
      </c>
      <c r="J17" s="12">
        <v>1500</v>
      </c>
      <c r="K17" s="12">
        <v>1500</v>
      </c>
      <c r="L17" s="12">
        <v>1500</v>
      </c>
      <c r="M17" s="12">
        <v>1500</v>
      </c>
      <c r="N17" s="8">
        <f t="shared" si="0"/>
        <v>18000</v>
      </c>
    </row>
    <row r="18" spans="1:14" x14ac:dyDescent="0.25">
      <c r="A18" s="2"/>
      <c r="B18" s="2"/>
      <c r="C18" s="2"/>
      <c r="D18" s="2"/>
      <c r="E18" s="2"/>
      <c r="F18" s="2"/>
      <c r="G18" s="2"/>
      <c r="H18" s="2"/>
      <c r="I18" s="2"/>
      <c r="J18" s="2"/>
      <c r="K18" s="2"/>
      <c r="L18" s="2"/>
      <c r="M18" s="2"/>
      <c r="N18" s="2"/>
    </row>
    <row r="19" spans="1:14" ht="15.75" thickBot="1" x14ac:dyDescent="0.3">
      <c r="A19" s="4" t="s">
        <v>98</v>
      </c>
      <c r="B19" s="4"/>
      <c r="C19" s="4"/>
      <c r="D19" s="4"/>
      <c r="E19" s="4"/>
      <c r="F19" s="4"/>
      <c r="G19" s="4"/>
      <c r="H19" s="4"/>
      <c r="I19" s="4"/>
      <c r="J19" s="4"/>
      <c r="K19" s="4"/>
      <c r="L19" s="4"/>
      <c r="M19" s="4"/>
      <c r="N19" s="4"/>
    </row>
    <row r="20" spans="1:14" ht="15.75" thickTop="1" x14ac:dyDescent="0.25">
      <c r="A20" s="14" t="s">
        <v>99</v>
      </c>
      <c r="B20" s="10">
        <v>5000</v>
      </c>
      <c r="C20" s="10">
        <v>5000</v>
      </c>
      <c r="D20" s="10">
        <v>5000</v>
      </c>
      <c r="E20" s="10">
        <v>5000</v>
      </c>
      <c r="F20" s="10">
        <v>5000</v>
      </c>
      <c r="G20" s="10">
        <v>5000</v>
      </c>
      <c r="H20" s="10">
        <v>5000</v>
      </c>
      <c r="I20" s="10">
        <v>5000</v>
      </c>
      <c r="J20" s="10">
        <v>5000</v>
      </c>
      <c r="K20" s="10">
        <v>5000</v>
      </c>
      <c r="L20" s="10">
        <v>5000</v>
      </c>
      <c r="M20" s="10">
        <v>5000</v>
      </c>
      <c r="N20" s="8">
        <f>SUM(B20:M20)</f>
        <v>60000</v>
      </c>
    </row>
    <row r="21" spans="1:14" x14ac:dyDescent="0.25">
      <c r="A21" s="2"/>
      <c r="B21" s="2"/>
      <c r="C21" s="2"/>
      <c r="D21" s="2"/>
      <c r="E21" s="2"/>
      <c r="F21" s="2"/>
      <c r="G21" s="2"/>
      <c r="H21" s="2"/>
      <c r="I21" s="2"/>
      <c r="J21" s="2"/>
      <c r="K21" s="2"/>
      <c r="L21" s="2"/>
      <c r="M21" s="2"/>
      <c r="N21" s="2"/>
    </row>
    <row r="22" spans="1:14" ht="15.75" thickBot="1" x14ac:dyDescent="0.3">
      <c r="A22" s="4" t="s">
        <v>100</v>
      </c>
      <c r="B22" s="4"/>
      <c r="C22" s="4"/>
      <c r="D22" s="4"/>
      <c r="E22" s="4"/>
      <c r="F22" s="4"/>
      <c r="G22" s="4"/>
      <c r="H22" s="4"/>
      <c r="I22" s="4"/>
      <c r="J22" s="4"/>
      <c r="K22" s="4"/>
      <c r="L22" s="4"/>
      <c r="M22" s="4"/>
      <c r="N22" s="4"/>
    </row>
    <row r="23" spans="1:14" ht="15.75" thickTop="1" x14ac:dyDescent="0.25">
      <c r="A23" s="14" t="s">
        <v>184</v>
      </c>
      <c r="B23" s="10">
        <v>40000</v>
      </c>
      <c r="C23" s="10">
        <v>40000</v>
      </c>
      <c r="D23" s="10">
        <v>40000</v>
      </c>
      <c r="E23" s="10">
        <v>40000</v>
      </c>
      <c r="F23" s="10">
        <v>40000</v>
      </c>
      <c r="G23" s="10">
        <v>40000</v>
      </c>
      <c r="H23" s="10"/>
      <c r="I23" s="10"/>
      <c r="J23" s="10"/>
      <c r="K23" s="10"/>
      <c r="L23" s="10"/>
      <c r="M23" s="10"/>
      <c r="N23" s="8">
        <f t="shared" si="0"/>
        <v>240000</v>
      </c>
    </row>
    <row r="24" spans="1:14" x14ac:dyDescent="0.25">
      <c r="A24" s="14" t="s">
        <v>185</v>
      </c>
      <c r="B24" s="12">
        <v>5000</v>
      </c>
      <c r="C24" s="12">
        <v>5000</v>
      </c>
      <c r="D24" s="12">
        <v>5000</v>
      </c>
      <c r="E24" s="12">
        <v>5000</v>
      </c>
      <c r="F24" s="12">
        <v>5000</v>
      </c>
      <c r="G24" s="12">
        <v>5000</v>
      </c>
      <c r="H24" s="12"/>
      <c r="I24" s="12"/>
      <c r="J24" s="12"/>
      <c r="K24" s="12"/>
      <c r="L24" s="12"/>
      <c r="M24" s="12"/>
      <c r="N24" s="8">
        <f t="shared" si="0"/>
        <v>30000</v>
      </c>
    </row>
    <row r="25" spans="1:14" x14ac:dyDescent="0.25">
      <c r="A25" s="2"/>
      <c r="B25" s="2"/>
      <c r="C25" s="2"/>
      <c r="D25" s="2"/>
      <c r="E25" s="2"/>
      <c r="F25" s="2"/>
      <c r="G25" s="2"/>
      <c r="H25" s="2"/>
      <c r="I25" s="2"/>
      <c r="J25" s="2"/>
      <c r="K25" s="2"/>
      <c r="L25" s="2"/>
      <c r="M25" s="20" t="s">
        <v>90</v>
      </c>
      <c r="N25" s="21">
        <f>SUM(N7:N24)</f>
        <v>677070</v>
      </c>
    </row>
  </sheetData>
  <mergeCells count="2">
    <mergeCell ref="A1:N1"/>
    <mergeCell ref="A4:N4"/>
  </mergeCells>
  <hyperlinks>
    <hyperlink ref="O7" r:id="rId1"/>
  </hyperlinks>
  <pageMargins left="0.70866141732283472" right="0.70866141732283472" top="0.9055118110236221" bottom="0.74803149606299213" header="0.31496062992125984" footer="0.31496062992125984"/>
  <pageSetup scale="64" fitToHeight="0" orientation="landscape" r:id="rId2"/>
  <headerFooter>
    <oddHeader>&amp;L&amp;"-,Negrita"&amp;16NATURAL FORT&amp;"-,Normal"
Alimento para perros&amp;C&amp;"-,Negrita"&amp;18&amp;U&amp;A&amp;RDocente a cargo:  Jorge Scali
Alumno: Hugo Castromán</oddHeader>
    <oddFooter>&amp;CPágina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31"/>
  <sheetViews>
    <sheetView showGridLines="0" zoomScaleNormal="100" zoomScalePageLayoutView="85" workbookViewId="0">
      <selection activeCell="X40" sqref="B40:X40"/>
    </sheetView>
  </sheetViews>
  <sheetFormatPr defaultColWidth="11.42578125" defaultRowHeight="15" x14ac:dyDescent="0.25"/>
  <cols>
    <col min="1" max="1" width="45.85546875" customWidth="1"/>
    <col min="2" max="2" width="7.85546875" bestFit="1" customWidth="1"/>
    <col min="3" max="3" width="11.5703125" hidden="1" customWidth="1"/>
    <col min="4" max="4" width="7.85546875" bestFit="1" customWidth="1"/>
    <col min="5" max="5" width="11.5703125" hidden="1" customWidth="1"/>
    <col min="6" max="6" width="7.85546875" bestFit="1" customWidth="1"/>
    <col min="7" max="7" width="11.5703125" hidden="1" customWidth="1"/>
    <col min="8" max="8" width="7.85546875" bestFit="1" customWidth="1"/>
    <col min="9" max="9" width="11.5703125" hidden="1" customWidth="1"/>
    <col min="10" max="10" width="7.85546875" bestFit="1" customWidth="1"/>
    <col min="11" max="11" width="11.5703125" hidden="1" customWidth="1"/>
    <col min="12" max="12" width="8.85546875" bestFit="1" customWidth="1"/>
    <col min="13" max="13" width="11.5703125" hidden="1" customWidth="1"/>
    <col min="14" max="14" width="7.85546875" bestFit="1" customWidth="1"/>
    <col min="15" max="15" width="11.5703125" hidden="1" customWidth="1"/>
    <col min="16" max="16" width="8.85546875" bestFit="1" customWidth="1"/>
    <col min="17" max="17" width="11.5703125" hidden="1" customWidth="1"/>
    <col min="18" max="18" width="7.85546875" bestFit="1" customWidth="1"/>
    <col min="19" max="19" width="11.5703125" hidden="1" customWidth="1"/>
    <col min="20" max="20" width="8.85546875" bestFit="1" customWidth="1"/>
    <col min="21" max="21" width="11.5703125" hidden="1" customWidth="1"/>
    <col min="22" max="22" width="7.85546875" bestFit="1" customWidth="1"/>
    <col min="23" max="23" width="11.5703125" hidden="1" customWidth="1"/>
    <col min="24" max="25" width="8.85546875" bestFit="1" customWidth="1"/>
  </cols>
  <sheetData>
    <row r="1" spans="1:25" ht="36" x14ac:dyDescent="0.55000000000000004">
      <c r="A1" s="97" t="s">
        <v>227</v>
      </c>
      <c r="B1" s="97"/>
      <c r="C1" s="97"/>
      <c r="D1" s="97"/>
      <c r="E1" s="97"/>
      <c r="F1" s="97"/>
      <c r="G1" s="97"/>
      <c r="H1" s="97"/>
      <c r="I1" s="97"/>
      <c r="J1" s="97"/>
      <c r="K1" s="97"/>
      <c r="L1" s="97"/>
      <c r="M1" s="97"/>
      <c r="N1" s="97"/>
      <c r="O1" s="97"/>
      <c r="P1" s="97"/>
      <c r="Q1" s="97"/>
      <c r="R1" s="97"/>
      <c r="S1" s="97"/>
      <c r="T1" s="97"/>
      <c r="U1" s="97"/>
      <c r="V1" s="97"/>
      <c r="W1" s="97"/>
      <c r="X1" s="97"/>
      <c r="Y1" s="97"/>
    </row>
    <row r="2" spans="1:25" ht="15.75" thickBot="1" x14ac:dyDescent="0.3">
      <c r="A2" s="2"/>
      <c r="B2" s="2"/>
      <c r="C2" s="2"/>
      <c r="D2" s="2"/>
      <c r="E2" s="2"/>
      <c r="F2" s="2"/>
      <c r="G2" s="2"/>
      <c r="H2" s="2"/>
      <c r="I2" s="2"/>
      <c r="J2" s="2"/>
      <c r="K2" s="2"/>
      <c r="L2" s="2"/>
      <c r="M2" s="2"/>
      <c r="N2" s="2"/>
      <c r="O2" s="2"/>
      <c r="P2" s="2"/>
      <c r="Q2" s="2"/>
      <c r="R2" s="2"/>
      <c r="S2" s="2"/>
      <c r="T2" s="2"/>
      <c r="U2" s="2"/>
      <c r="V2" s="2"/>
      <c r="W2" s="2"/>
      <c r="X2" s="2"/>
    </row>
    <row r="3" spans="1:25" ht="15.75" thickBot="1" x14ac:dyDescent="0.3">
      <c r="A3" s="108" t="s">
        <v>187</v>
      </c>
      <c r="B3" s="109"/>
      <c r="C3" s="58"/>
      <c r="D3" s="15" t="s">
        <v>118</v>
      </c>
      <c r="E3" s="60"/>
      <c r="F3" s="2"/>
      <c r="G3" s="2"/>
      <c r="H3" s="2"/>
      <c r="I3" s="2"/>
      <c r="J3" s="2"/>
      <c r="K3" s="2"/>
      <c r="L3" s="2"/>
      <c r="M3" s="2"/>
      <c r="N3" s="2"/>
      <c r="O3" s="2"/>
      <c r="P3" s="2"/>
      <c r="Q3" s="2"/>
      <c r="R3" s="2"/>
      <c r="S3" s="2"/>
      <c r="T3" s="2"/>
      <c r="U3" s="2"/>
      <c r="V3" s="2"/>
      <c r="W3" s="2"/>
      <c r="X3" s="2"/>
    </row>
    <row r="4" spans="1:25" ht="15.75" customHeight="1" thickTop="1" thickBot="1" x14ac:dyDescent="0.3">
      <c r="A4" s="112" t="s">
        <v>188</v>
      </c>
      <c r="B4" s="113"/>
      <c r="C4" s="59"/>
      <c r="D4" s="65">
        <v>0.1</v>
      </c>
      <c r="E4" s="68"/>
      <c r="F4" s="2"/>
      <c r="G4" s="2"/>
      <c r="H4" s="2"/>
      <c r="I4" s="2"/>
      <c r="J4" s="2"/>
      <c r="K4" s="2"/>
      <c r="L4" s="2"/>
      <c r="M4" s="2"/>
      <c r="N4" s="2"/>
      <c r="O4" s="2"/>
      <c r="P4" s="2"/>
      <c r="Q4" s="2"/>
      <c r="R4" s="2"/>
      <c r="S4" s="2"/>
      <c r="T4" s="2"/>
      <c r="U4" s="2"/>
      <c r="V4" s="2"/>
      <c r="W4" s="2"/>
      <c r="X4" s="2"/>
    </row>
    <row r="5" spans="1:25" ht="15" customHeight="1" thickTop="1" x14ac:dyDescent="0.25">
      <c r="A5" s="110" t="s">
        <v>189</v>
      </c>
      <c r="B5" s="111"/>
      <c r="C5" s="67"/>
      <c r="D5" s="66">
        <v>0.05</v>
      </c>
      <c r="E5" s="69"/>
      <c r="F5" s="2"/>
      <c r="G5" s="2"/>
      <c r="H5" s="2"/>
      <c r="I5" s="2"/>
      <c r="J5" s="2"/>
      <c r="K5" s="2"/>
      <c r="L5" s="2"/>
      <c r="M5" s="2"/>
      <c r="N5" s="2"/>
      <c r="O5" s="2"/>
      <c r="P5" s="2"/>
      <c r="Q5" s="2"/>
      <c r="R5" s="2"/>
      <c r="S5" s="2"/>
      <c r="T5" s="2"/>
      <c r="U5" s="2"/>
      <c r="V5" s="2"/>
      <c r="W5" s="2"/>
      <c r="X5" s="2"/>
    </row>
    <row r="6" spans="1:25" x14ac:dyDescent="0.25">
      <c r="A6" s="2"/>
      <c r="B6" s="2"/>
      <c r="C6" s="2"/>
      <c r="D6" s="2"/>
      <c r="E6" s="2"/>
      <c r="F6" s="2"/>
      <c r="G6" s="2"/>
      <c r="H6" s="2"/>
      <c r="I6" s="2"/>
      <c r="J6" s="2"/>
      <c r="K6" s="2"/>
      <c r="L6" s="2"/>
      <c r="M6" s="2"/>
      <c r="N6" s="2"/>
      <c r="O6" s="2"/>
      <c r="P6" s="2"/>
      <c r="Q6" s="2"/>
      <c r="R6" s="2"/>
      <c r="S6" s="2"/>
      <c r="T6" s="2"/>
      <c r="U6" s="2"/>
      <c r="V6" s="2"/>
      <c r="W6" s="2"/>
      <c r="X6" s="2"/>
    </row>
    <row r="7" spans="1:25" x14ac:dyDescent="0.25">
      <c r="A7" s="2"/>
      <c r="B7" s="2"/>
      <c r="C7" s="2"/>
      <c r="D7" s="2"/>
      <c r="E7" s="2"/>
      <c r="F7" s="2"/>
      <c r="G7" s="2"/>
      <c r="H7" s="2"/>
      <c r="I7" s="2"/>
      <c r="J7" s="2"/>
      <c r="K7" s="2"/>
      <c r="L7" s="2"/>
      <c r="M7" s="2"/>
      <c r="N7" s="2"/>
      <c r="O7" s="2"/>
      <c r="P7" s="2"/>
      <c r="Q7" s="2"/>
      <c r="R7" s="2"/>
      <c r="S7" s="2"/>
      <c r="T7" s="2"/>
      <c r="U7" s="2"/>
      <c r="V7" s="2"/>
      <c r="W7" s="2"/>
      <c r="X7" s="2"/>
    </row>
    <row r="8" spans="1:25" ht="21" x14ac:dyDescent="0.35">
      <c r="A8" s="100" t="s">
        <v>14</v>
      </c>
      <c r="B8" s="100"/>
      <c r="C8" s="100"/>
      <c r="D8" s="100"/>
      <c r="E8" s="100"/>
      <c r="F8" s="100"/>
      <c r="G8" s="100"/>
      <c r="H8" s="100"/>
      <c r="I8" s="56"/>
      <c r="J8" s="2"/>
      <c r="K8" s="2"/>
      <c r="L8" s="2"/>
      <c r="M8" s="2"/>
      <c r="N8" s="2"/>
      <c r="O8" s="2"/>
      <c r="P8" s="2"/>
      <c r="Q8" s="2"/>
      <c r="R8" s="2"/>
      <c r="S8" s="2"/>
      <c r="T8" s="2"/>
      <c r="U8" s="2"/>
      <c r="V8" s="2"/>
      <c r="W8" s="2"/>
      <c r="X8" s="2"/>
    </row>
    <row r="9" spans="1:25" x14ac:dyDescent="0.25">
      <c r="A9" s="2"/>
      <c r="B9" s="2"/>
      <c r="C9" s="2"/>
      <c r="D9" s="2"/>
      <c r="E9" s="2"/>
      <c r="F9" s="2"/>
      <c r="G9" s="2"/>
      <c r="H9" s="2"/>
      <c r="I9" s="2"/>
      <c r="J9" s="2"/>
      <c r="K9" s="2"/>
      <c r="L9" s="2"/>
      <c r="M9" s="2"/>
      <c r="N9" s="2"/>
      <c r="O9" s="2"/>
      <c r="P9" s="2"/>
      <c r="Q9" s="2"/>
      <c r="R9" s="2"/>
      <c r="S9" s="2"/>
      <c r="T9" s="2"/>
      <c r="U9" s="2"/>
      <c r="V9" s="2"/>
      <c r="W9" s="2"/>
      <c r="X9" s="2"/>
    </row>
    <row r="10" spans="1:25" ht="17.25" customHeight="1" thickBot="1" x14ac:dyDescent="0.3">
      <c r="A10" s="4" t="s">
        <v>29</v>
      </c>
      <c r="B10" s="62" t="s">
        <v>214</v>
      </c>
      <c r="C10" s="64"/>
      <c r="D10" s="63" t="s">
        <v>215</v>
      </c>
      <c r="E10" s="64"/>
      <c r="F10" s="62" t="s">
        <v>216</v>
      </c>
      <c r="G10" s="64"/>
      <c r="H10" s="63" t="s">
        <v>217</v>
      </c>
      <c r="I10" s="64"/>
      <c r="J10" s="62" t="s">
        <v>218</v>
      </c>
      <c r="K10" s="64"/>
      <c r="L10" s="63" t="s">
        <v>219</v>
      </c>
      <c r="M10" s="64"/>
      <c r="N10" s="62" t="s">
        <v>220</v>
      </c>
      <c r="O10" s="64"/>
      <c r="P10" s="63" t="s">
        <v>221</v>
      </c>
      <c r="Q10" s="64"/>
      <c r="R10" s="62" t="s">
        <v>222</v>
      </c>
      <c r="S10" s="64"/>
      <c r="T10" s="63" t="s">
        <v>223</v>
      </c>
      <c r="U10" s="64"/>
      <c r="V10" s="62" t="s">
        <v>224</v>
      </c>
      <c r="W10" s="64"/>
      <c r="X10" s="63" t="s">
        <v>225</v>
      </c>
    </row>
    <row r="11" spans="1:25" ht="15.75" thickTop="1" x14ac:dyDescent="0.25">
      <c r="A11" s="13" t="s">
        <v>186</v>
      </c>
      <c r="B11" s="10">
        <f>(('PROYECCION DE VENTAS'!C51+'PROYECCION DE VENTAS'!C53+'PROYECCION DE VENTAS'!C55)*'COSTOS VARIABLES'!$D$4)+(('PROYECCION DE VENTAS'!C52+'PROYECCION DE VENTAS'!C54+'PROYECCION DE VENTAS'!C56)*$D$5)</f>
        <v>0</v>
      </c>
      <c r="C11" s="10"/>
      <c r="D11" s="10">
        <f>(('PROYECCION DE VENTAS'!E51+'PROYECCION DE VENTAS'!E53+'PROYECCION DE VENTAS'!E55)*'COSTOS VARIABLES'!$D$4)+(('PROYECCION DE VENTAS'!E52+'PROYECCION DE VENTAS'!E54+'PROYECCION DE VENTAS'!E56)*$D$5)</f>
        <v>0</v>
      </c>
      <c r="E11" s="10"/>
      <c r="F11" s="10">
        <f>(('PROYECCION DE VENTAS'!G51+'PROYECCION DE VENTAS'!G53+'PROYECCION DE VENTAS'!G55)*'COSTOS VARIABLES'!$D$4)+(('PROYECCION DE VENTAS'!G52+'PROYECCION DE VENTAS'!G54+'PROYECCION DE VENTAS'!G56)*$D$5)</f>
        <v>0</v>
      </c>
      <c r="G11" s="10"/>
      <c r="H11" s="10">
        <f>(('PROYECCION DE VENTAS'!I51+'PROYECCION DE VENTAS'!I53+'PROYECCION DE VENTAS'!I55)*'COSTOS VARIABLES'!$D$4)+(('PROYECCION DE VENTAS'!I52+'PROYECCION DE VENTAS'!I54+'PROYECCION DE VENTAS'!I56)*$D$5)</f>
        <v>17740</v>
      </c>
      <c r="I11" s="10"/>
      <c r="J11" s="10">
        <f>(('PROYECCION DE VENTAS'!K51+'PROYECCION DE VENTAS'!K53+'PROYECCION DE VENTAS'!K55)*'COSTOS VARIABLES'!$D$4)+(('PROYECCION DE VENTAS'!K52+'PROYECCION DE VENTAS'!K54+'PROYECCION DE VENTAS'!K56)*$D$5)</f>
        <v>3240</v>
      </c>
      <c r="K11" s="9"/>
      <c r="L11" s="10">
        <f>(('PROYECCION DE VENTAS'!M51+'PROYECCION DE VENTAS'!M53+'PROYECCION DE VENTAS'!M55)*'COSTOS VARIABLES'!$D$4)+(('PROYECCION DE VENTAS'!M52+'PROYECCION DE VENTAS'!M54+'PROYECCION DE VENTAS'!M56)*$D$5)</f>
        <v>3240</v>
      </c>
      <c r="M11" s="10"/>
      <c r="N11" s="10">
        <f>(('PROYECCION DE VENTAS'!O51+'PROYECCION DE VENTAS'!O53+'PROYECCION DE VENTAS'!O55)*'COSTOS VARIABLES'!$D$4)+(('PROYECCION DE VENTAS'!O52+'PROYECCION DE VENTAS'!O54+'PROYECCION DE VENTAS'!O56)*$D$5)</f>
        <v>3240</v>
      </c>
      <c r="O11" s="9"/>
      <c r="P11" s="10">
        <f>(('PROYECCION DE VENTAS'!Q51+'PROYECCION DE VENTAS'!Q53+'PROYECCION DE VENTAS'!Q55)*'COSTOS VARIABLES'!$D$4)+(('PROYECCION DE VENTAS'!Q52+'PROYECCION DE VENTAS'!Q54+'PROYECCION DE VENTAS'!Q56)*$D$5)</f>
        <v>20980</v>
      </c>
      <c r="Q11" s="10"/>
      <c r="R11" s="10">
        <f>(('PROYECCION DE VENTAS'!S51+'PROYECCION DE VENTAS'!S53+'PROYECCION DE VENTAS'!S55)*'COSTOS VARIABLES'!$D$4)+(('PROYECCION DE VENTAS'!S52+'PROYECCION DE VENTAS'!S54+'PROYECCION DE VENTAS'!S56)*$D$5)</f>
        <v>6480</v>
      </c>
      <c r="S11" s="9"/>
      <c r="T11" s="10">
        <f>(('PROYECCION DE VENTAS'!U51+'PROYECCION DE VENTAS'!U53+'PROYECCION DE VENTAS'!U55)*'COSTOS VARIABLES'!$D$4)+(('PROYECCION DE VENTAS'!U52+'PROYECCION DE VENTAS'!U54+'PROYECCION DE VENTAS'!U56)*$D$5)</f>
        <v>6480</v>
      </c>
      <c r="U11" s="10"/>
      <c r="V11" s="10">
        <f>(('PROYECCION DE VENTAS'!W51+'PROYECCION DE VENTAS'!W53+'PROYECCION DE VENTAS'!W55)*'COSTOS VARIABLES'!$D$4)+(('PROYECCION DE VENTAS'!W52+'PROYECCION DE VENTAS'!W54+'PROYECCION DE VENTAS'!W56)*$D$5)</f>
        <v>6480</v>
      </c>
      <c r="W11" s="9"/>
      <c r="X11" s="10">
        <f>(('PROYECCION DE VENTAS'!Y51+'PROYECCION DE VENTAS'!Y53+'PROYECCION DE VENTAS'!Y55)*'COSTOS VARIABLES'!$D$4)+(('PROYECCION DE VENTAS'!Y52+'PROYECCION DE VENTAS'!Y54+'PROYECCION DE VENTAS'!Y56)*$D$5)</f>
        <v>24220</v>
      </c>
    </row>
    <row r="12" spans="1:25" x14ac:dyDescent="0.25">
      <c r="A12" s="78" t="s">
        <v>226</v>
      </c>
      <c r="B12" s="79"/>
      <c r="C12" s="79"/>
      <c r="D12" s="79"/>
      <c r="E12" s="79"/>
      <c r="F12" s="79"/>
      <c r="G12" s="79"/>
      <c r="H12" s="79"/>
      <c r="I12" s="79"/>
      <c r="J12" s="79"/>
      <c r="K12" s="80"/>
      <c r="L12" s="79"/>
      <c r="M12" s="79"/>
      <c r="N12" s="79"/>
      <c r="O12" s="80"/>
      <c r="P12" s="79"/>
      <c r="Q12" s="79"/>
      <c r="R12" s="79"/>
      <c r="S12" s="80"/>
      <c r="T12" s="79"/>
      <c r="U12" s="79"/>
      <c r="V12" s="79"/>
      <c r="W12" s="80"/>
      <c r="X12" s="79"/>
    </row>
    <row r="13" spans="1:25" x14ac:dyDescent="0.25">
      <c r="A13" s="6" t="s">
        <v>27</v>
      </c>
      <c r="B13" s="8">
        <f>SUM(B11:B12)</f>
        <v>0</v>
      </c>
      <c r="C13" s="8"/>
      <c r="D13" s="8">
        <f>SUM(D11:D12)</f>
        <v>0</v>
      </c>
      <c r="E13" s="8"/>
      <c r="F13" s="8">
        <f>SUM(F11:F12)</f>
        <v>0</v>
      </c>
      <c r="G13" s="8"/>
      <c r="H13" s="8">
        <f>SUM(H11:H12)</f>
        <v>17740</v>
      </c>
      <c r="I13" s="8"/>
      <c r="J13" s="8">
        <f>SUM(J11:J12)</f>
        <v>3240</v>
      </c>
      <c r="K13" s="7"/>
      <c r="L13" s="8">
        <f>SUM(L11:L12)</f>
        <v>3240</v>
      </c>
      <c r="M13" s="8"/>
      <c r="N13" s="8">
        <f>SUM(N11:N12)</f>
        <v>3240</v>
      </c>
      <c r="O13" s="7"/>
      <c r="P13" s="8">
        <f>SUM(P11:P12)</f>
        <v>20980</v>
      </c>
      <c r="Q13" s="8"/>
      <c r="R13" s="8">
        <f>SUM(R11:R12)</f>
        <v>6480</v>
      </c>
      <c r="S13" s="7"/>
      <c r="T13" s="8">
        <f>SUM(T11:T12)</f>
        <v>6480</v>
      </c>
      <c r="U13" s="8"/>
      <c r="V13" s="8">
        <f>SUM(V11:V12)</f>
        <v>6480</v>
      </c>
      <c r="W13" s="7"/>
      <c r="X13" s="8">
        <f>SUM(X11:X12)</f>
        <v>24220</v>
      </c>
      <c r="Y13" s="8">
        <f>SUM(B13:X13)</f>
        <v>92100</v>
      </c>
    </row>
    <row r="14" spans="1:25" hidden="1" x14ac:dyDescent="0.25">
      <c r="A14" s="6" t="s">
        <v>28</v>
      </c>
      <c r="B14" s="7" t="e">
        <f>SUM(#REF!)</f>
        <v>#REF!</v>
      </c>
      <c r="C14" s="7"/>
      <c r="D14" s="8">
        <f>SUM(B13)</f>
        <v>0</v>
      </c>
      <c r="E14" s="8"/>
      <c r="F14" s="7" t="e">
        <f>SUM(B14,#REF!)</f>
        <v>#REF!</v>
      </c>
      <c r="G14" s="7"/>
      <c r="H14" s="8">
        <f>SUM(D14,D13)</f>
        <v>0</v>
      </c>
      <c r="I14" s="8"/>
      <c r="J14" s="7" t="e">
        <f>SUM(F14,#REF!)</f>
        <v>#REF!</v>
      </c>
      <c r="K14" s="7"/>
      <c r="L14" s="8">
        <f>SUM(H14,F13)</f>
        <v>0</v>
      </c>
      <c r="M14" s="8"/>
      <c r="N14" s="7" t="e">
        <f>SUM(J14,#REF!)</f>
        <v>#REF!</v>
      </c>
      <c r="O14" s="7"/>
      <c r="P14" s="8">
        <f>SUM(L14,H13)</f>
        <v>17740</v>
      </c>
      <c r="Q14" s="8"/>
      <c r="R14" s="7" t="e">
        <f>SUM(N14,J13)</f>
        <v>#REF!</v>
      </c>
      <c r="S14" s="7"/>
      <c r="T14" s="8">
        <f>SUM(P14,L13)</f>
        <v>20980</v>
      </c>
      <c r="U14" s="8"/>
      <c r="V14" s="7" t="e">
        <f>SUM(R14,N13)</f>
        <v>#REF!</v>
      </c>
      <c r="W14" s="7"/>
      <c r="X14" s="8">
        <f>SUM(T14,P13)</f>
        <v>41960</v>
      </c>
    </row>
    <row r="15" spans="1:25" x14ac:dyDescent="0.25">
      <c r="A15" s="2"/>
      <c r="B15" s="2"/>
      <c r="C15" s="2"/>
      <c r="D15" s="2"/>
      <c r="E15" s="2"/>
      <c r="F15" s="2"/>
      <c r="G15" s="2"/>
      <c r="H15" s="2"/>
      <c r="I15" s="2"/>
      <c r="J15" s="2"/>
      <c r="K15" s="2"/>
      <c r="L15" s="2"/>
      <c r="M15" s="2"/>
      <c r="N15" s="2"/>
      <c r="O15" s="2"/>
      <c r="P15" s="2"/>
      <c r="Q15" s="2"/>
      <c r="R15" s="2"/>
      <c r="S15" s="2"/>
      <c r="T15" s="2"/>
      <c r="U15" s="2"/>
      <c r="V15" s="2"/>
      <c r="W15" s="2"/>
      <c r="X15" s="2"/>
    </row>
    <row r="16" spans="1:25" hidden="1" x14ac:dyDescent="0.25">
      <c r="A16" s="2"/>
      <c r="B16" s="2"/>
      <c r="C16" s="2"/>
      <c r="D16" s="2"/>
      <c r="E16" s="2"/>
      <c r="F16" s="2"/>
      <c r="G16" s="2"/>
      <c r="H16" s="2"/>
      <c r="I16" s="2"/>
      <c r="J16" s="2"/>
      <c r="K16" s="2"/>
      <c r="L16" s="2"/>
      <c r="M16" s="2"/>
      <c r="N16" s="2"/>
      <c r="O16" s="2"/>
      <c r="P16" s="2"/>
      <c r="Q16" s="2"/>
      <c r="R16" s="2"/>
      <c r="S16" s="2"/>
      <c r="T16" s="2"/>
      <c r="U16" s="2"/>
      <c r="V16" s="2"/>
      <c r="W16" s="2"/>
      <c r="X16" s="2"/>
    </row>
    <row r="17" spans="1:25" hidden="1" x14ac:dyDescent="0.25">
      <c r="A17" s="2"/>
      <c r="B17" s="2"/>
      <c r="C17" s="2"/>
      <c r="D17" s="2"/>
      <c r="E17" s="2"/>
      <c r="F17" s="2"/>
      <c r="G17" s="2"/>
      <c r="H17" s="2"/>
      <c r="I17" s="2"/>
      <c r="J17" s="2"/>
      <c r="K17" s="2"/>
      <c r="L17" s="2"/>
      <c r="M17" s="2"/>
      <c r="N17" s="2"/>
      <c r="O17" s="2"/>
      <c r="P17" s="2"/>
      <c r="Q17" s="2"/>
      <c r="R17" s="2"/>
      <c r="S17" s="2"/>
      <c r="T17" s="2"/>
      <c r="U17" s="2"/>
      <c r="V17" s="2"/>
      <c r="W17" s="2"/>
      <c r="X17" s="2"/>
    </row>
    <row r="18" spans="1:25" hidden="1" x14ac:dyDescent="0.25">
      <c r="A18" s="2"/>
      <c r="B18" s="2"/>
      <c r="C18" s="2"/>
      <c r="D18" s="2"/>
      <c r="E18" s="2"/>
      <c r="F18" s="2"/>
      <c r="G18" s="2"/>
      <c r="H18" s="2"/>
      <c r="I18" s="2"/>
      <c r="J18" s="2"/>
      <c r="K18" s="2"/>
      <c r="L18" s="2"/>
      <c r="M18" s="2"/>
      <c r="N18" s="2"/>
      <c r="O18" s="2"/>
      <c r="P18" s="2"/>
      <c r="Q18" s="2"/>
      <c r="R18" s="2"/>
      <c r="S18" s="2"/>
      <c r="T18" s="2"/>
      <c r="U18" s="2"/>
      <c r="V18" s="2"/>
      <c r="W18" s="2"/>
      <c r="X18" s="2"/>
    </row>
    <row r="19" spans="1:25" hidden="1" x14ac:dyDescent="0.25">
      <c r="A19" s="2"/>
      <c r="B19" s="2"/>
      <c r="C19" s="2"/>
      <c r="D19" s="2"/>
      <c r="E19" s="2"/>
      <c r="F19" s="2"/>
      <c r="G19" s="2"/>
      <c r="H19" s="2"/>
      <c r="I19" s="2"/>
      <c r="J19" s="2"/>
      <c r="K19" s="2"/>
      <c r="L19" s="2"/>
      <c r="M19" s="2"/>
      <c r="N19" s="2"/>
      <c r="O19" s="2"/>
      <c r="P19" s="2"/>
      <c r="Q19" s="2"/>
      <c r="R19" s="2"/>
      <c r="S19" s="2"/>
      <c r="T19" s="2"/>
      <c r="U19" s="2"/>
      <c r="V19" s="2"/>
      <c r="W19" s="2"/>
      <c r="X19" s="2"/>
    </row>
    <row r="20" spans="1:25" hidden="1" x14ac:dyDescent="0.25">
      <c r="A20" s="2"/>
      <c r="B20" s="2"/>
      <c r="C20" s="2"/>
      <c r="D20" s="2"/>
      <c r="E20" s="2"/>
      <c r="F20" s="2"/>
      <c r="G20" s="2"/>
      <c r="H20" s="2"/>
      <c r="I20" s="2"/>
      <c r="J20" s="2"/>
      <c r="K20" s="2"/>
      <c r="L20" s="2"/>
      <c r="M20" s="2"/>
      <c r="N20" s="2"/>
      <c r="O20" s="2"/>
      <c r="P20" s="2"/>
      <c r="Q20" s="2"/>
      <c r="R20" s="2"/>
      <c r="S20" s="2"/>
      <c r="T20" s="2"/>
      <c r="U20" s="2"/>
      <c r="V20" s="2"/>
      <c r="W20" s="2"/>
      <c r="X20" s="2"/>
    </row>
    <row r="21" spans="1:25" hidden="1" x14ac:dyDescent="0.25">
      <c r="A21" s="2"/>
      <c r="B21" s="2"/>
      <c r="C21" s="2"/>
      <c r="D21" s="2"/>
      <c r="E21" s="2"/>
      <c r="F21" s="2"/>
      <c r="G21" s="2"/>
      <c r="H21" s="2"/>
      <c r="I21" s="2"/>
      <c r="J21" s="2"/>
      <c r="K21" s="2"/>
      <c r="L21" s="2"/>
      <c r="M21" s="2"/>
      <c r="N21" s="2"/>
      <c r="O21" s="2"/>
      <c r="P21" s="2"/>
      <c r="Q21" s="2"/>
      <c r="R21" s="2"/>
      <c r="S21" s="2"/>
      <c r="T21" s="2"/>
      <c r="U21" s="2"/>
      <c r="V21" s="2"/>
      <c r="W21" s="2"/>
      <c r="X21" s="2"/>
    </row>
    <row r="22" spans="1:25" ht="21" x14ac:dyDescent="0.35">
      <c r="A22" s="100" t="s">
        <v>30</v>
      </c>
      <c r="B22" s="100"/>
      <c r="C22" s="100"/>
      <c r="D22" s="100"/>
      <c r="E22" s="100"/>
      <c r="F22" s="100"/>
      <c r="G22" s="100"/>
      <c r="H22" s="100"/>
      <c r="I22" s="56"/>
      <c r="J22" s="2"/>
      <c r="K22" s="2"/>
      <c r="L22" s="2"/>
      <c r="M22" s="2"/>
      <c r="N22" s="2"/>
      <c r="O22" s="2"/>
      <c r="P22" s="2"/>
      <c r="Q22" s="2"/>
      <c r="R22" s="2"/>
      <c r="S22" s="2"/>
      <c r="T22" s="2"/>
      <c r="U22" s="2"/>
      <c r="V22" s="2"/>
      <c r="W22" s="2"/>
      <c r="X22" s="2"/>
    </row>
    <row r="23" spans="1:25" x14ac:dyDescent="0.25">
      <c r="A23" s="2"/>
      <c r="B23" s="2"/>
      <c r="C23" s="2"/>
      <c r="D23" s="2"/>
      <c r="E23" s="2"/>
      <c r="F23" s="2"/>
      <c r="G23" s="2"/>
      <c r="H23" s="2"/>
      <c r="I23" s="2"/>
      <c r="J23" s="2"/>
      <c r="K23" s="2"/>
      <c r="L23" s="2"/>
      <c r="M23" s="2"/>
      <c r="N23" s="2"/>
      <c r="O23" s="2"/>
      <c r="P23" s="2"/>
      <c r="Q23" s="2"/>
      <c r="R23" s="2"/>
      <c r="S23" s="2"/>
      <c r="T23" s="2"/>
      <c r="U23" s="2"/>
      <c r="V23" s="2"/>
      <c r="W23" s="2"/>
      <c r="X23" s="2"/>
    </row>
    <row r="24" spans="1:25" ht="17.25" customHeight="1" thickBot="1" x14ac:dyDescent="0.3">
      <c r="A24" s="4" t="s">
        <v>29</v>
      </c>
      <c r="B24" s="62" t="s">
        <v>214</v>
      </c>
      <c r="C24" s="64"/>
      <c r="D24" s="63" t="s">
        <v>215</v>
      </c>
      <c r="E24" s="64"/>
      <c r="F24" s="62" t="s">
        <v>216</v>
      </c>
      <c r="G24" s="64"/>
      <c r="H24" s="63" t="s">
        <v>217</v>
      </c>
      <c r="I24" s="64"/>
      <c r="J24" s="62" t="s">
        <v>218</v>
      </c>
      <c r="K24" s="64"/>
      <c r="L24" s="63" t="s">
        <v>219</v>
      </c>
      <c r="M24" s="64"/>
      <c r="N24" s="62" t="s">
        <v>220</v>
      </c>
      <c r="O24" s="64"/>
      <c r="P24" s="63" t="s">
        <v>221</v>
      </c>
      <c r="Q24" s="64"/>
      <c r="R24" s="62" t="s">
        <v>222</v>
      </c>
      <c r="S24" s="64"/>
      <c r="T24" s="63" t="s">
        <v>223</v>
      </c>
      <c r="U24" s="64"/>
      <c r="V24" s="62" t="s">
        <v>224</v>
      </c>
      <c r="W24" s="64"/>
      <c r="X24" s="63" t="s">
        <v>225</v>
      </c>
    </row>
    <row r="25" spans="1:25" ht="15.75" thickTop="1" x14ac:dyDescent="0.25">
      <c r="A25" s="13" t="s">
        <v>186</v>
      </c>
      <c r="B25" s="10">
        <f>(('PROYECCION DE VENTAS'!C65+'PROYECCION DE VENTAS'!C67+'PROYECCION DE VENTAS'!C69)*'COSTOS VARIABLES'!$D$4)+(('PROYECCION DE VENTAS'!C66+'PROYECCION DE VENTAS'!C68+'PROYECCION DE VENTAS'!C70)*$D$5)</f>
        <v>24220</v>
      </c>
      <c r="C25" s="9"/>
      <c r="D25" s="10">
        <f>(('PROYECCION DE VENTAS'!E65+'PROYECCION DE VENTAS'!E67+'PROYECCION DE VENTAS'!E69)*'COSTOS VARIABLES'!$D$4)+(('PROYECCION DE VENTAS'!E66+'PROYECCION DE VENTAS'!E68+'PROYECCION DE VENTAS'!E70)*$D$5)</f>
        <v>9720</v>
      </c>
      <c r="E25" s="10"/>
      <c r="F25" s="10">
        <f>(('PROYECCION DE VENTAS'!G65+'PROYECCION DE VENTAS'!G67+'PROYECCION DE VENTAS'!G69)*'COSTOS VARIABLES'!$D$4)+(('PROYECCION DE VENTAS'!G66+'PROYECCION DE VENTAS'!G68+'PROYECCION DE VENTAS'!G70)*$D$5)</f>
        <v>9720</v>
      </c>
      <c r="G25" s="9"/>
      <c r="H25" s="10">
        <f>(('PROYECCION DE VENTAS'!I65+'PROYECCION DE VENTAS'!I67+'PROYECCION DE VENTAS'!I69)*'COSTOS VARIABLES'!$D$4)+(('PROYECCION DE VENTAS'!I66+'PROYECCION DE VENTAS'!I68+'PROYECCION DE VENTAS'!I70)*$D$5)</f>
        <v>27460</v>
      </c>
      <c r="I25" s="10"/>
      <c r="J25" s="10">
        <f>(('PROYECCION DE VENTAS'!K65+'PROYECCION DE VENTAS'!K67+'PROYECCION DE VENTAS'!K69)*'COSTOS VARIABLES'!$D$4)+(('PROYECCION DE VENTAS'!K66+'PROYECCION DE VENTAS'!K68+'PROYECCION DE VENTAS'!K70)*$D$5)</f>
        <v>12960</v>
      </c>
      <c r="K25" s="9"/>
      <c r="L25" s="10">
        <f>(('PROYECCION DE VENTAS'!M65+'PROYECCION DE VENTAS'!M67+'PROYECCION DE VENTAS'!M69)*'COSTOS VARIABLES'!$D$4)+(('PROYECCION DE VENTAS'!M66+'PROYECCION DE VENTAS'!M68+'PROYECCION DE VENTAS'!M70)*$D$5)</f>
        <v>12960</v>
      </c>
      <c r="M25" s="10"/>
      <c r="N25" s="10">
        <f>(('PROYECCION DE VENTAS'!O65+'PROYECCION DE VENTAS'!O67+'PROYECCION DE VENTAS'!O69)*'COSTOS VARIABLES'!$D$4)+(('PROYECCION DE VENTAS'!O66+'PROYECCION DE VENTAS'!O68+'PROYECCION DE VENTAS'!O70)*$D$5)</f>
        <v>12960</v>
      </c>
      <c r="O25" s="9"/>
      <c r="P25" s="10">
        <f>(('PROYECCION DE VENTAS'!Q65+'PROYECCION DE VENTAS'!Q67+'PROYECCION DE VENTAS'!Q69)*'COSTOS VARIABLES'!$D$4)+(('PROYECCION DE VENTAS'!Q66+'PROYECCION DE VENTAS'!Q68+'PROYECCION DE VENTAS'!Q70)*$D$5)</f>
        <v>30700</v>
      </c>
      <c r="Q25" s="10"/>
      <c r="R25" s="10">
        <f>(('PROYECCION DE VENTAS'!S65+'PROYECCION DE VENTAS'!S67+'PROYECCION DE VENTAS'!S69)*'COSTOS VARIABLES'!$D$4)+(('PROYECCION DE VENTAS'!S66+'PROYECCION DE VENTAS'!S68+'PROYECCION DE VENTAS'!S70)*$D$5)</f>
        <v>16200</v>
      </c>
      <c r="S25" s="9"/>
      <c r="T25" s="10">
        <f>(('PROYECCION DE VENTAS'!U65+'PROYECCION DE VENTAS'!U67+'PROYECCION DE VENTAS'!U69)*'COSTOS VARIABLES'!$D$4)+(('PROYECCION DE VENTAS'!U66+'PROYECCION DE VENTAS'!U68+'PROYECCION DE VENTAS'!U70)*$D$5)</f>
        <v>16200</v>
      </c>
      <c r="U25" s="10"/>
      <c r="V25" s="10">
        <f>(('PROYECCION DE VENTAS'!W65+'PROYECCION DE VENTAS'!W67+'PROYECCION DE VENTAS'!W69)*'COSTOS VARIABLES'!$D$4)+(('PROYECCION DE VENTAS'!W66+'PROYECCION DE VENTAS'!W68+'PROYECCION DE VENTAS'!W70)*$D$5)</f>
        <v>16200</v>
      </c>
      <c r="W25" s="9"/>
      <c r="X25" s="10">
        <f>(('PROYECCION DE VENTAS'!Y65+'PROYECCION DE VENTAS'!Y67+'PROYECCION DE VENTAS'!Y69)*'COSTOS VARIABLES'!$D$4)+(('PROYECCION DE VENTAS'!Y66+'PROYECCION DE VENTAS'!Y68+'PROYECCION DE VENTAS'!Y70)*$D$5)</f>
        <v>33940</v>
      </c>
    </row>
    <row r="26" spans="1:25" x14ac:dyDescent="0.25">
      <c r="A26" s="78" t="s">
        <v>226</v>
      </c>
      <c r="B26" s="79"/>
      <c r="C26" s="79"/>
      <c r="D26" s="79"/>
      <c r="E26" s="79"/>
      <c r="F26" s="79"/>
      <c r="G26" s="79"/>
      <c r="H26" s="79"/>
      <c r="I26" s="79"/>
      <c r="J26" s="79"/>
      <c r="K26" s="80"/>
      <c r="L26" s="79"/>
      <c r="M26" s="79"/>
      <c r="N26" s="79"/>
      <c r="O26" s="80"/>
      <c r="P26" s="79"/>
      <c r="Q26" s="79"/>
      <c r="R26" s="79"/>
      <c r="S26" s="80"/>
      <c r="T26" s="79"/>
      <c r="U26" s="79"/>
      <c r="V26" s="79"/>
      <c r="W26" s="80"/>
      <c r="X26" s="79"/>
    </row>
    <row r="27" spans="1:25" x14ac:dyDescent="0.25">
      <c r="A27" s="6" t="s">
        <v>27</v>
      </c>
      <c r="B27" s="8">
        <f>SUM(B25:B26)</f>
        <v>24220</v>
      </c>
      <c r="C27" s="7"/>
      <c r="D27" s="8">
        <f>SUM(D25:D26)</f>
        <v>9720</v>
      </c>
      <c r="E27" s="8"/>
      <c r="F27" s="8">
        <f>SUM(F25:F26)</f>
        <v>9720</v>
      </c>
      <c r="G27" s="7"/>
      <c r="H27" s="8">
        <f>SUM(H25:H26)</f>
        <v>27460</v>
      </c>
      <c r="I27" s="8"/>
      <c r="J27" s="8">
        <f>SUM(J25:J26)</f>
        <v>12960</v>
      </c>
      <c r="K27" s="7"/>
      <c r="L27" s="8">
        <f>SUM(L25:L26)</f>
        <v>12960</v>
      </c>
      <c r="M27" s="8"/>
      <c r="N27" s="8">
        <f>SUM(N25:N26)</f>
        <v>12960</v>
      </c>
      <c r="O27" s="7"/>
      <c r="P27" s="8">
        <f>SUM(P25:P26)</f>
        <v>30700</v>
      </c>
      <c r="Q27" s="8"/>
      <c r="R27" s="8">
        <f>SUM(R25:R26)</f>
        <v>16200</v>
      </c>
      <c r="S27" s="7"/>
      <c r="T27" s="8">
        <f>SUM(T25:T26)</f>
        <v>16200</v>
      </c>
      <c r="U27" s="8"/>
      <c r="V27" s="8">
        <f>SUM(V25:V26)</f>
        <v>16200</v>
      </c>
      <c r="W27" s="7"/>
      <c r="X27" s="8">
        <f>SUM(X25:X26)</f>
        <v>33940</v>
      </c>
      <c r="Y27" s="8">
        <f>SUM(B27:X27)</f>
        <v>223240</v>
      </c>
    </row>
    <row r="28" spans="1:25" hidden="1" x14ac:dyDescent="0.25">
      <c r="A28" s="6" t="s">
        <v>28</v>
      </c>
      <c r="B28" s="7">
        <f>SUM(B27)</f>
        <v>24220</v>
      </c>
      <c r="C28" s="7"/>
      <c r="D28" s="8">
        <f>SUM(D27)</f>
        <v>9720</v>
      </c>
      <c r="E28" s="8"/>
      <c r="F28" s="7">
        <f>SUM(B28,F27)</f>
        <v>33940</v>
      </c>
      <c r="G28" s="7"/>
      <c r="H28" s="8">
        <f>SUM(D28,H27)</f>
        <v>37180</v>
      </c>
      <c r="I28" s="8"/>
      <c r="J28" s="7">
        <f>SUM(F28,J27)</f>
        <v>46900</v>
      </c>
      <c r="K28" s="7"/>
      <c r="L28" s="8">
        <f>SUM(H28,L27)</f>
        <v>50140</v>
      </c>
      <c r="M28" s="8"/>
      <c r="N28" s="7">
        <f>SUM(J28,N27)</f>
        <v>59860</v>
      </c>
      <c r="O28" s="7"/>
      <c r="P28" s="8">
        <f>SUM(L28,P27)</f>
        <v>80840</v>
      </c>
      <c r="Q28" s="8"/>
      <c r="R28" s="7">
        <f>SUM(N28,R27)</f>
        <v>76060</v>
      </c>
      <c r="S28" s="7"/>
      <c r="T28" s="8">
        <f>SUM(P28,T27)</f>
        <v>97040</v>
      </c>
      <c r="U28" s="8"/>
      <c r="V28" s="7">
        <f>SUM(R28,V27)</f>
        <v>92260</v>
      </c>
      <c r="W28" s="7"/>
      <c r="X28" s="8">
        <f>SUM(T28,X27)</f>
        <v>130980</v>
      </c>
    </row>
    <row r="29" spans="1:25" hidden="1" x14ac:dyDescent="0.25">
      <c r="A29" s="2"/>
      <c r="B29" s="2"/>
      <c r="C29" s="2"/>
      <c r="D29" s="2"/>
      <c r="E29" s="2"/>
      <c r="F29" s="2"/>
      <c r="G29" s="2"/>
      <c r="H29" s="2"/>
      <c r="I29" s="2"/>
      <c r="J29" s="2"/>
      <c r="K29" s="2"/>
      <c r="L29" s="2"/>
      <c r="M29" s="2"/>
      <c r="N29" s="2"/>
      <c r="O29" s="2"/>
      <c r="P29" s="2"/>
      <c r="Q29" s="2"/>
      <c r="R29" s="2"/>
      <c r="S29" s="2"/>
      <c r="T29" s="2"/>
      <c r="U29" s="2"/>
      <c r="V29" s="2"/>
      <c r="W29" s="2"/>
      <c r="X29" s="2"/>
    </row>
    <row r="30" spans="1:25" hidden="1" x14ac:dyDescent="0.25">
      <c r="A30" s="2"/>
      <c r="B30" s="2"/>
      <c r="C30" s="2"/>
      <c r="D30" s="2"/>
      <c r="E30" s="2"/>
      <c r="F30" s="2"/>
      <c r="G30" s="2"/>
      <c r="H30" s="2"/>
      <c r="I30" s="2"/>
      <c r="J30" s="2"/>
      <c r="K30" s="2"/>
      <c r="L30" s="2"/>
      <c r="M30" s="2"/>
      <c r="N30" s="2"/>
      <c r="O30" s="2"/>
      <c r="P30" s="2"/>
      <c r="Q30" s="2"/>
      <c r="R30" s="2"/>
      <c r="S30" s="2"/>
      <c r="T30" s="2"/>
      <c r="U30" s="2"/>
      <c r="V30" s="2"/>
      <c r="W30" s="2"/>
      <c r="X30" s="2"/>
    </row>
    <row r="31" spans="1:25" hidden="1" x14ac:dyDescent="0.25">
      <c r="A31" s="2"/>
      <c r="B31" s="2"/>
      <c r="C31" s="2"/>
      <c r="D31" s="2"/>
      <c r="E31" s="2"/>
      <c r="F31" s="2"/>
      <c r="G31" s="2"/>
      <c r="H31" s="2"/>
      <c r="I31" s="2"/>
      <c r="J31" s="2"/>
      <c r="K31" s="2"/>
      <c r="L31" s="2"/>
      <c r="M31" s="2"/>
      <c r="N31" s="2"/>
      <c r="O31" s="2"/>
      <c r="P31" s="2"/>
      <c r="Q31" s="2"/>
      <c r="R31" s="2"/>
      <c r="S31" s="2"/>
      <c r="T31" s="2"/>
      <c r="U31" s="2"/>
      <c r="V31" s="2"/>
      <c r="W31" s="2"/>
      <c r="X31" s="2"/>
    </row>
    <row r="32" spans="1:25" hidden="1" x14ac:dyDescent="0.25">
      <c r="A32" s="2"/>
      <c r="B32" s="2"/>
      <c r="C32" s="2"/>
      <c r="D32" s="2"/>
      <c r="E32" s="2"/>
      <c r="F32" s="2"/>
      <c r="G32" s="2"/>
      <c r="H32" s="2"/>
      <c r="I32" s="2"/>
      <c r="J32" s="2"/>
      <c r="K32" s="2"/>
      <c r="L32" s="2"/>
      <c r="M32" s="2"/>
      <c r="N32" s="2"/>
      <c r="O32" s="2"/>
      <c r="P32" s="2"/>
      <c r="Q32" s="2"/>
      <c r="R32" s="2"/>
      <c r="S32" s="2"/>
      <c r="T32" s="2"/>
      <c r="U32" s="2"/>
      <c r="V32" s="2"/>
      <c r="W32" s="2"/>
      <c r="X32" s="2"/>
    </row>
    <row r="33" spans="1:25" hidden="1" x14ac:dyDescent="0.25">
      <c r="A33" s="2"/>
      <c r="B33" s="2"/>
      <c r="C33" s="2"/>
      <c r="D33" s="2"/>
      <c r="E33" s="2"/>
      <c r="F33" s="2"/>
      <c r="G33" s="2"/>
      <c r="H33" s="2"/>
      <c r="I33" s="2"/>
      <c r="J33" s="2"/>
      <c r="K33" s="2"/>
      <c r="L33" s="2"/>
      <c r="M33" s="2"/>
      <c r="N33" s="2"/>
      <c r="O33" s="2"/>
      <c r="P33" s="2"/>
      <c r="Q33" s="2"/>
      <c r="R33" s="2"/>
      <c r="S33" s="2"/>
      <c r="T33" s="2"/>
      <c r="U33" s="2"/>
      <c r="V33" s="2"/>
      <c r="W33" s="2"/>
      <c r="X33" s="2"/>
    </row>
    <row r="34" spans="1:25" hidden="1" x14ac:dyDescent="0.25">
      <c r="A34" s="2"/>
      <c r="B34" s="2"/>
      <c r="C34" s="2"/>
      <c r="D34" s="2"/>
      <c r="E34" s="2"/>
      <c r="F34" s="2"/>
      <c r="G34" s="2"/>
      <c r="H34" s="2"/>
      <c r="I34" s="2"/>
      <c r="J34" s="2"/>
      <c r="K34" s="2"/>
      <c r="L34" s="2"/>
      <c r="M34" s="2"/>
      <c r="N34" s="2"/>
      <c r="O34" s="2"/>
      <c r="P34" s="2"/>
      <c r="Q34" s="2"/>
      <c r="R34" s="2"/>
      <c r="S34" s="2"/>
      <c r="T34" s="2"/>
      <c r="U34" s="2"/>
      <c r="V34" s="2"/>
      <c r="W34" s="2"/>
      <c r="X34" s="2"/>
    </row>
    <row r="35" spans="1:25" x14ac:dyDescent="0.25">
      <c r="A35" s="2"/>
      <c r="B35" s="2"/>
      <c r="C35" s="2"/>
      <c r="D35" s="2"/>
      <c r="E35" s="2"/>
      <c r="F35" s="2"/>
      <c r="G35" s="2"/>
      <c r="H35" s="2"/>
      <c r="I35" s="2"/>
      <c r="J35" s="2"/>
      <c r="K35" s="2"/>
      <c r="L35" s="2"/>
      <c r="M35" s="2"/>
      <c r="N35" s="2"/>
      <c r="O35" s="2"/>
      <c r="P35" s="2"/>
      <c r="Q35" s="2"/>
      <c r="R35" s="2"/>
      <c r="S35" s="2"/>
      <c r="T35" s="2"/>
      <c r="U35" s="2"/>
      <c r="V35" s="2"/>
      <c r="W35" s="2"/>
      <c r="X35" s="2"/>
    </row>
    <row r="36" spans="1:25" ht="21" x14ac:dyDescent="0.35">
      <c r="A36" s="100" t="s">
        <v>31</v>
      </c>
      <c r="B36" s="100"/>
      <c r="C36" s="100"/>
      <c r="D36" s="100"/>
      <c r="E36" s="100"/>
      <c r="F36" s="100"/>
      <c r="G36" s="100"/>
      <c r="H36" s="100"/>
      <c r="I36" s="56"/>
      <c r="J36" s="2"/>
      <c r="K36" s="2"/>
      <c r="L36" s="2"/>
      <c r="M36" s="2"/>
      <c r="N36" s="2"/>
      <c r="O36" s="2"/>
      <c r="P36" s="2"/>
      <c r="Q36" s="2"/>
      <c r="R36" s="2"/>
      <c r="S36" s="2"/>
      <c r="T36" s="2"/>
      <c r="U36" s="2"/>
      <c r="V36" s="2"/>
      <c r="W36" s="2"/>
      <c r="X36" s="2"/>
    </row>
    <row r="37" spans="1:25" x14ac:dyDescent="0.25">
      <c r="A37" s="2"/>
      <c r="B37" s="2"/>
      <c r="C37" s="2"/>
      <c r="D37" s="2"/>
      <c r="E37" s="2"/>
      <c r="F37" s="2"/>
      <c r="G37" s="2"/>
      <c r="H37" s="2"/>
      <c r="I37" s="2"/>
      <c r="J37" s="2"/>
      <c r="K37" s="2"/>
      <c r="L37" s="2"/>
      <c r="M37" s="2"/>
      <c r="N37" s="2"/>
      <c r="O37" s="2"/>
      <c r="P37" s="2"/>
      <c r="Q37" s="2"/>
      <c r="R37" s="2"/>
      <c r="S37" s="2"/>
      <c r="T37" s="2"/>
      <c r="U37" s="2"/>
      <c r="V37" s="2"/>
      <c r="W37" s="2"/>
      <c r="X37" s="2"/>
    </row>
    <row r="38" spans="1:25" ht="17.25" customHeight="1" thickBot="1" x14ac:dyDescent="0.3">
      <c r="A38" s="4" t="s">
        <v>29</v>
      </c>
      <c r="B38" s="62" t="s">
        <v>214</v>
      </c>
      <c r="C38" s="64"/>
      <c r="D38" s="63" t="s">
        <v>215</v>
      </c>
      <c r="E38" s="64"/>
      <c r="F38" s="62" t="s">
        <v>216</v>
      </c>
      <c r="G38" s="64"/>
      <c r="H38" s="63" t="s">
        <v>217</v>
      </c>
      <c r="I38" s="64"/>
      <c r="J38" s="62" t="s">
        <v>218</v>
      </c>
      <c r="K38" s="64"/>
      <c r="L38" s="63" t="s">
        <v>219</v>
      </c>
      <c r="M38" s="64"/>
      <c r="N38" s="62" t="s">
        <v>220</v>
      </c>
      <c r="O38" s="64"/>
      <c r="P38" s="63" t="s">
        <v>221</v>
      </c>
      <c r="Q38" s="64"/>
      <c r="R38" s="62" t="s">
        <v>222</v>
      </c>
      <c r="S38" s="64"/>
      <c r="T38" s="63" t="s">
        <v>223</v>
      </c>
      <c r="U38" s="64"/>
      <c r="V38" s="62" t="s">
        <v>224</v>
      </c>
      <c r="W38" s="64"/>
      <c r="X38" s="63" t="s">
        <v>225</v>
      </c>
    </row>
    <row r="39" spans="1:25" ht="15.75" thickTop="1" x14ac:dyDescent="0.25">
      <c r="A39" s="13" t="s">
        <v>186</v>
      </c>
      <c r="B39" s="10">
        <f>(('PROYECCION DE VENTAS'!C79+'PROYECCION DE VENTAS'!C81+'PROYECCION DE VENTAS'!C83)*'COSTOS VARIABLES'!$D$4)+(('PROYECCION DE VENTAS'!C80+'PROYECCION DE VENTAS'!C82+'PROYECCION DE VENTAS'!C84)*$D$5)</f>
        <v>33940</v>
      </c>
      <c r="C39" s="9"/>
      <c r="D39" s="10">
        <f>(('PROYECCION DE VENTAS'!E79+'PROYECCION DE VENTAS'!E81+'PROYECCION DE VENTAS'!E83)*'COSTOS VARIABLES'!$D$4)+(('PROYECCION DE VENTAS'!E80+'PROYECCION DE VENTAS'!E82+'PROYECCION DE VENTAS'!E84)*$D$5)</f>
        <v>19440</v>
      </c>
      <c r="E39" s="10"/>
      <c r="F39" s="10">
        <f>(('PROYECCION DE VENTAS'!G79+'PROYECCION DE VENTAS'!G81+'PROYECCION DE VENTAS'!G83)*'COSTOS VARIABLES'!$D$4)+(('PROYECCION DE VENTAS'!G80+'PROYECCION DE VENTAS'!G82+'PROYECCION DE VENTAS'!G84)*$D$5)</f>
        <v>19440</v>
      </c>
      <c r="G39" s="9"/>
      <c r="H39" s="10">
        <f>(('PROYECCION DE VENTAS'!I79+'PROYECCION DE VENTAS'!I81+'PROYECCION DE VENTAS'!I83)*'COSTOS VARIABLES'!$D$4)+(('PROYECCION DE VENTAS'!I80+'PROYECCION DE VENTAS'!I82+'PROYECCION DE VENTAS'!I84)*$D$5)</f>
        <v>37180</v>
      </c>
      <c r="I39" s="10"/>
      <c r="J39" s="10">
        <f>(('PROYECCION DE VENTAS'!K79+'PROYECCION DE VENTAS'!K81+'PROYECCION DE VENTAS'!K83)*'COSTOS VARIABLES'!$D$4)+(('PROYECCION DE VENTAS'!K80+'PROYECCION DE VENTAS'!K82+'PROYECCION DE VENTAS'!K84)*$D$5)</f>
        <v>22680</v>
      </c>
      <c r="K39" s="9"/>
      <c r="L39" s="10">
        <f>(('PROYECCION DE VENTAS'!M79+'PROYECCION DE VENTAS'!M81+'PROYECCION DE VENTAS'!M83)*'COSTOS VARIABLES'!$D$4)+(('PROYECCION DE VENTAS'!M80+'PROYECCION DE VENTAS'!M82+'PROYECCION DE VENTAS'!M84)*$D$5)</f>
        <v>22680</v>
      </c>
      <c r="M39" s="10"/>
      <c r="N39" s="10">
        <f>(('PROYECCION DE VENTAS'!O79+'PROYECCION DE VENTAS'!O81+'PROYECCION DE VENTAS'!O83)*'COSTOS VARIABLES'!$D$4)+(('PROYECCION DE VENTAS'!O80+'PROYECCION DE VENTAS'!O82+'PROYECCION DE VENTAS'!O84)*$D$5)</f>
        <v>22680</v>
      </c>
      <c r="O39" s="9"/>
      <c r="P39" s="10">
        <f>(('PROYECCION DE VENTAS'!Q79+'PROYECCION DE VENTAS'!Q81+'PROYECCION DE VENTAS'!Q83)*'COSTOS VARIABLES'!$D$4)+(('PROYECCION DE VENTAS'!Q80+'PROYECCION DE VENTAS'!Q82+'PROYECCION DE VENTAS'!Q84)*$D$5)</f>
        <v>40420</v>
      </c>
      <c r="Q39" s="10"/>
      <c r="R39" s="10">
        <f>(('PROYECCION DE VENTAS'!S79+'PROYECCION DE VENTAS'!S81+'PROYECCION DE VENTAS'!S83)*'COSTOS VARIABLES'!$D$4)+(('PROYECCION DE VENTAS'!S80+'PROYECCION DE VENTAS'!S82+'PROYECCION DE VENTAS'!S84)*$D$5)</f>
        <v>25920</v>
      </c>
      <c r="S39" s="9"/>
      <c r="T39" s="10">
        <f>(('PROYECCION DE VENTAS'!U79+'PROYECCION DE VENTAS'!U81+'PROYECCION DE VENTAS'!U83)*'COSTOS VARIABLES'!$D$4)+(('PROYECCION DE VENTAS'!U80+'PROYECCION DE VENTAS'!U82+'PROYECCION DE VENTAS'!U84)*$D$5)</f>
        <v>25920</v>
      </c>
      <c r="U39" s="10"/>
      <c r="V39" s="10">
        <f>(('PROYECCION DE VENTAS'!W79+'PROYECCION DE VENTAS'!W81+'PROYECCION DE VENTAS'!W83)*'COSTOS VARIABLES'!$D$4)+(('PROYECCION DE VENTAS'!W80+'PROYECCION DE VENTAS'!W82+'PROYECCION DE VENTAS'!W84)*$D$5)</f>
        <v>25920</v>
      </c>
      <c r="W39" s="9"/>
      <c r="X39" s="10">
        <f>(('PROYECCION DE VENTAS'!Y79+'PROYECCION DE VENTAS'!Y81+'PROYECCION DE VENTAS'!Y83)*'COSTOS VARIABLES'!$D$4)+(('PROYECCION DE VENTAS'!Y80+'PROYECCION DE VENTAS'!Y82+'PROYECCION DE VENTAS'!Y84)*$D$5)</f>
        <v>43660</v>
      </c>
    </row>
    <row r="40" spans="1:25" x14ac:dyDescent="0.25">
      <c r="A40" s="78" t="s">
        <v>226</v>
      </c>
      <c r="B40" s="79"/>
      <c r="C40" s="79"/>
      <c r="D40" s="79"/>
      <c r="E40" s="79"/>
      <c r="F40" s="79"/>
      <c r="G40" s="79"/>
      <c r="H40" s="79"/>
      <c r="I40" s="79"/>
      <c r="J40" s="79"/>
      <c r="K40" s="80"/>
      <c r="L40" s="79"/>
      <c r="M40" s="79"/>
      <c r="N40" s="79"/>
      <c r="O40" s="80"/>
      <c r="P40" s="79"/>
      <c r="Q40" s="79"/>
      <c r="R40" s="79"/>
      <c r="S40" s="80"/>
      <c r="T40" s="79"/>
      <c r="U40" s="79"/>
      <c r="V40" s="79"/>
      <c r="W40" s="80"/>
      <c r="X40" s="79"/>
    </row>
    <row r="41" spans="1:25" x14ac:dyDescent="0.25">
      <c r="A41" s="6" t="s">
        <v>27</v>
      </c>
      <c r="B41" s="8">
        <f>SUM(B39:B40)</f>
        <v>33940</v>
      </c>
      <c r="C41" s="7"/>
      <c r="D41" s="8">
        <f>SUM(D39:D40)</f>
        <v>19440</v>
      </c>
      <c r="E41" s="8"/>
      <c r="F41" s="8">
        <f>SUM(F39:F40)</f>
        <v>19440</v>
      </c>
      <c r="G41" s="7"/>
      <c r="H41" s="8">
        <f>SUM(H39:H40)</f>
        <v>37180</v>
      </c>
      <c r="I41" s="8"/>
      <c r="J41" s="8">
        <f>SUM(J39:J40)</f>
        <v>22680</v>
      </c>
      <c r="K41" s="7"/>
      <c r="L41" s="8">
        <f>SUM(L39:L40)</f>
        <v>22680</v>
      </c>
      <c r="M41" s="8"/>
      <c r="N41" s="8">
        <f>SUM(N39:N40)</f>
        <v>22680</v>
      </c>
      <c r="O41" s="7"/>
      <c r="P41" s="8">
        <f>SUM(P39:P40)</f>
        <v>40420</v>
      </c>
      <c r="Q41" s="8"/>
      <c r="R41" s="8">
        <f>SUM(R39:R40)</f>
        <v>25920</v>
      </c>
      <c r="S41" s="7"/>
      <c r="T41" s="8">
        <f>SUM(T39:T40)</f>
        <v>25920</v>
      </c>
      <c r="U41" s="8"/>
      <c r="V41" s="8">
        <f>SUM(V39:V40)</f>
        <v>25920</v>
      </c>
      <c r="W41" s="7"/>
      <c r="X41" s="8">
        <f>SUM(X39:X40)</f>
        <v>43660</v>
      </c>
      <c r="Y41" s="8">
        <f>SUM(B41:X41)</f>
        <v>339880</v>
      </c>
    </row>
    <row r="42" spans="1:25" hidden="1" x14ac:dyDescent="0.25">
      <c r="A42" s="6" t="s">
        <v>28</v>
      </c>
      <c r="B42" s="7">
        <f>SUM(B41)</f>
        <v>33940</v>
      </c>
      <c r="C42" s="7"/>
      <c r="D42" s="8">
        <f>SUM(D41)</f>
        <v>19440</v>
      </c>
      <c r="E42" s="8"/>
      <c r="F42" s="7">
        <f>SUM(B42,F41)</f>
        <v>53380</v>
      </c>
      <c r="G42" s="7"/>
      <c r="H42" s="8">
        <f>SUM(D42,H41)</f>
        <v>56620</v>
      </c>
      <c r="I42" s="8"/>
      <c r="J42" s="7">
        <f>SUM(F42,J41)</f>
        <v>76060</v>
      </c>
      <c r="K42" s="7"/>
      <c r="L42" s="8">
        <f>SUM(H42,L41)</f>
        <v>79300</v>
      </c>
      <c r="M42" s="8"/>
      <c r="N42" s="7">
        <f>SUM(J42,N41)</f>
        <v>98740</v>
      </c>
      <c r="O42" s="7"/>
      <c r="P42" s="8">
        <f>SUM(L42,P41)</f>
        <v>119720</v>
      </c>
      <c r="Q42" s="8"/>
      <c r="R42" s="7">
        <f>SUM(N42,R41)</f>
        <v>124660</v>
      </c>
      <c r="S42" s="7"/>
      <c r="T42" s="8">
        <f>SUM(P42,T41)</f>
        <v>145640</v>
      </c>
      <c r="U42" s="8"/>
      <c r="V42" s="7">
        <f>SUM(R42,V41)</f>
        <v>150580</v>
      </c>
      <c r="W42" s="7"/>
      <c r="X42" s="8">
        <f>SUM(T42,X41)</f>
        <v>189300</v>
      </c>
    </row>
    <row r="43" spans="1:25" x14ac:dyDescent="0.25">
      <c r="A43" s="2"/>
      <c r="B43" s="2"/>
      <c r="C43" s="2"/>
      <c r="D43" s="2"/>
      <c r="E43" s="2"/>
      <c r="F43" s="2"/>
      <c r="G43" s="2"/>
      <c r="H43" s="2"/>
      <c r="I43" s="2"/>
      <c r="J43" s="2"/>
      <c r="K43" s="2"/>
      <c r="L43" s="2"/>
      <c r="M43" s="2"/>
      <c r="N43" s="2"/>
      <c r="O43" s="2"/>
      <c r="P43" s="2"/>
      <c r="Q43" s="2"/>
      <c r="R43" s="2"/>
      <c r="S43" s="2"/>
      <c r="T43" s="2"/>
      <c r="U43" s="2"/>
      <c r="V43" s="2"/>
      <c r="W43" s="2"/>
      <c r="X43" s="2"/>
    </row>
    <row r="44" spans="1:25" x14ac:dyDescent="0.25">
      <c r="A44" s="2"/>
      <c r="B44" s="2"/>
      <c r="C44" s="2"/>
      <c r="D44" s="2"/>
      <c r="E44" s="2"/>
      <c r="F44" s="2"/>
      <c r="G44" s="2"/>
      <c r="H44" s="2"/>
      <c r="I44" s="2"/>
      <c r="J44" s="2"/>
      <c r="K44" s="2"/>
      <c r="L44" s="2"/>
      <c r="M44" s="2"/>
      <c r="N44" s="2"/>
      <c r="O44" s="2"/>
      <c r="P44" s="2"/>
      <c r="Q44" s="2"/>
      <c r="R44" s="2"/>
      <c r="S44" s="2"/>
      <c r="T44" s="2"/>
      <c r="U44" s="2"/>
      <c r="V44" s="2"/>
      <c r="W44" s="2"/>
      <c r="X44" s="2"/>
    </row>
    <row r="45" spans="1:25" x14ac:dyDescent="0.25">
      <c r="A45" s="2"/>
      <c r="B45" s="2"/>
      <c r="C45" s="2"/>
      <c r="D45" s="2"/>
      <c r="E45" s="2"/>
      <c r="F45" s="2"/>
      <c r="G45" s="2"/>
      <c r="H45" s="2"/>
      <c r="I45" s="2"/>
      <c r="J45" s="2"/>
      <c r="K45" s="2"/>
      <c r="L45" s="2"/>
      <c r="M45" s="2"/>
      <c r="N45" s="2"/>
      <c r="O45" s="2"/>
      <c r="P45" s="2"/>
      <c r="Q45" s="2"/>
      <c r="R45" s="2"/>
      <c r="S45" s="2"/>
      <c r="T45" s="2"/>
      <c r="U45" s="2"/>
      <c r="V45" s="2"/>
      <c r="W45" s="2"/>
      <c r="X45" s="2"/>
    </row>
    <row r="46" spans="1:25" x14ac:dyDescent="0.25">
      <c r="A46" s="2"/>
      <c r="B46" s="2"/>
      <c r="C46" s="2"/>
      <c r="D46" s="2"/>
      <c r="E46" s="2"/>
      <c r="F46" s="2"/>
      <c r="G46" s="2"/>
      <c r="H46" s="2"/>
      <c r="I46" s="2"/>
      <c r="J46" s="2"/>
      <c r="K46" s="2"/>
      <c r="L46" s="2"/>
      <c r="M46" s="2"/>
      <c r="N46" s="2"/>
      <c r="O46" s="2"/>
      <c r="P46" s="2"/>
      <c r="Q46" s="2"/>
      <c r="R46" s="2"/>
      <c r="S46" s="2"/>
      <c r="T46" s="2"/>
      <c r="U46" s="2"/>
      <c r="V46" s="2"/>
      <c r="W46" s="2"/>
      <c r="X46" s="2"/>
    </row>
    <row r="47" spans="1:25" x14ac:dyDescent="0.25">
      <c r="A47" s="2"/>
      <c r="B47" s="2"/>
      <c r="C47" s="2"/>
      <c r="D47" s="2"/>
      <c r="E47" s="2"/>
      <c r="F47" s="2"/>
      <c r="G47" s="2"/>
      <c r="H47" s="2"/>
      <c r="I47" s="2"/>
      <c r="J47" s="2"/>
      <c r="K47" s="2"/>
      <c r="L47" s="2"/>
      <c r="M47" s="2"/>
      <c r="N47" s="2"/>
      <c r="O47" s="2"/>
      <c r="P47" s="2"/>
      <c r="Q47" s="2"/>
      <c r="R47" s="2"/>
      <c r="S47" s="2"/>
      <c r="T47" s="2"/>
      <c r="U47" s="2"/>
      <c r="V47" s="2"/>
      <c r="W47" s="2"/>
      <c r="X47" s="2"/>
    </row>
    <row r="48" spans="1:25" x14ac:dyDescent="0.25">
      <c r="A48" s="2"/>
      <c r="B48" s="2"/>
      <c r="C48" s="2"/>
      <c r="D48" s="2"/>
      <c r="E48" s="2"/>
      <c r="F48" s="2"/>
      <c r="G48" s="2"/>
      <c r="H48" s="2"/>
      <c r="I48" s="2"/>
      <c r="J48" s="2"/>
      <c r="K48" s="2"/>
      <c r="L48" s="2"/>
      <c r="M48" s="2"/>
      <c r="N48" s="2"/>
      <c r="O48" s="2"/>
      <c r="P48" s="2"/>
      <c r="Q48" s="2"/>
      <c r="R48" s="2"/>
      <c r="S48" s="2"/>
      <c r="T48" s="2"/>
      <c r="U48" s="2"/>
      <c r="V48" s="2"/>
      <c r="W48" s="2"/>
      <c r="X48" s="2"/>
    </row>
    <row r="49" spans="1:24" x14ac:dyDescent="0.25">
      <c r="A49" s="2"/>
      <c r="B49" s="2"/>
      <c r="C49" s="2"/>
      <c r="D49" s="2"/>
      <c r="E49" s="2"/>
      <c r="F49" s="2"/>
      <c r="G49" s="2"/>
      <c r="H49" s="2"/>
      <c r="I49" s="2"/>
      <c r="J49" s="2"/>
      <c r="K49" s="2"/>
      <c r="L49" s="2"/>
      <c r="M49" s="2"/>
      <c r="N49" s="2"/>
      <c r="O49" s="2"/>
      <c r="P49" s="2"/>
      <c r="Q49" s="2"/>
      <c r="R49" s="2"/>
      <c r="S49" s="2"/>
      <c r="T49" s="2"/>
      <c r="U49" s="2"/>
      <c r="V49" s="2"/>
      <c r="W49" s="2"/>
      <c r="X49" s="2"/>
    </row>
    <row r="50" spans="1:24" x14ac:dyDescent="0.25">
      <c r="A50" s="2"/>
      <c r="B50" s="2"/>
      <c r="C50" s="2"/>
      <c r="D50" s="2"/>
      <c r="E50" s="2"/>
      <c r="F50" s="2"/>
      <c r="G50" s="2"/>
      <c r="H50" s="2"/>
      <c r="I50" s="2"/>
      <c r="J50" s="2"/>
      <c r="K50" s="2"/>
      <c r="L50" s="2"/>
      <c r="M50" s="2"/>
      <c r="N50" s="2"/>
      <c r="O50" s="2"/>
      <c r="P50" s="2"/>
      <c r="Q50" s="2"/>
      <c r="R50" s="2"/>
      <c r="S50" s="2"/>
      <c r="T50" s="2"/>
      <c r="U50" s="2"/>
      <c r="V50" s="2"/>
      <c r="W50" s="2"/>
      <c r="X50" s="2"/>
    </row>
    <row r="51" spans="1:24" x14ac:dyDescent="0.25">
      <c r="A51" s="2"/>
      <c r="B51" s="2"/>
      <c r="C51" s="2"/>
      <c r="D51" s="2"/>
      <c r="E51" s="2"/>
      <c r="F51" s="2"/>
      <c r="G51" s="2"/>
      <c r="H51" s="2"/>
      <c r="I51" s="2"/>
      <c r="J51" s="2"/>
      <c r="K51" s="2"/>
      <c r="L51" s="2"/>
      <c r="M51" s="2"/>
      <c r="N51" s="2"/>
      <c r="O51" s="2"/>
      <c r="P51" s="2"/>
      <c r="Q51" s="2"/>
      <c r="R51" s="2"/>
      <c r="S51" s="2"/>
      <c r="T51" s="2"/>
      <c r="U51" s="2"/>
      <c r="V51" s="2"/>
      <c r="W51" s="2"/>
      <c r="X51" s="2"/>
    </row>
    <row r="52" spans="1:24" x14ac:dyDescent="0.25">
      <c r="A52" s="2"/>
      <c r="B52" s="2"/>
      <c r="C52" s="2"/>
      <c r="D52" s="2"/>
      <c r="E52" s="2"/>
      <c r="F52" s="2"/>
      <c r="G52" s="2"/>
      <c r="H52" s="2"/>
      <c r="I52" s="2"/>
      <c r="J52" s="2"/>
      <c r="K52" s="2"/>
      <c r="L52" s="2"/>
      <c r="M52" s="2"/>
      <c r="N52" s="2"/>
      <c r="O52" s="2"/>
      <c r="P52" s="2"/>
      <c r="Q52" s="2"/>
      <c r="R52" s="2"/>
      <c r="S52" s="2"/>
      <c r="T52" s="2"/>
      <c r="U52" s="2"/>
      <c r="V52" s="2"/>
      <c r="W52" s="2"/>
      <c r="X52" s="2"/>
    </row>
    <row r="53" spans="1:24" x14ac:dyDescent="0.25">
      <c r="A53" s="2"/>
      <c r="B53" s="2"/>
      <c r="C53" s="2"/>
      <c r="D53" s="2"/>
      <c r="E53" s="2"/>
      <c r="F53" s="2"/>
      <c r="G53" s="2"/>
      <c r="H53" s="2"/>
      <c r="I53" s="2"/>
      <c r="J53" s="2"/>
      <c r="K53" s="2"/>
      <c r="L53" s="2"/>
      <c r="M53" s="2"/>
      <c r="N53" s="2"/>
      <c r="O53" s="2"/>
      <c r="P53" s="2"/>
      <c r="Q53" s="2"/>
      <c r="R53" s="2"/>
      <c r="S53" s="2"/>
      <c r="T53" s="2"/>
      <c r="U53" s="2"/>
      <c r="V53" s="2"/>
      <c r="W53" s="2"/>
      <c r="X53" s="2"/>
    </row>
    <row r="54" spans="1:24" x14ac:dyDescent="0.25">
      <c r="A54" s="2"/>
      <c r="B54" s="2"/>
      <c r="C54" s="2"/>
      <c r="D54" s="2"/>
      <c r="E54" s="2"/>
      <c r="F54" s="2"/>
      <c r="G54" s="2"/>
      <c r="H54" s="2"/>
      <c r="I54" s="2"/>
      <c r="J54" s="2"/>
      <c r="K54" s="2"/>
      <c r="L54" s="2"/>
      <c r="M54" s="2"/>
      <c r="N54" s="2"/>
      <c r="O54" s="2"/>
      <c r="P54" s="2"/>
      <c r="Q54" s="2"/>
      <c r="R54" s="2"/>
      <c r="S54" s="2"/>
      <c r="T54" s="2"/>
      <c r="U54" s="2"/>
      <c r="V54" s="2"/>
      <c r="W54" s="2"/>
      <c r="X54" s="2"/>
    </row>
    <row r="55" spans="1:24" x14ac:dyDescent="0.25">
      <c r="A55" s="2"/>
      <c r="B55" s="2"/>
      <c r="C55" s="2"/>
      <c r="D55" s="2"/>
      <c r="E55" s="2"/>
      <c r="F55" s="2"/>
      <c r="G55" s="2"/>
      <c r="H55" s="2"/>
      <c r="I55" s="2"/>
      <c r="J55" s="2"/>
      <c r="K55" s="2"/>
      <c r="L55" s="2"/>
      <c r="M55" s="2"/>
      <c r="N55" s="2"/>
      <c r="O55" s="2"/>
      <c r="P55" s="2"/>
      <c r="Q55" s="2"/>
      <c r="R55" s="2"/>
      <c r="S55" s="2"/>
      <c r="T55" s="2"/>
      <c r="U55" s="2"/>
      <c r="V55" s="2"/>
      <c r="W55" s="2"/>
      <c r="X55" s="2"/>
    </row>
    <row r="56" spans="1:24" x14ac:dyDescent="0.25">
      <c r="A56" s="2"/>
      <c r="B56" s="2"/>
      <c r="C56" s="2"/>
      <c r="D56" s="2"/>
      <c r="E56" s="2"/>
      <c r="F56" s="2"/>
      <c r="G56" s="2"/>
      <c r="H56" s="2"/>
      <c r="I56" s="2"/>
      <c r="J56" s="2"/>
      <c r="K56" s="2"/>
      <c r="L56" s="2"/>
      <c r="M56" s="2"/>
      <c r="N56" s="2"/>
      <c r="O56" s="2"/>
      <c r="P56" s="2"/>
      <c r="Q56" s="2"/>
      <c r="R56" s="2"/>
      <c r="S56" s="2"/>
      <c r="T56" s="2"/>
      <c r="U56" s="2"/>
      <c r="V56" s="2"/>
      <c r="W56" s="2"/>
      <c r="X56" s="2"/>
    </row>
    <row r="57" spans="1:24" x14ac:dyDescent="0.25">
      <c r="A57" s="2"/>
      <c r="B57" s="2"/>
      <c r="C57" s="2"/>
      <c r="D57" s="2"/>
      <c r="E57" s="2"/>
      <c r="F57" s="2"/>
      <c r="G57" s="2"/>
      <c r="H57" s="2"/>
      <c r="I57" s="2"/>
      <c r="J57" s="2"/>
      <c r="K57" s="2"/>
      <c r="L57" s="2"/>
      <c r="M57" s="2"/>
      <c r="N57" s="2"/>
      <c r="O57" s="2"/>
      <c r="P57" s="2"/>
      <c r="Q57" s="2"/>
      <c r="R57" s="2"/>
      <c r="S57" s="2"/>
      <c r="T57" s="2"/>
      <c r="U57" s="2"/>
      <c r="V57" s="2"/>
      <c r="W57" s="2"/>
      <c r="X57" s="2"/>
    </row>
    <row r="58" spans="1:24" x14ac:dyDescent="0.25">
      <c r="A58" s="2"/>
      <c r="B58" s="2"/>
      <c r="C58" s="2"/>
      <c r="D58" s="2"/>
      <c r="E58" s="2"/>
      <c r="F58" s="2"/>
      <c r="G58" s="2"/>
      <c r="H58" s="2"/>
      <c r="I58" s="2"/>
      <c r="J58" s="2"/>
      <c r="K58" s="2"/>
      <c r="L58" s="2"/>
      <c r="M58" s="2"/>
      <c r="N58" s="2"/>
      <c r="O58" s="2"/>
      <c r="P58" s="2"/>
      <c r="Q58" s="2"/>
      <c r="R58" s="2"/>
      <c r="S58" s="2"/>
      <c r="T58" s="2"/>
      <c r="U58" s="2"/>
      <c r="V58" s="2"/>
      <c r="W58" s="2"/>
      <c r="X58" s="2"/>
    </row>
    <row r="59" spans="1:24" x14ac:dyDescent="0.25">
      <c r="A59" s="2"/>
      <c r="B59" s="2"/>
      <c r="C59" s="2"/>
      <c r="D59" s="2"/>
      <c r="E59" s="2"/>
      <c r="F59" s="2"/>
      <c r="G59" s="2"/>
      <c r="H59" s="2"/>
      <c r="I59" s="2"/>
      <c r="J59" s="2"/>
      <c r="K59" s="2"/>
      <c r="L59" s="2"/>
      <c r="M59" s="2"/>
      <c r="N59" s="2"/>
      <c r="O59" s="2"/>
      <c r="P59" s="2"/>
      <c r="Q59" s="2"/>
      <c r="R59" s="2"/>
      <c r="S59" s="2"/>
      <c r="T59" s="2"/>
      <c r="U59" s="2"/>
      <c r="V59" s="2"/>
      <c r="W59" s="2"/>
      <c r="X59" s="2"/>
    </row>
    <row r="60" spans="1:24" x14ac:dyDescent="0.25">
      <c r="A60" s="2"/>
      <c r="B60" s="2"/>
      <c r="C60" s="2"/>
      <c r="D60" s="2"/>
      <c r="E60" s="2"/>
      <c r="F60" s="2"/>
      <c r="G60" s="2"/>
      <c r="H60" s="2"/>
      <c r="I60" s="2"/>
      <c r="J60" s="2"/>
      <c r="K60" s="2"/>
      <c r="L60" s="2"/>
      <c r="M60" s="2"/>
      <c r="N60" s="2"/>
      <c r="O60" s="2"/>
      <c r="P60" s="2"/>
      <c r="Q60" s="2"/>
      <c r="R60" s="2"/>
      <c r="S60" s="2"/>
      <c r="T60" s="2"/>
      <c r="U60" s="2"/>
      <c r="V60" s="2"/>
      <c r="W60" s="2"/>
      <c r="X60" s="2"/>
    </row>
    <row r="61" spans="1:24" x14ac:dyDescent="0.25">
      <c r="A61" s="2"/>
      <c r="B61" s="2"/>
      <c r="C61" s="2"/>
      <c r="D61" s="2"/>
      <c r="E61" s="2"/>
      <c r="F61" s="2"/>
      <c r="G61" s="2"/>
      <c r="H61" s="2"/>
      <c r="I61" s="2"/>
      <c r="J61" s="2"/>
      <c r="K61" s="2"/>
      <c r="L61" s="2"/>
      <c r="M61" s="2"/>
      <c r="N61" s="2"/>
      <c r="O61" s="2"/>
      <c r="P61" s="2"/>
      <c r="Q61" s="2"/>
      <c r="R61" s="2"/>
      <c r="S61" s="2"/>
      <c r="T61" s="2"/>
      <c r="U61" s="2"/>
      <c r="V61" s="2"/>
      <c r="W61" s="2"/>
      <c r="X61" s="2"/>
    </row>
    <row r="62" spans="1:24" x14ac:dyDescent="0.25">
      <c r="A62" s="2"/>
      <c r="B62" s="2"/>
      <c r="C62" s="2"/>
      <c r="D62" s="2"/>
      <c r="E62" s="2"/>
      <c r="F62" s="2"/>
      <c r="G62" s="2"/>
      <c r="H62" s="2"/>
      <c r="I62" s="2"/>
      <c r="J62" s="2"/>
      <c r="K62" s="2"/>
      <c r="L62" s="2"/>
      <c r="M62" s="2"/>
      <c r="N62" s="2"/>
      <c r="O62" s="2"/>
      <c r="P62" s="2"/>
      <c r="Q62" s="2"/>
      <c r="R62" s="2"/>
      <c r="S62" s="2"/>
      <c r="T62" s="2"/>
      <c r="U62" s="2"/>
      <c r="V62" s="2"/>
      <c r="W62" s="2"/>
      <c r="X62" s="2"/>
    </row>
    <row r="63" spans="1:24" x14ac:dyDescent="0.25">
      <c r="A63" s="2"/>
      <c r="B63" s="2"/>
      <c r="C63" s="2"/>
      <c r="D63" s="2"/>
      <c r="E63" s="2"/>
      <c r="F63" s="2"/>
      <c r="G63" s="2"/>
      <c r="H63" s="2"/>
      <c r="I63" s="2"/>
      <c r="J63" s="2"/>
      <c r="K63" s="2"/>
      <c r="L63" s="2"/>
      <c r="M63" s="2"/>
      <c r="N63" s="2"/>
      <c r="O63" s="2"/>
      <c r="P63" s="2"/>
      <c r="Q63" s="2"/>
      <c r="R63" s="2"/>
      <c r="S63" s="2"/>
      <c r="T63" s="2"/>
      <c r="U63" s="2"/>
      <c r="V63" s="2"/>
      <c r="W63" s="2"/>
      <c r="X63" s="2"/>
    </row>
    <row r="64" spans="1:24" x14ac:dyDescent="0.25">
      <c r="A64" s="2"/>
      <c r="B64" s="2"/>
      <c r="C64" s="2"/>
      <c r="D64" s="2"/>
      <c r="E64" s="2"/>
      <c r="F64" s="2"/>
      <c r="G64" s="2"/>
      <c r="H64" s="2"/>
      <c r="I64" s="2"/>
      <c r="J64" s="2"/>
      <c r="K64" s="2"/>
      <c r="L64" s="2"/>
      <c r="M64" s="2"/>
      <c r="N64" s="2"/>
      <c r="O64" s="2"/>
      <c r="P64" s="2"/>
      <c r="Q64" s="2"/>
      <c r="R64" s="2"/>
      <c r="S64" s="2"/>
      <c r="T64" s="2"/>
      <c r="U64" s="2"/>
      <c r="V64" s="2"/>
      <c r="W64" s="2"/>
      <c r="X64" s="2"/>
    </row>
    <row r="65" spans="1:24" x14ac:dyDescent="0.25">
      <c r="A65" s="2"/>
      <c r="B65" s="2"/>
      <c r="C65" s="2"/>
      <c r="D65" s="2"/>
      <c r="E65" s="2"/>
      <c r="F65" s="2"/>
      <c r="G65" s="2"/>
      <c r="H65" s="2"/>
      <c r="I65" s="2"/>
      <c r="J65" s="2"/>
      <c r="K65" s="2"/>
      <c r="L65" s="2"/>
      <c r="M65" s="2"/>
      <c r="N65" s="2"/>
      <c r="O65" s="2"/>
      <c r="P65" s="2"/>
      <c r="Q65" s="2"/>
      <c r="R65" s="2"/>
      <c r="S65" s="2"/>
      <c r="T65" s="2"/>
      <c r="U65" s="2"/>
      <c r="V65" s="2"/>
      <c r="W65" s="2"/>
      <c r="X65" s="2"/>
    </row>
    <row r="66" spans="1:24" x14ac:dyDescent="0.25">
      <c r="A66" s="2"/>
      <c r="B66" s="2"/>
      <c r="C66" s="2"/>
      <c r="D66" s="2"/>
      <c r="E66" s="2"/>
      <c r="F66" s="2"/>
      <c r="G66" s="2"/>
      <c r="H66" s="2"/>
      <c r="I66" s="2"/>
      <c r="J66" s="2"/>
      <c r="K66" s="2"/>
      <c r="L66" s="2"/>
      <c r="M66" s="2"/>
      <c r="N66" s="2"/>
      <c r="O66" s="2"/>
      <c r="P66" s="2"/>
      <c r="Q66" s="2"/>
      <c r="R66" s="2"/>
      <c r="S66" s="2"/>
      <c r="T66" s="2"/>
      <c r="U66" s="2"/>
      <c r="V66" s="2"/>
      <c r="W66" s="2"/>
      <c r="X66" s="2"/>
    </row>
    <row r="67" spans="1:24" x14ac:dyDescent="0.25">
      <c r="A67" s="2"/>
      <c r="B67" s="2"/>
      <c r="C67" s="2"/>
      <c r="D67" s="2"/>
      <c r="E67" s="2"/>
      <c r="F67" s="2"/>
      <c r="G67" s="2"/>
      <c r="H67" s="2"/>
      <c r="I67" s="2"/>
      <c r="J67" s="2"/>
      <c r="K67" s="2"/>
      <c r="L67" s="2"/>
      <c r="M67" s="2"/>
      <c r="N67" s="2"/>
      <c r="O67" s="2"/>
      <c r="P67" s="2"/>
      <c r="Q67" s="2"/>
      <c r="R67" s="2"/>
      <c r="S67" s="2"/>
      <c r="T67" s="2"/>
      <c r="U67" s="2"/>
      <c r="V67" s="2"/>
      <c r="W67" s="2"/>
      <c r="X67" s="2"/>
    </row>
    <row r="68" spans="1:24" x14ac:dyDescent="0.25">
      <c r="A68" s="2"/>
      <c r="B68" s="2"/>
      <c r="C68" s="2"/>
      <c r="D68" s="2"/>
      <c r="E68" s="2"/>
      <c r="F68" s="2"/>
      <c r="G68" s="2"/>
      <c r="H68" s="2"/>
      <c r="I68" s="2"/>
      <c r="J68" s="2"/>
      <c r="K68" s="2"/>
      <c r="L68" s="2"/>
      <c r="M68" s="2"/>
      <c r="N68" s="2"/>
      <c r="O68" s="2"/>
      <c r="P68" s="2"/>
      <c r="Q68" s="2"/>
      <c r="R68" s="2"/>
      <c r="S68" s="2"/>
      <c r="T68" s="2"/>
      <c r="U68" s="2"/>
      <c r="V68" s="2"/>
      <c r="W68" s="2"/>
      <c r="X68" s="2"/>
    </row>
    <row r="69" spans="1:24" x14ac:dyDescent="0.25">
      <c r="A69" s="2"/>
      <c r="B69" s="2"/>
      <c r="C69" s="2"/>
      <c r="D69" s="2"/>
      <c r="E69" s="2"/>
      <c r="F69" s="2"/>
      <c r="G69" s="2"/>
      <c r="H69" s="2"/>
      <c r="I69" s="2"/>
      <c r="J69" s="2"/>
      <c r="K69" s="2"/>
      <c r="L69" s="2"/>
      <c r="M69" s="2"/>
      <c r="N69" s="2"/>
      <c r="O69" s="2"/>
      <c r="P69" s="2"/>
      <c r="Q69" s="2"/>
      <c r="R69" s="2"/>
      <c r="S69" s="2"/>
      <c r="T69" s="2"/>
      <c r="U69" s="2"/>
      <c r="V69" s="2"/>
      <c r="W69" s="2"/>
      <c r="X69" s="2"/>
    </row>
    <row r="70" spans="1:24" x14ac:dyDescent="0.25">
      <c r="A70" s="2"/>
      <c r="B70" s="2"/>
      <c r="C70" s="2"/>
      <c r="D70" s="2"/>
      <c r="E70" s="2"/>
      <c r="F70" s="2"/>
      <c r="G70" s="2"/>
      <c r="H70" s="2"/>
      <c r="I70" s="2"/>
      <c r="J70" s="2"/>
      <c r="K70" s="2"/>
      <c r="L70" s="2"/>
      <c r="M70" s="2"/>
      <c r="N70" s="2"/>
      <c r="O70" s="2"/>
      <c r="P70" s="2"/>
      <c r="Q70" s="2"/>
      <c r="R70" s="2"/>
      <c r="S70" s="2"/>
      <c r="T70" s="2"/>
      <c r="U70" s="2"/>
      <c r="V70" s="2"/>
      <c r="W70" s="2"/>
      <c r="X70" s="2"/>
    </row>
    <row r="71" spans="1:24" x14ac:dyDescent="0.25">
      <c r="A71" s="2"/>
      <c r="B71" s="2"/>
      <c r="C71" s="2"/>
      <c r="D71" s="2"/>
      <c r="E71" s="2"/>
      <c r="F71" s="2"/>
      <c r="G71" s="2"/>
      <c r="H71" s="2"/>
      <c r="I71" s="2"/>
      <c r="J71" s="2"/>
      <c r="K71" s="2"/>
      <c r="L71" s="2"/>
      <c r="M71" s="2"/>
      <c r="N71" s="2"/>
      <c r="O71" s="2"/>
      <c r="P71" s="2"/>
      <c r="Q71" s="2"/>
      <c r="R71" s="2"/>
      <c r="S71" s="2"/>
      <c r="T71" s="2"/>
      <c r="U71" s="2"/>
      <c r="V71" s="2"/>
      <c r="W71" s="2"/>
      <c r="X71" s="2"/>
    </row>
    <row r="72" spans="1:24" x14ac:dyDescent="0.25">
      <c r="A72" s="2"/>
      <c r="B72" s="2"/>
      <c r="C72" s="2"/>
      <c r="D72" s="2"/>
      <c r="E72" s="2"/>
      <c r="F72" s="2"/>
      <c r="G72" s="2"/>
      <c r="H72" s="2"/>
      <c r="I72" s="2"/>
      <c r="J72" s="2"/>
      <c r="K72" s="2"/>
      <c r="L72" s="2"/>
      <c r="M72" s="2"/>
      <c r="N72" s="2"/>
      <c r="O72" s="2"/>
      <c r="P72" s="2"/>
      <c r="Q72" s="2"/>
      <c r="R72" s="2"/>
      <c r="S72" s="2"/>
      <c r="T72" s="2"/>
      <c r="U72" s="2"/>
      <c r="V72" s="2"/>
      <c r="W72" s="2"/>
      <c r="X72" s="2"/>
    </row>
    <row r="73" spans="1:24" x14ac:dyDescent="0.25">
      <c r="A73" s="2"/>
      <c r="B73" s="2"/>
      <c r="C73" s="2"/>
      <c r="D73" s="2"/>
      <c r="E73" s="2"/>
      <c r="F73" s="2"/>
      <c r="G73" s="2"/>
      <c r="H73" s="2"/>
      <c r="I73" s="2"/>
      <c r="J73" s="2"/>
      <c r="K73" s="2"/>
      <c r="L73" s="2"/>
      <c r="M73" s="2"/>
      <c r="N73" s="2"/>
      <c r="O73" s="2"/>
      <c r="P73" s="2"/>
      <c r="Q73" s="2"/>
      <c r="R73" s="2"/>
      <c r="S73" s="2"/>
      <c r="T73" s="2"/>
      <c r="U73" s="2"/>
      <c r="V73" s="2"/>
      <c r="W73" s="2"/>
      <c r="X73" s="2"/>
    </row>
    <row r="74" spans="1:24" x14ac:dyDescent="0.25">
      <c r="A74" s="2"/>
      <c r="B74" s="2"/>
      <c r="C74" s="2"/>
      <c r="D74" s="2"/>
      <c r="E74" s="2"/>
      <c r="F74" s="2"/>
      <c r="G74" s="2"/>
      <c r="H74" s="2"/>
      <c r="I74" s="2"/>
      <c r="J74" s="2"/>
      <c r="K74" s="2"/>
      <c r="L74" s="2"/>
      <c r="M74" s="2"/>
      <c r="N74" s="2"/>
      <c r="O74" s="2"/>
      <c r="P74" s="2"/>
      <c r="Q74" s="2"/>
      <c r="R74" s="2"/>
      <c r="S74" s="2"/>
      <c r="T74" s="2"/>
      <c r="U74" s="2"/>
      <c r="V74" s="2"/>
      <c r="W74" s="2"/>
      <c r="X74" s="2"/>
    </row>
    <row r="75" spans="1:24" x14ac:dyDescent="0.25">
      <c r="A75" s="2"/>
      <c r="B75" s="2"/>
      <c r="C75" s="2"/>
      <c r="D75" s="2"/>
      <c r="E75" s="2"/>
      <c r="F75" s="2"/>
      <c r="G75" s="2"/>
      <c r="H75" s="2"/>
      <c r="I75" s="2"/>
      <c r="J75" s="2"/>
      <c r="K75" s="2"/>
      <c r="L75" s="2"/>
      <c r="M75" s="2"/>
      <c r="N75" s="2"/>
      <c r="O75" s="2"/>
      <c r="P75" s="2"/>
      <c r="Q75" s="2"/>
      <c r="R75" s="2"/>
      <c r="S75" s="2"/>
      <c r="T75" s="2"/>
      <c r="U75" s="2"/>
      <c r="V75" s="2"/>
      <c r="W75" s="2"/>
      <c r="X75" s="2"/>
    </row>
    <row r="76" spans="1:24" x14ac:dyDescent="0.25">
      <c r="A76" s="2"/>
      <c r="B76" s="2"/>
      <c r="C76" s="2"/>
      <c r="D76" s="2"/>
      <c r="E76" s="2"/>
      <c r="F76" s="2"/>
      <c r="G76" s="2"/>
      <c r="H76" s="2"/>
      <c r="I76" s="2"/>
      <c r="J76" s="2"/>
      <c r="K76" s="2"/>
      <c r="L76" s="2"/>
      <c r="M76" s="2"/>
      <c r="N76" s="2"/>
      <c r="O76" s="2"/>
      <c r="P76" s="2"/>
      <c r="Q76" s="2"/>
      <c r="R76" s="2"/>
      <c r="S76" s="2"/>
      <c r="T76" s="2"/>
      <c r="U76" s="2"/>
      <c r="V76" s="2"/>
      <c r="W76" s="2"/>
      <c r="X76" s="2"/>
    </row>
    <row r="77" spans="1:24" x14ac:dyDescent="0.25">
      <c r="A77" s="2"/>
      <c r="B77" s="2"/>
      <c r="C77" s="2"/>
      <c r="D77" s="2"/>
      <c r="E77" s="2"/>
      <c r="F77" s="2"/>
      <c r="G77" s="2"/>
      <c r="H77" s="2"/>
      <c r="I77" s="2"/>
      <c r="J77" s="2"/>
      <c r="K77" s="2"/>
      <c r="L77" s="2"/>
      <c r="M77" s="2"/>
      <c r="N77" s="2"/>
      <c r="O77" s="2"/>
      <c r="P77" s="2"/>
      <c r="Q77" s="2"/>
      <c r="R77" s="2"/>
      <c r="S77" s="2"/>
      <c r="T77" s="2"/>
      <c r="U77" s="2"/>
      <c r="V77" s="2"/>
      <c r="W77" s="2"/>
      <c r="X77" s="2"/>
    </row>
    <row r="78" spans="1:24" x14ac:dyDescent="0.25">
      <c r="A78" s="2"/>
      <c r="B78" s="2"/>
      <c r="C78" s="2"/>
      <c r="D78" s="2"/>
      <c r="E78" s="2"/>
      <c r="F78" s="2"/>
      <c r="G78" s="2"/>
      <c r="H78" s="2"/>
      <c r="I78" s="2"/>
      <c r="J78" s="2"/>
      <c r="K78" s="2"/>
      <c r="L78" s="2"/>
      <c r="M78" s="2"/>
      <c r="N78" s="2"/>
      <c r="O78" s="2"/>
      <c r="P78" s="2"/>
      <c r="Q78" s="2"/>
      <c r="R78" s="2"/>
      <c r="S78" s="2"/>
      <c r="T78" s="2"/>
      <c r="U78" s="2"/>
      <c r="V78" s="2"/>
      <c r="W78" s="2"/>
      <c r="X78" s="2"/>
    </row>
    <row r="79" spans="1:24" x14ac:dyDescent="0.25">
      <c r="A79" s="2"/>
      <c r="B79" s="2"/>
      <c r="C79" s="2"/>
      <c r="D79" s="2"/>
      <c r="E79" s="2"/>
      <c r="F79" s="2"/>
      <c r="G79" s="2"/>
      <c r="H79" s="2"/>
      <c r="I79" s="2"/>
      <c r="J79" s="2"/>
      <c r="K79" s="2"/>
      <c r="L79" s="2"/>
      <c r="M79" s="2"/>
      <c r="N79" s="2"/>
      <c r="O79" s="2"/>
      <c r="P79" s="2"/>
      <c r="Q79" s="2"/>
      <c r="R79" s="2"/>
      <c r="S79" s="2"/>
      <c r="T79" s="2"/>
      <c r="U79" s="2"/>
      <c r="V79" s="2"/>
      <c r="W79" s="2"/>
      <c r="X79" s="2"/>
    </row>
    <row r="80" spans="1:24" x14ac:dyDescent="0.25">
      <c r="A80" s="2"/>
      <c r="B80" s="2"/>
      <c r="C80" s="2"/>
      <c r="D80" s="2"/>
      <c r="E80" s="2"/>
      <c r="F80" s="2"/>
      <c r="G80" s="2"/>
      <c r="H80" s="2"/>
      <c r="I80" s="2"/>
      <c r="J80" s="2"/>
      <c r="K80" s="2"/>
      <c r="L80" s="2"/>
      <c r="M80" s="2"/>
      <c r="N80" s="2"/>
      <c r="O80" s="2"/>
      <c r="P80" s="2"/>
      <c r="Q80" s="2"/>
      <c r="R80" s="2"/>
      <c r="S80" s="2"/>
      <c r="T80" s="2"/>
      <c r="U80" s="2"/>
      <c r="V80" s="2"/>
      <c r="W80" s="2"/>
      <c r="X80" s="2"/>
    </row>
    <row r="81" spans="1:24" x14ac:dyDescent="0.25">
      <c r="A81" s="2"/>
      <c r="B81" s="2"/>
      <c r="C81" s="2"/>
      <c r="D81" s="2"/>
      <c r="E81" s="2"/>
      <c r="F81" s="2"/>
      <c r="G81" s="2"/>
      <c r="H81" s="2"/>
      <c r="I81" s="2"/>
      <c r="J81" s="2"/>
      <c r="K81" s="2"/>
      <c r="L81" s="2"/>
      <c r="M81" s="2"/>
      <c r="N81" s="2"/>
      <c r="O81" s="2"/>
      <c r="P81" s="2"/>
      <c r="Q81" s="2"/>
      <c r="R81" s="2"/>
      <c r="S81" s="2"/>
      <c r="T81" s="2"/>
      <c r="U81" s="2"/>
      <c r="V81" s="2"/>
      <c r="W81" s="2"/>
      <c r="X81" s="2"/>
    </row>
    <row r="82" spans="1:24" x14ac:dyDescent="0.25">
      <c r="A82" s="2"/>
      <c r="B82" s="2"/>
      <c r="C82" s="2"/>
      <c r="D82" s="2"/>
      <c r="E82" s="2"/>
      <c r="F82" s="2"/>
      <c r="G82" s="2"/>
      <c r="H82" s="2"/>
      <c r="I82" s="2"/>
      <c r="J82" s="2"/>
      <c r="K82" s="2"/>
      <c r="L82" s="2"/>
      <c r="M82" s="2"/>
      <c r="N82" s="2"/>
      <c r="O82" s="2"/>
      <c r="P82" s="2"/>
      <c r="Q82" s="2"/>
      <c r="R82" s="2"/>
      <c r="S82" s="2"/>
      <c r="T82" s="2"/>
      <c r="U82" s="2"/>
      <c r="V82" s="2"/>
      <c r="W82" s="2"/>
      <c r="X82" s="2"/>
    </row>
    <row r="83" spans="1:24" x14ac:dyDescent="0.25">
      <c r="A83" s="2"/>
      <c r="B83" s="2"/>
      <c r="C83" s="2"/>
      <c r="D83" s="2"/>
      <c r="E83" s="2"/>
      <c r="F83" s="2"/>
      <c r="G83" s="2"/>
      <c r="H83" s="2"/>
      <c r="I83" s="2"/>
      <c r="J83" s="2"/>
      <c r="K83" s="2"/>
      <c r="L83" s="2"/>
      <c r="M83" s="2"/>
      <c r="N83" s="2"/>
      <c r="O83" s="2"/>
      <c r="P83" s="2"/>
      <c r="Q83" s="2"/>
      <c r="R83" s="2"/>
      <c r="S83" s="2"/>
      <c r="T83" s="2"/>
      <c r="U83" s="2"/>
      <c r="V83" s="2"/>
      <c r="W83" s="2"/>
      <c r="X83" s="2"/>
    </row>
    <row r="84" spans="1:24" x14ac:dyDescent="0.25">
      <c r="A84" s="2"/>
      <c r="B84" s="2"/>
      <c r="C84" s="2"/>
      <c r="D84" s="2"/>
      <c r="E84" s="2"/>
      <c r="F84" s="2"/>
      <c r="G84" s="2"/>
      <c r="H84" s="2"/>
      <c r="I84" s="2"/>
      <c r="J84" s="2"/>
      <c r="K84" s="2"/>
      <c r="L84" s="2"/>
      <c r="M84" s="2"/>
      <c r="N84" s="2"/>
      <c r="O84" s="2"/>
      <c r="P84" s="2"/>
      <c r="Q84" s="2"/>
      <c r="R84" s="2"/>
      <c r="S84" s="2"/>
      <c r="T84" s="2"/>
      <c r="U84" s="2"/>
      <c r="V84" s="2"/>
      <c r="W84" s="2"/>
      <c r="X84" s="2"/>
    </row>
    <row r="85" spans="1:24" x14ac:dyDescent="0.25">
      <c r="A85" s="2"/>
      <c r="B85" s="2"/>
      <c r="C85" s="2"/>
      <c r="D85" s="2"/>
      <c r="E85" s="2"/>
      <c r="F85" s="2"/>
      <c r="G85" s="2"/>
      <c r="H85" s="2"/>
      <c r="I85" s="2"/>
      <c r="J85" s="2"/>
      <c r="K85" s="2"/>
      <c r="L85" s="2"/>
      <c r="M85" s="2"/>
      <c r="N85" s="2"/>
      <c r="O85" s="2"/>
      <c r="P85" s="2"/>
      <c r="Q85" s="2"/>
      <c r="R85" s="2"/>
      <c r="S85" s="2"/>
      <c r="T85" s="2"/>
      <c r="U85" s="2"/>
      <c r="V85" s="2"/>
      <c r="W85" s="2"/>
      <c r="X85" s="2"/>
    </row>
    <row r="86" spans="1:24" x14ac:dyDescent="0.25">
      <c r="A86" s="2"/>
      <c r="B86" s="2"/>
      <c r="C86" s="2"/>
      <c r="D86" s="2"/>
      <c r="E86" s="2"/>
      <c r="F86" s="2"/>
      <c r="G86" s="2"/>
      <c r="H86" s="2"/>
      <c r="I86" s="2"/>
      <c r="J86" s="2"/>
      <c r="K86" s="2"/>
      <c r="L86" s="2"/>
      <c r="M86" s="2"/>
      <c r="N86" s="2"/>
      <c r="O86" s="2"/>
      <c r="P86" s="2"/>
      <c r="Q86" s="2"/>
      <c r="R86" s="2"/>
      <c r="S86" s="2"/>
      <c r="T86" s="2"/>
      <c r="U86" s="2"/>
      <c r="V86" s="2"/>
      <c r="W86" s="2"/>
      <c r="X86" s="2"/>
    </row>
    <row r="87" spans="1:24" x14ac:dyDescent="0.25">
      <c r="A87" s="2"/>
      <c r="B87" s="2"/>
      <c r="C87" s="2"/>
      <c r="D87" s="2"/>
      <c r="E87" s="2"/>
      <c r="F87" s="2"/>
      <c r="G87" s="2"/>
      <c r="H87" s="2"/>
      <c r="I87" s="2"/>
      <c r="J87" s="2"/>
      <c r="K87" s="2"/>
      <c r="L87" s="2"/>
      <c r="M87" s="2"/>
      <c r="N87" s="2"/>
      <c r="O87" s="2"/>
      <c r="P87" s="2"/>
      <c r="Q87" s="2"/>
      <c r="R87" s="2"/>
      <c r="S87" s="2"/>
      <c r="T87" s="2"/>
      <c r="U87" s="2"/>
      <c r="V87" s="2"/>
      <c r="W87" s="2"/>
      <c r="X87" s="2"/>
    </row>
    <row r="88" spans="1:24" x14ac:dyDescent="0.25">
      <c r="A88" s="2"/>
      <c r="B88" s="2"/>
      <c r="C88" s="2"/>
      <c r="D88" s="2"/>
      <c r="E88" s="2"/>
      <c r="F88" s="2"/>
      <c r="G88" s="2"/>
      <c r="H88" s="2"/>
      <c r="I88" s="2"/>
      <c r="J88" s="2"/>
      <c r="K88" s="2"/>
      <c r="L88" s="2"/>
      <c r="M88" s="2"/>
      <c r="N88" s="2"/>
      <c r="O88" s="2"/>
      <c r="P88" s="2"/>
      <c r="Q88" s="2"/>
      <c r="R88" s="2"/>
      <c r="S88" s="2"/>
      <c r="T88" s="2"/>
      <c r="U88" s="2"/>
      <c r="V88" s="2"/>
      <c r="W88" s="2"/>
      <c r="X88" s="2"/>
    </row>
    <row r="89" spans="1:24" x14ac:dyDescent="0.25">
      <c r="A89" s="2"/>
      <c r="B89" s="2"/>
      <c r="C89" s="2"/>
      <c r="D89" s="2"/>
      <c r="E89" s="2"/>
      <c r="F89" s="2"/>
      <c r="G89" s="2"/>
      <c r="H89" s="2"/>
      <c r="I89" s="2"/>
      <c r="J89" s="2"/>
      <c r="K89" s="2"/>
      <c r="L89" s="2"/>
      <c r="M89" s="2"/>
      <c r="N89" s="2"/>
      <c r="O89" s="2"/>
      <c r="P89" s="2"/>
      <c r="Q89" s="2"/>
      <c r="R89" s="2"/>
      <c r="S89" s="2"/>
      <c r="T89" s="2"/>
      <c r="U89" s="2"/>
      <c r="V89" s="2"/>
      <c r="W89" s="2"/>
      <c r="X89" s="2"/>
    </row>
    <row r="90" spans="1:24" x14ac:dyDescent="0.25">
      <c r="A90" s="2"/>
      <c r="B90" s="2"/>
      <c r="C90" s="2"/>
      <c r="D90" s="2"/>
      <c r="E90" s="2"/>
      <c r="F90" s="2"/>
      <c r="G90" s="2"/>
      <c r="H90" s="2"/>
      <c r="I90" s="2"/>
      <c r="J90" s="2"/>
      <c r="K90" s="2"/>
      <c r="L90" s="2"/>
      <c r="M90" s="2"/>
      <c r="N90" s="2"/>
      <c r="O90" s="2"/>
      <c r="P90" s="2"/>
      <c r="Q90" s="2"/>
      <c r="R90" s="2"/>
      <c r="S90" s="2"/>
      <c r="T90" s="2"/>
      <c r="U90" s="2"/>
      <c r="V90" s="2"/>
      <c r="W90" s="2"/>
      <c r="X90" s="2"/>
    </row>
    <row r="91" spans="1:24" x14ac:dyDescent="0.25">
      <c r="A91" s="2"/>
      <c r="B91" s="2"/>
      <c r="C91" s="2"/>
      <c r="D91" s="2"/>
      <c r="E91" s="2"/>
      <c r="F91" s="2"/>
      <c r="G91" s="2"/>
      <c r="H91" s="2"/>
      <c r="I91" s="2"/>
      <c r="J91" s="2"/>
      <c r="K91" s="2"/>
      <c r="L91" s="2"/>
      <c r="M91" s="2"/>
      <c r="N91" s="2"/>
      <c r="O91" s="2"/>
      <c r="P91" s="2"/>
      <c r="Q91" s="2"/>
      <c r="R91" s="2"/>
      <c r="S91" s="2"/>
      <c r="T91" s="2"/>
      <c r="U91" s="2"/>
      <c r="V91" s="2"/>
      <c r="W91" s="2"/>
      <c r="X91" s="2"/>
    </row>
    <row r="92" spans="1:24" x14ac:dyDescent="0.25">
      <c r="A92" s="2"/>
      <c r="B92" s="2"/>
      <c r="C92" s="2"/>
      <c r="D92" s="2"/>
      <c r="E92" s="2"/>
      <c r="F92" s="2"/>
      <c r="G92" s="2"/>
      <c r="H92" s="2"/>
      <c r="I92" s="2"/>
      <c r="J92" s="2"/>
      <c r="K92" s="2"/>
      <c r="L92" s="2"/>
      <c r="M92" s="2"/>
      <c r="N92" s="2"/>
      <c r="O92" s="2"/>
      <c r="P92" s="2"/>
      <c r="Q92" s="2"/>
      <c r="R92" s="2"/>
      <c r="S92" s="2"/>
      <c r="T92" s="2"/>
      <c r="U92" s="2"/>
      <c r="V92" s="2"/>
      <c r="W92" s="2"/>
      <c r="X92" s="2"/>
    </row>
    <row r="93" spans="1:24" x14ac:dyDescent="0.25">
      <c r="A93" s="2"/>
      <c r="B93" s="2"/>
      <c r="C93" s="2"/>
      <c r="D93" s="2"/>
      <c r="E93" s="2"/>
      <c r="F93" s="2"/>
      <c r="G93" s="2"/>
      <c r="H93" s="2"/>
      <c r="I93" s="2"/>
      <c r="J93" s="2"/>
      <c r="K93" s="2"/>
      <c r="L93" s="2"/>
      <c r="M93" s="2"/>
      <c r="N93" s="2"/>
      <c r="O93" s="2"/>
      <c r="P93" s="2"/>
      <c r="Q93" s="2"/>
      <c r="R93" s="2"/>
      <c r="S93" s="2"/>
      <c r="T93" s="2"/>
      <c r="U93" s="2"/>
      <c r="V93" s="2"/>
      <c r="W93" s="2"/>
      <c r="X93" s="2"/>
    </row>
    <row r="94" spans="1:24" x14ac:dyDescent="0.25">
      <c r="A94" s="2"/>
      <c r="B94" s="2"/>
      <c r="C94" s="2"/>
      <c r="D94" s="2"/>
      <c r="E94" s="2"/>
      <c r="F94" s="2"/>
      <c r="G94" s="2"/>
      <c r="H94" s="2"/>
      <c r="I94" s="2"/>
      <c r="J94" s="2"/>
      <c r="K94" s="2"/>
      <c r="L94" s="2"/>
      <c r="M94" s="2"/>
      <c r="N94" s="2"/>
      <c r="O94" s="2"/>
      <c r="P94" s="2"/>
      <c r="Q94" s="2"/>
      <c r="R94" s="2"/>
      <c r="S94" s="2"/>
      <c r="T94" s="2"/>
      <c r="U94" s="2"/>
      <c r="V94" s="2"/>
      <c r="W94" s="2"/>
      <c r="X94" s="2"/>
    </row>
    <row r="95" spans="1:24" x14ac:dyDescent="0.25">
      <c r="A95" s="2"/>
      <c r="B95" s="2"/>
      <c r="C95" s="2"/>
      <c r="D95" s="2"/>
      <c r="E95" s="2"/>
      <c r="F95" s="2"/>
      <c r="G95" s="2"/>
      <c r="H95" s="2"/>
      <c r="I95" s="2"/>
      <c r="J95" s="2"/>
      <c r="K95" s="2"/>
      <c r="L95" s="2"/>
      <c r="M95" s="2"/>
      <c r="N95" s="2"/>
      <c r="O95" s="2"/>
      <c r="P95" s="2"/>
      <c r="Q95" s="2"/>
      <c r="R95" s="2"/>
      <c r="S95" s="2"/>
      <c r="T95" s="2"/>
      <c r="U95" s="2"/>
      <c r="V95" s="2"/>
      <c r="W95" s="2"/>
      <c r="X95" s="2"/>
    </row>
    <row r="96" spans="1:24" x14ac:dyDescent="0.25">
      <c r="A96" s="2"/>
      <c r="B96" s="2"/>
      <c r="C96" s="2"/>
      <c r="D96" s="2"/>
      <c r="E96" s="2"/>
      <c r="F96" s="2"/>
      <c r="G96" s="2"/>
      <c r="H96" s="2"/>
      <c r="I96" s="2"/>
      <c r="J96" s="2"/>
      <c r="K96" s="2"/>
      <c r="L96" s="2"/>
      <c r="M96" s="2"/>
      <c r="N96" s="2"/>
      <c r="O96" s="2"/>
      <c r="P96" s="2"/>
      <c r="Q96" s="2"/>
      <c r="R96" s="2"/>
      <c r="S96" s="2"/>
      <c r="T96" s="2"/>
      <c r="U96" s="2"/>
      <c r="V96" s="2"/>
      <c r="W96" s="2"/>
      <c r="X96" s="2"/>
    </row>
    <row r="97" spans="1:24" x14ac:dyDescent="0.25">
      <c r="A97" s="2"/>
      <c r="B97" s="2"/>
      <c r="C97" s="2"/>
      <c r="D97" s="2"/>
      <c r="E97" s="2"/>
      <c r="F97" s="2"/>
      <c r="G97" s="2"/>
      <c r="H97" s="2"/>
      <c r="I97" s="2"/>
      <c r="J97" s="2"/>
      <c r="K97" s="2"/>
      <c r="L97" s="2"/>
      <c r="M97" s="2"/>
      <c r="N97" s="2"/>
      <c r="O97" s="2"/>
      <c r="P97" s="2"/>
      <c r="Q97" s="2"/>
      <c r="R97" s="2"/>
      <c r="S97" s="2"/>
      <c r="T97" s="2"/>
      <c r="U97" s="2"/>
      <c r="V97" s="2"/>
      <c r="W97" s="2"/>
      <c r="X97" s="2"/>
    </row>
    <row r="98" spans="1:24" x14ac:dyDescent="0.25">
      <c r="A98" s="2"/>
      <c r="B98" s="2"/>
      <c r="C98" s="2"/>
      <c r="D98" s="2"/>
      <c r="E98" s="2"/>
      <c r="F98" s="2"/>
      <c r="G98" s="2"/>
      <c r="H98" s="2"/>
      <c r="I98" s="2"/>
      <c r="J98" s="2"/>
      <c r="K98" s="2"/>
      <c r="L98" s="2"/>
      <c r="M98" s="2"/>
      <c r="N98" s="2"/>
      <c r="O98" s="2"/>
      <c r="P98" s="2"/>
      <c r="Q98" s="2"/>
      <c r="R98" s="2"/>
      <c r="S98" s="2"/>
      <c r="T98" s="2"/>
      <c r="U98" s="2"/>
      <c r="V98" s="2"/>
      <c r="W98" s="2"/>
      <c r="X98" s="2"/>
    </row>
    <row r="99" spans="1:24" x14ac:dyDescent="0.25">
      <c r="A99" s="2"/>
      <c r="B99" s="2"/>
      <c r="C99" s="2"/>
      <c r="D99" s="2"/>
      <c r="E99" s="2"/>
      <c r="F99" s="2"/>
      <c r="G99" s="2"/>
      <c r="H99" s="2"/>
      <c r="I99" s="2"/>
      <c r="J99" s="2"/>
      <c r="K99" s="2"/>
      <c r="L99" s="2"/>
      <c r="M99" s="2"/>
      <c r="N99" s="2"/>
      <c r="O99" s="2"/>
      <c r="P99" s="2"/>
      <c r="Q99" s="2"/>
      <c r="R99" s="2"/>
      <c r="S99" s="2"/>
      <c r="T99" s="2"/>
      <c r="U99" s="2"/>
      <c r="V99" s="2"/>
      <c r="W99" s="2"/>
      <c r="X99" s="2"/>
    </row>
    <row r="100" spans="1:24"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row>
    <row r="101" spans="1:24"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row>
    <row r="102" spans="1:24"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row>
    <row r="103" spans="1:24"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row>
    <row r="104" spans="1:24"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row>
    <row r="105" spans="1:24"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row>
    <row r="106" spans="1:24"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row>
    <row r="107" spans="1:24"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row>
    <row r="108" spans="1:24"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row>
    <row r="109" spans="1:24"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row>
    <row r="110" spans="1:24"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row>
    <row r="111" spans="1:24"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row>
    <row r="112" spans="1:24"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row>
    <row r="113" spans="1:24"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row>
    <row r="114" spans="1:24"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row>
    <row r="115" spans="1:24"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row>
    <row r="116" spans="1:24"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row>
    <row r="117" spans="1:24"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row>
    <row r="118" spans="1:24"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row>
    <row r="119" spans="1:24"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row>
    <row r="120" spans="1:24"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row>
    <row r="121" spans="1:24"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row>
    <row r="122" spans="1:24"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row>
    <row r="123" spans="1:24"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row>
    <row r="124" spans="1:24"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row>
    <row r="125" spans="1:24"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row>
    <row r="126" spans="1:24"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row>
    <row r="127" spans="1:24"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row>
    <row r="128" spans="1:24"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row>
    <row r="129" spans="1:24"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row>
    <row r="130" spans="1:24"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row>
    <row r="131" spans="1:24"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row>
  </sheetData>
  <mergeCells count="7">
    <mergeCell ref="A1:Y1"/>
    <mergeCell ref="A36:H36"/>
    <mergeCell ref="A8:H8"/>
    <mergeCell ref="A3:B3"/>
    <mergeCell ref="A4:B4"/>
    <mergeCell ref="A5:B5"/>
    <mergeCell ref="A22:H22"/>
  </mergeCells>
  <pageMargins left="0.23622047244094491" right="0.23622047244094491" top="0.9055118110236221" bottom="0.47244094488188981" header="0.31496062992125984" footer="0.31496062992125984"/>
  <pageSetup paperSize="9" scale="40" fitToHeight="0" orientation="landscape" r:id="rId1"/>
  <headerFooter>
    <oddHeader>&amp;L&amp;"-,Negrita"&amp;16NATURAL FORT
&amp;"-,Normal"Alimento para perros&amp;C&amp;"-,Negrita"&amp;20&amp;U&amp;A&amp;RDocente a cargo:  Jorge Scali
Alumno: Hugo Castromán</oddHeader>
    <oddFooter>&amp;CPágina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6"/>
  <sheetViews>
    <sheetView showGridLines="0" tabSelected="1" topLeftCell="A37" zoomScaleNormal="100" workbookViewId="0">
      <selection activeCell="B51" sqref="B51"/>
    </sheetView>
  </sheetViews>
  <sheetFormatPr defaultColWidth="11.42578125" defaultRowHeight="15" x14ac:dyDescent="0.25"/>
  <cols>
    <col min="1" max="1" width="27.28515625" customWidth="1"/>
    <col min="2" max="2" width="12.42578125" bestFit="1" customWidth="1"/>
    <col min="3" max="3" width="10.42578125" bestFit="1" customWidth="1"/>
    <col min="4" max="4" width="7.85546875" bestFit="1" customWidth="1"/>
    <col min="5" max="5" width="10.42578125" bestFit="1" customWidth="1"/>
    <col min="6" max="6" width="7.85546875" bestFit="1" customWidth="1"/>
    <col min="7" max="7" width="10.42578125" bestFit="1" customWidth="1"/>
    <col min="8" max="9" width="7.85546875" bestFit="1" customWidth="1"/>
    <col min="10" max="10" width="8.28515625" customWidth="1"/>
    <col min="11" max="11" width="7.85546875" customWidth="1"/>
    <col min="12" max="14" width="7.85546875" bestFit="1" customWidth="1"/>
  </cols>
  <sheetData>
    <row r="1" spans="1:11" ht="36" x14ac:dyDescent="0.55000000000000004">
      <c r="A1" s="97" t="s">
        <v>102</v>
      </c>
      <c r="B1" s="97"/>
      <c r="C1" s="97"/>
      <c r="D1" s="97"/>
      <c r="E1" s="97"/>
      <c r="F1" s="97"/>
      <c r="G1" s="97"/>
      <c r="H1" s="97"/>
      <c r="I1" s="97"/>
      <c r="J1" s="97"/>
      <c r="K1" s="97"/>
    </row>
    <row r="4" spans="1:11" ht="21.75" thickBot="1" x14ac:dyDescent="0.4">
      <c r="A4" s="114" t="s">
        <v>177</v>
      </c>
      <c r="B4" s="115"/>
    </row>
    <row r="5" spans="1:11" ht="15.75" thickTop="1" x14ac:dyDescent="0.25"/>
    <row r="6" spans="1:11" ht="15.75" x14ac:dyDescent="0.25">
      <c r="A6" s="1" t="s">
        <v>40</v>
      </c>
    </row>
    <row r="7" spans="1:11" x14ac:dyDescent="0.25">
      <c r="A7" t="s">
        <v>172</v>
      </c>
    </row>
    <row r="8" spans="1:11" ht="15.75" x14ac:dyDescent="0.25">
      <c r="A8" s="24" t="s">
        <v>176</v>
      </c>
    </row>
    <row r="10" spans="1:11" ht="15.75" x14ac:dyDescent="0.25">
      <c r="A10" s="1" t="s">
        <v>41</v>
      </c>
      <c r="J10" t="s">
        <v>209</v>
      </c>
      <c r="K10">
        <v>1.1000000000000001</v>
      </c>
    </row>
    <row r="11" spans="1:11" x14ac:dyDescent="0.25">
      <c r="A11" t="s">
        <v>172</v>
      </c>
    </row>
    <row r="12" spans="1:11" x14ac:dyDescent="0.25">
      <c r="A12" t="s">
        <v>103</v>
      </c>
      <c r="J12" s="116" t="s">
        <v>183</v>
      </c>
      <c r="K12" s="116"/>
    </row>
    <row r="13" spans="1:11" x14ac:dyDescent="0.25">
      <c r="A13" t="s">
        <v>174</v>
      </c>
    </row>
    <row r="14" spans="1:11" ht="15.75" thickBot="1" x14ac:dyDescent="0.3">
      <c r="A14" t="s">
        <v>173</v>
      </c>
      <c r="J14" s="33" t="s">
        <v>179</v>
      </c>
      <c r="K14" s="81">
        <v>0.1017</v>
      </c>
    </row>
    <row r="15" spans="1:11" ht="15.75" thickTop="1" x14ac:dyDescent="0.25">
      <c r="J15" s="33" t="s">
        <v>132</v>
      </c>
      <c r="K15" s="82">
        <v>4.4400000000000002E-2</v>
      </c>
    </row>
    <row r="16" spans="1:11" ht="16.5" thickBot="1" x14ac:dyDescent="0.3">
      <c r="A16" s="1" t="s">
        <v>42</v>
      </c>
      <c r="J16" s="33" t="s">
        <v>178</v>
      </c>
      <c r="K16" s="81">
        <v>1.4999999999999999E-2</v>
      </c>
    </row>
    <row r="17" spans="1:14" ht="15.75" thickTop="1" x14ac:dyDescent="0.25">
      <c r="A17" t="s">
        <v>175</v>
      </c>
      <c r="J17" s="33" t="s">
        <v>133</v>
      </c>
      <c r="K17" s="82">
        <v>8.8999999999999999E-3</v>
      </c>
    </row>
    <row r="18" spans="1:14" x14ac:dyDescent="0.25">
      <c r="J18" s="33" t="s">
        <v>134</v>
      </c>
      <c r="K18" s="81">
        <v>0.06</v>
      </c>
    </row>
    <row r="19" spans="1:14" x14ac:dyDescent="0.25">
      <c r="J19" t="s">
        <v>182</v>
      </c>
    </row>
    <row r="20" spans="1:14" x14ac:dyDescent="0.25">
      <c r="A20" s="2"/>
      <c r="B20" s="2"/>
      <c r="C20" s="2"/>
      <c r="D20" s="2"/>
      <c r="E20" s="2"/>
      <c r="F20" s="2"/>
      <c r="G20" s="2"/>
      <c r="H20" s="2"/>
      <c r="I20" s="2"/>
      <c r="J20" s="2"/>
      <c r="K20" s="2"/>
      <c r="L20" s="2"/>
      <c r="M20" s="2"/>
      <c r="N20" s="2"/>
    </row>
    <row r="21" spans="1:14" x14ac:dyDescent="0.25">
      <c r="A21" s="2"/>
      <c r="B21" s="4" t="s">
        <v>104</v>
      </c>
      <c r="C21" s="4"/>
      <c r="D21" s="4" t="s">
        <v>105</v>
      </c>
      <c r="E21" s="4"/>
      <c r="F21" s="4" t="s">
        <v>106</v>
      </c>
      <c r="G21" s="4"/>
      <c r="H21" s="2"/>
      <c r="I21" s="2"/>
      <c r="J21" s="2"/>
      <c r="K21" s="2"/>
      <c r="L21" s="2"/>
      <c r="M21" s="2"/>
      <c r="N21" s="2"/>
    </row>
    <row r="22" spans="1:14" ht="15.75" thickBot="1" x14ac:dyDescent="0.3">
      <c r="A22" s="4" t="s">
        <v>107</v>
      </c>
      <c r="B22" s="4" t="s">
        <v>108</v>
      </c>
      <c r="C22" s="4" t="s">
        <v>109</v>
      </c>
      <c r="D22" s="4" t="s">
        <v>110</v>
      </c>
      <c r="E22" s="4" t="s">
        <v>111</v>
      </c>
      <c r="F22" s="4" t="s">
        <v>112</v>
      </c>
      <c r="G22" s="4" t="s">
        <v>113</v>
      </c>
      <c r="H22" s="25"/>
      <c r="I22" s="25"/>
      <c r="J22" s="25"/>
      <c r="K22" s="25"/>
      <c r="L22" s="25"/>
      <c r="M22" s="25"/>
      <c r="N22" s="25"/>
    </row>
    <row r="23" spans="1:14" ht="15.75" thickTop="1" x14ac:dyDescent="0.25">
      <c r="A23" s="33" t="str">
        <f>A37</f>
        <v>Director</v>
      </c>
      <c r="B23" s="9">
        <v>1</v>
      </c>
      <c r="C23" s="10">
        <f>B23*$B$47</f>
        <v>516600</v>
      </c>
      <c r="D23" s="9">
        <v>1</v>
      </c>
      <c r="E23" s="10">
        <f>D23*$B$47*$K$10</f>
        <v>568260</v>
      </c>
      <c r="F23" s="9">
        <v>1</v>
      </c>
      <c r="G23" s="10">
        <f>F23*$B$47*$K$10*$K$10</f>
        <v>625086</v>
      </c>
      <c r="H23" s="26"/>
      <c r="I23" s="26"/>
      <c r="J23" s="26"/>
      <c r="K23" s="26"/>
      <c r="L23" s="26"/>
      <c r="M23" s="26"/>
      <c r="N23" s="26"/>
    </row>
    <row r="24" spans="1:14" ht="15.75" thickBot="1" x14ac:dyDescent="0.3">
      <c r="A24" s="33" t="str">
        <f>A50</f>
        <v>Gerente de Sistemas (Cubierto por Director)</v>
      </c>
      <c r="B24" s="11">
        <v>0</v>
      </c>
      <c r="C24" s="12">
        <f>B24*$B$60</f>
        <v>0</v>
      </c>
      <c r="D24" s="11">
        <v>0</v>
      </c>
      <c r="E24" s="12">
        <f>D24*$B$60</f>
        <v>0</v>
      </c>
      <c r="F24" s="11">
        <v>0</v>
      </c>
      <c r="G24" s="12">
        <f>F24*$B$60</f>
        <v>0</v>
      </c>
      <c r="H24" s="26"/>
      <c r="I24" s="26"/>
      <c r="J24" s="26"/>
      <c r="K24" s="26"/>
      <c r="L24" s="26"/>
      <c r="M24" s="26"/>
      <c r="N24" s="26"/>
    </row>
    <row r="25" spans="1:14" ht="15.75" thickTop="1" x14ac:dyDescent="0.25">
      <c r="A25" s="33" t="str">
        <f>A63</f>
        <v>Analista de Sistemas</v>
      </c>
      <c r="B25" s="9">
        <v>1</v>
      </c>
      <c r="C25" s="10">
        <f>B25*$B$73</f>
        <v>295200</v>
      </c>
      <c r="D25" s="9">
        <v>1</v>
      </c>
      <c r="E25" s="10">
        <f>D25*$B$73*$K$10</f>
        <v>324720</v>
      </c>
      <c r="F25" s="9">
        <v>1</v>
      </c>
      <c r="G25" s="10">
        <f>F25*$B$73*$K$10*$K$10</f>
        <v>357192</v>
      </c>
      <c r="H25" s="26"/>
      <c r="I25" s="26"/>
      <c r="J25" s="26"/>
      <c r="K25" s="26"/>
      <c r="L25" s="26"/>
      <c r="M25" s="26"/>
      <c r="N25" s="26"/>
    </row>
    <row r="26" spans="1:14" ht="15.75" thickBot="1" x14ac:dyDescent="0.3">
      <c r="A26" s="33" t="str">
        <f>A76</f>
        <v>Programador</v>
      </c>
      <c r="B26" s="11">
        <v>1</v>
      </c>
      <c r="C26" s="12">
        <f>B26*$B$86</f>
        <v>369000</v>
      </c>
      <c r="D26" s="11">
        <v>1</v>
      </c>
      <c r="E26" s="12">
        <f>D26*$B$86*$K$10</f>
        <v>405900.00000000006</v>
      </c>
      <c r="F26" s="11">
        <v>1</v>
      </c>
      <c r="G26" s="12">
        <f>F26*$B$86*$K$10*$K$10</f>
        <v>446490.00000000012</v>
      </c>
      <c r="H26" s="26"/>
      <c r="I26" s="26"/>
      <c r="J26" s="26"/>
      <c r="K26" s="26"/>
      <c r="L26" s="26"/>
      <c r="M26" s="26"/>
      <c r="N26" s="26"/>
    </row>
    <row r="27" spans="1:14" ht="15.75" thickTop="1" x14ac:dyDescent="0.25">
      <c r="A27" s="33" t="str">
        <f>A89</f>
        <v>Gerente RRHH</v>
      </c>
      <c r="B27" s="9">
        <v>1</v>
      </c>
      <c r="C27" s="10">
        <f>B27*$B$99</f>
        <v>221400</v>
      </c>
      <c r="D27" s="9">
        <v>1</v>
      </c>
      <c r="E27" s="10">
        <f>D27*$B$99*$K$10</f>
        <v>243540.00000000003</v>
      </c>
      <c r="F27" s="9">
        <v>1</v>
      </c>
      <c r="G27" s="10">
        <f>F27*$B$99*$K$10*$K$10</f>
        <v>267894.00000000006</v>
      </c>
      <c r="H27" s="26"/>
      <c r="I27" s="26"/>
      <c r="J27" s="26"/>
      <c r="K27" s="26"/>
      <c r="L27" s="26"/>
      <c r="M27" s="26"/>
      <c r="N27" s="26"/>
    </row>
    <row r="28" spans="1:14" ht="15.75" thickBot="1" x14ac:dyDescent="0.3">
      <c r="A28" s="33" t="s">
        <v>190</v>
      </c>
      <c r="B28" s="11">
        <v>0</v>
      </c>
      <c r="C28" s="12">
        <f>B28*$B$60</f>
        <v>0</v>
      </c>
      <c r="D28" s="11">
        <v>0</v>
      </c>
      <c r="E28" s="12">
        <f>D28*$B$60</f>
        <v>0</v>
      </c>
      <c r="F28" s="11">
        <v>0</v>
      </c>
      <c r="G28" s="12">
        <f>F28*$B$60</f>
        <v>0</v>
      </c>
      <c r="H28" s="26"/>
      <c r="I28" s="26"/>
      <c r="J28" s="26"/>
      <c r="K28" s="26"/>
      <c r="L28" s="26"/>
      <c r="M28" s="26"/>
      <c r="N28" s="26"/>
    </row>
    <row r="29" spans="1:14" ht="15.75" thickTop="1" x14ac:dyDescent="0.25">
      <c r="A29" s="33" t="s">
        <v>168</v>
      </c>
      <c r="B29" s="9">
        <v>1</v>
      </c>
      <c r="C29" s="10">
        <f>B29*$B$113</f>
        <v>295200</v>
      </c>
      <c r="D29" s="9">
        <v>1</v>
      </c>
      <c r="E29" s="10">
        <f>D29*$B$113*$K$10</f>
        <v>324720</v>
      </c>
      <c r="F29" s="9">
        <v>1</v>
      </c>
      <c r="G29" s="10">
        <f>F29*$B$113*$K$10*$K$10</f>
        <v>357192</v>
      </c>
      <c r="H29" s="26"/>
      <c r="I29" s="26"/>
      <c r="J29" s="26"/>
      <c r="K29" s="26"/>
      <c r="L29" s="26"/>
      <c r="M29" s="26"/>
      <c r="N29" s="26"/>
    </row>
    <row r="30" spans="1:14" x14ac:dyDescent="0.25">
      <c r="A30" s="33" t="s">
        <v>169</v>
      </c>
      <c r="B30" s="11">
        <v>1</v>
      </c>
      <c r="C30" s="12">
        <f>B30*$B$126</f>
        <v>147600</v>
      </c>
      <c r="D30" s="11">
        <v>1</v>
      </c>
      <c r="E30" s="12">
        <f>D30*$B$126*$K$10</f>
        <v>162360</v>
      </c>
      <c r="F30" s="11">
        <v>1</v>
      </c>
      <c r="G30" s="12">
        <f>F30*$B$126*$K$10*$K$10</f>
        <v>178596</v>
      </c>
      <c r="H30" s="26"/>
      <c r="I30" s="26"/>
      <c r="J30" s="26"/>
      <c r="K30" s="26"/>
      <c r="L30" s="26"/>
      <c r="M30" s="26"/>
      <c r="N30" s="26"/>
    </row>
    <row r="31" spans="1:14" x14ac:dyDescent="0.25">
      <c r="A31" s="4" t="s">
        <v>114</v>
      </c>
      <c r="B31" s="7"/>
      <c r="C31" s="8">
        <f>SUBTOTAL(109,C23:C30)</f>
        <v>1845000</v>
      </c>
      <c r="D31" s="7"/>
      <c r="E31" s="8">
        <f>SUBTOTAL(109,E23:E30)</f>
        <v>2029500</v>
      </c>
      <c r="F31" s="7"/>
      <c r="G31" s="8">
        <f>SUBTOTAL(109,G23:G30)</f>
        <v>2232450</v>
      </c>
      <c r="H31" s="27"/>
      <c r="I31" s="27"/>
      <c r="J31" s="27"/>
      <c r="K31" s="27"/>
      <c r="L31" s="27"/>
      <c r="M31" s="27"/>
      <c r="N31" s="27"/>
    </row>
    <row r="32" spans="1:14" x14ac:dyDescent="0.25">
      <c r="A32" s="2"/>
      <c r="B32" s="2"/>
      <c r="C32" s="2"/>
      <c r="D32" s="2"/>
      <c r="E32" s="2"/>
      <c r="F32" s="2"/>
      <c r="G32" s="2"/>
      <c r="H32" s="2"/>
      <c r="I32" s="2"/>
      <c r="J32" s="2"/>
      <c r="K32" s="2"/>
      <c r="L32" s="2"/>
      <c r="M32" s="2"/>
      <c r="N32" s="2"/>
    </row>
    <row r="33" spans="1:14" x14ac:dyDescent="0.25">
      <c r="A33" s="2"/>
      <c r="B33" s="2"/>
      <c r="C33" s="2"/>
      <c r="D33" s="2"/>
      <c r="E33" s="2"/>
      <c r="F33" s="2"/>
      <c r="G33" s="2"/>
      <c r="H33" s="2"/>
      <c r="I33" s="2"/>
      <c r="J33" s="2"/>
      <c r="K33" s="2"/>
      <c r="L33" s="2"/>
      <c r="M33" s="2"/>
      <c r="N33" s="2"/>
    </row>
    <row r="34" spans="1:14" x14ac:dyDescent="0.25">
      <c r="A34" s="2" t="s">
        <v>115</v>
      </c>
      <c r="B34" s="2"/>
      <c r="C34" s="2"/>
      <c r="D34" s="2"/>
      <c r="E34" s="2"/>
      <c r="F34" s="2"/>
      <c r="G34" s="2"/>
      <c r="H34" s="2"/>
      <c r="I34" s="2"/>
      <c r="J34" s="2"/>
      <c r="K34" s="2"/>
      <c r="L34" s="2"/>
      <c r="M34" s="2"/>
      <c r="N34" s="2"/>
    </row>
    <row r="35" spans="1:14" x14ac:dyDescent="0.25">
      <c r="A35" s="2"/>
      <c r="B35" s="2"/>
      <c r="C35" s="2"/>
      <c r="D35" s="2"/>
      <c r="E35" s="2"/>
      <c r="F35" s="2"/>
      <c r="G35" s="2"/>
      <c r="H35" s="2"/>
      <c r="I35" s="2"/>
      <c r="J35" s="2"/>
      <c r="K35" s="2"/>
      <c r="L35" s="2"/>
      <c r="M35" s="2"/>
      <c r="N35" s="2"/>
    </row>
    <row r="36" spans="1:14" x14ac:dyDescent="0.25">
      <c r="A36" s="2"/>
      <c r="B36" s="2"/>
      <c r="C36" s="2"/>
      <c r="D36" s="2"/>
      <c r="E36" s="2"/>
      <c r="F36" s="2"/>
      <c r="G36" s="2"/>
      <c r="H36" s="2"/>
      <c r="I36" s="2"/>
      <c r="J36" s="2"/>
      <c r="K36" s="2"/>
      <c r="L36" s="2"/>
      <c r="M36" s="2"/>
      <c r="N36" s="2"/>
    </row>
    <row r="37" spans="1:14" x14ac:dyDescent="0.25">
      <c r="A37" s="4" t="s">
        <v>164</v>
      </c>
      <c r="B37" s="4"/>
      <c r="C37" s="2"/>
      <c r="D37" s="2"/>
      <c r="E37" s="2"/>
      <c r="F37" s="2"/>
      <c r="G37" s="2"/>
      <c r="H37" s="2"/>
      <c r="I37" s="2"/>
      <c r="J37" s="2"/>
      <c r="K37" s="2"/>
      <c r="L37" s="2"/>
      <c r="M37" s="2"/>
      <c r="N37" s="2"/>
    </row>
    <row r="38" spans="1:14" x14ac:dyDescent="0.25">
      <c r="A38" s="4" t="s">
        <v>116</v>
      </c>
      <c r="B38" s="4">
        <v>35000</v>
      </c>
      <c r="C38" s="2"/>
      <c r="D38" s="2"/>
      <c r="E38" s="2"/>
      <c r="F38" s="2"/>
      <c r="G38" s="2"/>
      <c r="H38" s="2"/>
      <c r="I38" s="2"/>
      <c r="J38" s="2"/>
      <c r="K38" s="2"/>
      <c r="L38" s="2"/>
      <c r="M38" s="2"/>
      <c r="N38" s="2"/>
    </row>
    <row r="39" spans="1:14" x14ac:dyDescent="0.25">
      <c r="A39" s="4" t="s">
        <v>117</v>
      </c>
      <c r="B39" s="4" t="s">
        <v>118</v>
      </c>
      <c r="C39" s="4" t="s">
        <v>119</v>
      </c>
      <c r="D39" s="4" t="s">
        <v>120</v>
      </c>
      <c r="E39" s="4" t="s">
        <v>121</v>
      </c>
      <c r="F39" s="4" t="s">
        <v>122</v>
      </c>
      <c r="G39" s="4" t="s">
        <v>123</v>
      </c>
      <c r="H39" s="4" t="s">
        <v>124</v>
      </c>
      <c r="I39" s="4" t="s">
        <v>125</v>
      </c>
      <c r="J39" s="4" t="s">
        <v>126</v>
      </c>
      <c r="K39" s="4" t="s">
        <v>127</v>
      </c>
      <c r="L39" s="4" t="s">
        <v>128</v>
      </c>
      <c r="M39" s="4" t="s">
        <v>129</v>
      </c>
      <c r="N39" s="4" t="s">
        <v>130</v>
      </c>
    </row>
    <row r="40" spans="1:14" ht="15.75" thickBot="1" x14ac:dyDescent="0.3">
      <c r="A40" s="33" t="s">
        <v>179</v>
      </c>
      <c r="B40" s="81">
        <v>0.1017</v>
      </c>
      <c r="C40" s="12">
        <f>$B$38*$B$40</f>
        <v>3559.5</v>
      </c>
      <c r="D40" s="12">
        <f t="shared" ref="D40:N40" si="0">$B$38*$B$40</f>
        <v>3559.5</v>
      </c>
      <c r="E40" s="12">
        <f t="shared" si="0"/>
        <v>3559.5</v>
      </c>
      <c r="F40" s="12">
        <f t="shared" si="0"/>
        <v>3559.5</v>
      </c>
      <c r="G40" s="12">
        <f t="shared" si="0"/>
        <v>3559.5</v>
      </c>
      <c r="H40" s="12">
        <f t="shared" si="0"/>
        <v>3559.5</v>
      </c>
      <c r="I40" s="12">
        <f t="shared" si="0"/>
        <v>3559.5</v>
      </c>
      <c r="J40" s="12">
        <f t="shared" si="0"/>
        <v>3559.5</v>
      </c>
      <c r="K40" s="12">
        <f t="shared" si="0"/>
        <v>3559.5</v>
      </c>
      <c r="L40" s="12">
        <f t="shared" si="0"/>
        <v>3559.5</v>
      </c>
      <c r="M40" s="12">
        <f t="shared" si="0"/>
        <v>3559.5</v>
      </c>
      <c r="N40" s="12">
        <f t="shared" si="0"/>
        <v>3559.5</v>
      </c>
    </row>
    <row r="41" spans="1:14" ht="15.75" thickTop="1" x14ac:dyDescent="0.25">
      <c r="A41" s="33" t="s">
        <v>132</v>
      </c>
      <c r="B41" s="82">
        <v>4.4400000000000002E-2</v>
      </c>
      <c r="C41" s="10">
        <f t="shared" ref="C41:N41" si="1">$B$38*$B$41</f>
        <v>1554</v>
      </c>
      <c r="D41" s="10">
        <f t="shared" si="1"/>
        <v>1554</v>
      </c>
      <c r="E41" s="10">
        <f t="shared" si="1"/>
        <v>1554</v>
      </c>
      <c r="F41" s="10">
        <f t="shared" si="1"/>
        <v>1554</v>
      </c>
      <c r="G41" s="10">
        <f t="shared" si="1"/>
        <v>1554</v>
      </c>
      <c r="H41" s="10">
        <f t="shared" si="1"/>
        <v>1554</v>
      </c>
      <c r="I41" s="10">
        <f t="shared" si="1"/>
        <v>1554</v>
      </c>
      <c r="J41" s="10">
        <f t="shared" si="1"/>
        <v>1554</v>
      </c>
      <c r="K41" s="10">
        <f t="shared" si="1"/>
        <v>1554</v>
      </c>
      <c r="L41" s="10">
        <f t="shared" si="1"/>
        <v>1554</v>
      </c>
      <c r="M41" s="10">
        <f t="shared" si="1"/>
        <v>1554</v>
      </c>
      <c r="N41" s="10">
        <f t="shared" si="1"/>
        <v>1554</v>
      </c>
    </row>
    <row r="42" spans="1:14" ht="15.75" thickBot="1" x14ac:dyDescent="0.3">
      <c r="A42" s="33" t="s">
        <v>178</v>
      </c>
      <c r="B42" s="81">
        <v>1.4999999999999999E-2</v>
      </c>
      <c r="C42" s="12">
        <f t="shared" ref="C42:N42" si="2">$B$38*$B$42</f>
        <v>525</v>
      </c>
      <c r="D42" s="12">
        <f t="shared" si="2"/>
        <v>525</v>
      </c>
      <c r="E42" s="12">
        <f t="shared" si="2"/>
        <v>525</v>
      </c>
      <c r="F42" s="12">
        <f t="shared" si="2"/>
        <v>525</v>
      </c>
      <c r="G42" s="12">
        <f t="shared" si="2"/>
        <v>525</v>
      </c>
      <c r="H42" s="12">
        <f t="shared" si="2"/>
        <v>525</v>
      </c>
      <c r="I42" s="12">
        <f t="shared" si="2"/>
        <v>525</v>
      </c>
      <c r="J42" s="12">
        <f t="shared" si="2"/>
        <v>525</v>
      </c>
      <c r="K42" s="12">
        <f t="shared" si="2"/>
        <v>525</v>
      </c>
      <c r="L42" s="12">
        <f t="shared" si="2"/>
        <v>525</v>
      </c>
      <c r="M42" s="12">
        <f t="shared" si="2"/>
        <v>525</v>
      </c>
      <c r="N42" s="12">
        <f t="shared" si="2"/>
        <v>525</v>
      </c>
    </row>
    <row r="43" spans="1:14" ht="15.75" thickTop="1" x14ac:dyDescent="0.25">
      <c r="A43" s="33" t="s">
        <v>133</v>
      </c>
      <c r="B43" s="82">
        <v>8.8999999999999999E-3</v>
      </c>
      <c r="C43" s="10">
        <f t="shared" ref="C43:N43" si="3">$B$38*$B$43</f>
        <v>311.5</v>
      </c>
      <c r="D43" s="10">
        <f t="shared" si="3"/>
        <v>311.5</v>
      </c>
      <c r="E43" s="10">
        <f t="shared" si="3"/>
        <v>311.5</v>
      </c>
      <c r="F43" s="10">
        <f t="shared" si="3"/>
        <v>311.5</v>
      </c>
      <c r="G43" s="10">
        <f t="shared" si="3"/>
        <v>311.5</v>
      </c>
      <c r="H43" s="10">
        <f t="shared" si="3"/>
        <v>311.5</v>
      </c>
      <c r="I43" s="10">
        <f t="shared" si="3"/>
        <v>311.5</v>
      </c>
      <c r="J43" s="10">
        <f t="shared" si="3"/>
        <v>311.5</v>
      </c>
      <c r="K43" s="10">
        <f t="shared" si="3"/>
        <v>311.5</v>
      </c>
      <c r="L43" s="10">
        <f t="shared" si="3"/>
        <v>311.5</v>
      </c>
      <c r="M43" s="10">
        <f t="shared" si="3"/>
        <v>311.5</v>
      </c>
      <c r="N43" s="10">
        <f t="shared" si="3"/>
        <v>311.5</v>
      </c>
    </row>
    <row r="44" spans="1:14" ht="15.75" thickBot="1" x14ac:dyDescent="0.3">
      <c r="A44" s="33" t="s">
        <v>134</v>
      </c>
      <c r="B44" s="81">
        <v>0.06</v>
      </c>
      <c r="C44" s="12">
        <f t="shared" ref="C44:N44" si="4">$B$38*$B$44</f>
        <v>2100</v>
      </c>
      <c r="D44" s="12">
        <f t="shared" si="4"/>
        <v>2100</v>
      </c>
      <c r="E44" s="12">
        <f t="shared" si="4"/>
        <v>2100</v>
      </c>
      <c r="F44" s="12">
        <f t="shared" si="4"/>
        <v>2100</v>
      </c>
      <c r="G44" s="12">
        <f t="shared" si="4"/>
        <v>2100</v>
      </c>
      <c r="H44" s="12">
        <f t="shared" si="4"/>
        <v>2100</v>
      </c>
      <c r="I44" s="12">
        <f t="shared" si="4"/>
        <v>2100</v>
      </c>
      <c r="J44" s="12">
        <f t="shared" si="4"/>
        <v>2100</v>
      </c>
      <c r="K44" s="12">
        <f t="shared" si="4"/>
        <v>2100</v>
      </c>
      <c r="L44" s="12">
        <f t="shared" si="4"/>
        <v>2100</v>
      </c>
      <c r="M44" s="12">
        <f t="shared" si="4"/>
        <v>2100</v>
      </c>
      <c r="N44" s="12">
        <f t="shared" si="4"/>
        <v>2100</v>
      </c>
    </row>
    <row r="45" spans="1:14" ht="15.75" thickTop="1" x14ac:dyDescent="0.25">
      <c r="A45" s="33" t="s">
        <v>131</v>
      </c>
      <c r="B45" s="82"/>
      <c r="C45" s="10"/>
      <c r="D45" s="10"/>
      <c r="E45" s="10"/>
      <c r="F45" s="10"/>
      <c r="G45" s="10"/>
      <c r="H45" s="10">
        <f>B38/2</f>
        <v>17500</v>
      </c>
      <c r="I45" s="10"/>
      <c r="J45" s="10"/>
      <c r="K45" s="10"/>
      <c r="L45" s="10"/>
      <c r="M45" s="10"/>
      <c r="N45" s="10">
        <f>B38/2</f>
        <v>17500</v>
      </c>
    </row>
    <row r="46" spans="1:14" x14ac:dyDescent="0.25">
      <c r="A46" s="4"/>
      <c r="B46" s="4"/>
      <c r="C46" s="8">
        <f>SUBTOTAL(109,'COSTOS RRHH'!$C$40:$C$44)+$B$38</f>
        <v>43050</v>
      </c>
      <c r="D46" s="8">
        <f>SUBTOTAL(109,'COSTOS RRHH'!$D$40:$D$44)+$B$38</f>
        <v>43050</v>
      </c>
      <c r="E46" s="8">
        <f>SUBTOTAL(109,'COSTOS RRHH'!$E$40:$E$44)+$B$38</f>
        <v>43050</v>
      </c>
      <c r="F46" s="8">
        <f>SUBTOTAL(109,'COSTOS RRHH'!$F$40:$F$44)+$B$38</f>
        <v>43050</v>
      </c>
      <c r="G46" s="8">
        <f>SUBTOTAL(109,'COSTOS RRHH'!$G$40:$G$44)+$B$38</f>
        <v>43050</v>
      </c>
      <c r="H46" s="8">
        <f>SUBTOTAL(109,'COSTOS RRHH'!$H$40:$H$44)+$B$38</f>
        <v>43050</v>
      </c>
      <c r="I46" s="8">
        <f>SUBTOTAL(109,'COSTOS RRHH'!$I$40:$I$44)+$B$38</f>
        <v>43050</v>
      </c>
      <c r="J46" s="8">
        <f>SUBTOTAL(109,'COSTOS RRHH'!$J$40:$J$44)+$B$38</f>
        <v>43050</v>
      </c>
      <c r="K46" s="8">
        <f>SUBTOTAL(109,'COSTOS RRHH'!$K$40:$K$44)+$B$38</f>
        <v>43050</v>
      </c>
      <c r="L46" s="8">
        <f>SUBTOTAL(109,'COSTOS RRHH'!$L$40:$L$44)+$B$38</f>
        <v>43050</v>
      </c>
      <c r="M46" s="8">
        <f>SUBTOTAL(109,'COSTOS RRHH'!$M$40:$M$44)+$B$38</f>
        <v>43050</v>
      </c>
      <c r="N46" s="8">
        <f>SUBTOTAL(109,'COSTOS RRHH'!$N$40:$N$44)+$B$38</f>
        <v>43050</v>
      </c>
    </row>
    <row r="47" spans="1:14" x14ac:dyDescent="0.25">
      <c r="A47" s="22" t="s">
        <v>135</v>
      </c>
      <c r="B47" s="23">
        <f>SUM('COSTOS RRHH'!$C$46:$N$46)</f>
        <v>516600</v>
      </c>
      <c r="C47" s="2"/>
      <c r="D47" s="2"/>
      <c r="E47" s="2"/>
      <c r="F47" s="2"/>
      <c r="G47" s="2"/>
      <c r="H47" s="2"/>
      <c r="I47" s="2"/>
      <c r="J47" s="2"/>
      <c r="K47" s="2"/>
      <c r="L47" s="2"/>
      <c r="M47" s="2"/>
      <c r="N47" s="2"/>
    </row>
    <row r="48" spans="1:14" x14ac:dyDescent="0.25">
      <c r="A48" s="2"/>
      <c r="B48" s="2"/>
      <c r="C48" s="2"/>
      <c r="D48" s="2"/>
      <c r="E48" s="2"/>
      <c r="F48" s="2"/>
      <c r="G48" s="2"/>
      <c r="H48" s="2"/>
      <c r="I48" s="2"/>
      <c r="J48" s="2"/>
      <c r="K48" s="2"/>
      <c r="L48" s="2"/>
      <c r="M48" s="2"/>
      <c r="N48" s="2"/>
    </row>
    <row r="49" spans="1:14" x14ac:dyDescent="0.25">
      <c r="A49" s="2"/>
      <c r="B49" s="2"/>
      <c r="C49" s="2"/>
      <c r="D49" s="2"/>
      <c r="E49" s="2"/>
      <c r="F49" s="2"/>
      <c r="G49" s="2"/>
      <c r="H49" s="2"/>
      <c r="I49" s="2"/>
      <c r="J49" s="2"/>
      <c r="K49" s="2"/>
      <c r="L49" s="28"/>
      <c r="M49" s="29"/>
      <c r="N49" s="29"/>
    </row>
    <row r="50" spans="1:14" x14ac:dyDescent="0.25">
      <c r="A50" s="116" t="s">
        <v>170</v>
      </c>
      <c r="B50" s="116"/>
      <c r="C50" s="2"/>
      <c r="D50" s="2"/>
      <c r="E50" s="2"/>
      <c r="F50" s="2"/>
      <c r="G50" s="2"/>
      <c r="H50" s="2"/>
      <c r="I50" s="2"/>
      <c r="J50" s="2"/>
      <c r="K50" s="2"/>
      <c r="L50" s="2"/>
      <c r="M50" s="2"/>
      <c r="N50" s="2"/>
    </row>
    <row r="51" spans="1:14" x14ac:dyDescent="0.25">
      <c r="A51" s="4" t="s">
        <v>116</v>
      </c>
      <c r="B51" s="4">
        <v>30000</v>
      </c>
      <c r="C51" s="2"/>
      <c r="D51" s="2"/>
      <c r="E51" s="2"/>
      <c r="F51" s="2"/>
      <c r="G51" s="2"/>
      <c r="H51" s="2"/>
      <c r="I51" s="2"/>
      <c r="J51" s="2"/>
      <c r="K51" s="2"/>
      <c r="L51" s="2"/>
      <c r="M51" s="2"/>
      <c r="N51" s="2"/>
    </row>
    <row r="52" spans="1:14" x14ac:dyDescent="0.25">
      <c r="A52" s="4" t="s">
        <v>117</v>
      </c>
      <c r="B52" s="4" t="s">
        <v>118</v>
      </c>
      <c r="C52" s="4" t="s">
        <v>119</v>
      </c>
      <c r="D52" s="4" t="s">
        <v>120</v>
      </c>
      <c r="E52" s="4" t="s">
        <v>121</v>
      </c>
      <c r="F52" s="4" t="s">
        <v>122</v>
      </c>
      <c r="G52" s="4" t="s">
        <v>123</v>
      </c>
      <c r="H52" s="4" t="s">
        <v>124</v>
      </c>
      <c r="I52" s="4" t="s">
        <v>125</v>
      </c>
      <c r="J52" s="4" t="s">
        <v>126</v>
      </c>
      <c r="K52" s="4" t="s">
        <v>127</v>
      </c>
      <c r="L52" s="4" t="s">
        <v>128</v>
      </c>
      <c r="M52" s="4" t="s">
        <v>129</v>
      </c>
      <c r="N52" s="4" t="s">
        <v>130</v>
      </c>
    </row>
    <row r="53" spans="1:14" ht="15.75" thickBot="1" x14ac:dyDescent="0.3">
      <c r="A53" s="33" t="s">
        <v>179</v>
      </c>
      <c r="B53" s="81">
        <v>0.1017</v>
      </c>
      <c r="C53" s="12">
        <f>$B$51*$B$53</f>
        <v>3051</v>
      </c>
      <c r="D53" s="12">
        <f t="shared" ref="D53:N53" si="5">$B$51*$B$53</f>
        <v>3051</v>
      </c>
      <c r="E53" s="12">
        <f t="shared" si="5"/>
        <v>3051</v>
      </c>
      <c r="F53" s="12">
        <f t="shared" si="5"/>
        <v>3051</v>
      </c>
      <c r="G53" s="12">
        <f t="shared" si="5"/>
        <v>3051</v>
      </c>
      <c r="H53" s="12">
        <f t="shared" si="5"/>
        <v>3051</v>
      </c>
      <c r="I53" s="12">
        <f t="shared" si="5"/>
        <v>3051</v>
      </c>
      <c r="J53" s="12">
        <f t="shared" si="5"/>
        <v>3051</v>
      </c>
      <c r="K53" s="12">
        <f t="shared" si="5"/>
        <v>3051</v>
      </c>
      <c r="L53" s="12">
        <f t="shared" si="5"/>
        <v>3051</v>
      </c>
      <c r="M53" s="12">
        <f t="shared" si="5"/>
        <v>3051</v>
      </c>
      <c r="N53" s="12">
        <f t="shared" si="5"/>
        <v>3051</v>
      </c>
    </row>
    <row r="54" spans="1:14" ht="15.75" thickTop="1" x14ac:dyDescent="0.25">
      <c r="A54" s="33" t="s">
        <v>132</v>
      </c>
      <c r="B54" s="82">
        <v>4.4400000000000002E-2</v>
      </c>
      <c r="C54" s="10">
        <f t="shared" ref="C54:N54" si="6">$B$51*$B$54</f>
        <v>1332</v>
      </c>
      <c r="D54" s="10">
        <f t="shared" si="6"/>
        <v>1332</v>
      </c>
      <c r="E54" s="10">
        <f t="shared" si="6"/>
        <v>1332</v>
      </c>
      <c r="F54" s="10">
        <f t="shared" si="6"/>
        <v>1332</v>
      </c>
      <c r="G54" s="10">
        <f t="shared" si="6"/>
        <v>1332</v>
      </c>
      <c r="H54" s="10">
        <f t="shared" si="6"/>
        <v>1332</v>
      </c>
      <c r="I54" s="10">
        <f t="shared" si="6"/>
        <v>1332</v>
      </c>
      <c r="J54" s="10">
        <f t="shared" si="6"/>
        <v>1332</v>
      </c>
      <c r="K54" s="10">
        <f t="shared" si="6"/>
        <v>1332</v>
      </c>
      <c r="L54" s="10">
        <f t="shared" si="6"/>
        <v>1332</v>
      </c>
      <c r="M54" s="10">
        <f t="shared" si="6"/>
        <v>1332</v>
      </c>
      <c r="N54" s="10">
        <f t="shared" si="6"/>
        <v>1332</v>
      </c>
    </row>
    <row r="55" spans="1:14" ht="15.75" thickBot="1" x14ac:dyDescent="0.3">
      <c r="A55" s="33" t="s">
        <v>178</v>
      </c>
      <c r="B55" s="81">
        <v>1.4999999999999999E-2</v>
      </c>
      <c r="C55" s="12">
        <f t="shared" ref="C55:N55" si="7">$B$51*$B$55</f>
        <v>450</v>
      </c>
      <c r="D55" s="12">
        <f t="shared" si="7"/>
        <v>450</v>
      </c>
      <c r="E55" s="12">
        <f t="shared" si="7"/>
        <v>450</v>
      </c>
      <c r="F55" s="12">
        <f t="shared" si="7"/>
        <v>450</v>
      </c>
      <c r="G55" s="12">
        <f t="shared" si="7"/>
        <v>450</v>
      </c>
      <c r="H55" s="12">
        <f t="shared" si="7"/>
        <v>450</v>
      </c>
      <c r="I55" s="12">
        <f t="shared" si="7"/>
        <v>450</v>
      </c>
      <c r="J55" s="12">
        <f t="shared" si="7"/>
        <v>450</v>
      </c>
      <c r="K55" s="12">
        <f t="shared" si="7"/>
        <v>450</v>
      </c>
      <c r="L55" s="12">
        <f t="shared" si="7"/>
        <v>450</v>
      </c>
      <c r="M55" s="12">
        <f t="shared" si="7"/>
        <v>450</v>
      </c>
      <c r="N55" s="12">
        <f t="shared" si="7"/>
        <v>450</v>
      </c>
    </row>
    <row r="56" spans="1:14" ht="15.75" thickTop="1" x14ac:dyDescent="0.25">
      <c r="A56" s="33" t="s">
        <v>133</v>
      </c>
      <c r="B56" s="82">
        <v>8.8999999999999999E-3</v>
      </c>
      <c r="C56" s="10">
        <f t="shared" ref="C56:N56" si="8">$B$51*$B$56</f>
        <v>267</v>
      </c>
      <c r="D56" s="10">
        <f t="shared" si="8"/>
        <v>267</v>
      </c>
      <c r="E56" s="10">
        <f t="shared" si="8"/>
        <v>267</v>
      </c>
      <c r="F56" s="10">
        <f t="shared" si="8"/>
        <v>267</v>
      </c>
      <c r="G56" s="10">
        <f t="shared" si="8"/>
        <v>267</v>
      </c>
      <c r="H56" s="10">
        <f t="shared" si="8"/>
        <v>267</v>
      </c>
      <c r="I56" s="10">
        <f t="shared" si="8"/>
        <v>267</v>
      </c>
      <c r="J56" s="10">
        <f t="shared" si="8"/>
        <v>267</v>
      </c>
      <c r="K56" s="10">
        <f t="shared" si="8"/>
        <v>267</v>
      </c>
      <c r="L56" s="10">
        <f t="shared" si="8"/>
        <v>267</v>
      </c>
      <c r="M56" s="10">
        <f t="shared" si="8"/>
        <v>267</v>
      </c>
      <c r="N56" s="10">
        <f t="shared" si="8"/>
        <v>267</v>
      </c>
    </row>
    <row r="57" spans="1:14" ht="15.75" thickBot="1" x14ac:dyDescent="0.3">
      <c r="A57" s="33" t="s">
        <v>134</v>
      </c>
      <c r="B57" s="81">
        <v>0.06</v>
      </c>
      <c r="C57" s="12">
        <f t="shared" ref="C57:N57" si="9">$B$51*$B$57</f>
        <v>1800</v>
      </c>
      <c r="D57" s="12">
        <f t="shared" si="9"/>
        <v>1800</v>
      </c>
      <c r="E57" s="12">
        <f t="shared" si="9"/>
        <v>1800</v>
      </c>
      <c r="F57" s="12">
        <f t="shared" si="9"/>
        <v>1800</v>
      </c>
      <c r="G57" s="12">
        <f t="shared" si="9"/>
        <v>1800</v>
      </c>
      <c r="H57" s="12">
        <f t="shared" si="9"/>
        <v>1800</v>
      </c>
      <c r="I57" s="12">
        <f t="shared" si="9"/>
        <v>1800</v>
      </c>
      <c r="J57" s="12">
        <f t="shared" si="9"/>
        <v>1800</v>
      </c>
      <c r="K57" s="12">
        <f t="shared" si="9"/>
        <v>1800</v>
      </c>
      <c r="L57" s="12">
        <f t="shared" si="9"/>
        <v>1800</v>
      </c>
      <c r="M57" s="12">
        <f t="shared" si="9"/>
        <v>1800</v>
      </c>
      <c r="N57" s="12">
        <f t="shared" si="9"/>
        <v>1800</v>
      </c>
    </row>
    <row r="58" spans="1:14" ht="15.75" thickTop="1" x14ac:dyDescent="0.25">
      <c r="A58" s="33" t="s">
        <v>131</v>
      </c>
      <c r="B58" s="82"/>
      <c r="C58" s="10"/>
      <c r="D58" s="10"/>
      <c r="E58" s="10"/>
      <c r="F58" s="10"/>
      <c r="G58" s="10"/>
      <c r="H58" s="10">
        <f>B51/2</f>
        <v>15000</v>
      </c>
      <c r="I58" s="10"/>
      <c r="J58" s="10"/>
      <c r="K58" s="10"/>
      <c r="L58" s="10"/>
      <c r="M58" s="10"/>
      <c r="N58" s="10">
        <f>B51/2</f>
        <v>15000</v>
      </c>
    </row>
    <row r="59" spans="1:14" x14ac:dyDescent="0.25">
      <c r="A59" s="4"/>
      <c r="B59" s="4"/>
      <c r="C59" s="8">
        <f>SUBTOTAL(109,'COSTOS RRHH'!$C$53:$C$57)+$B$51</f>
        <v>36900</v>
      </c>
      <c r="D59" s="8">
        <f>SUBTOTAL(109,'COSTOS RRHH'!$D$53:$D$57)+$B$51</f>
        <v>36900</v>
      </c>
      <c r="E59" s="8">
        <f>SUBTOTAL(109,'COSTOS RRHH'!$E$53:$E$57)+$B$51</f>
        <v>36900</v>
      </c>
      <c r="F59" s="8">
        <f>SUBTOTAL(109,'COSTOS RRHH'!$F$53:$F$57)+$B$51</f>
        <v>36900</v>
      </c>
      <c r="G59" s="8">
        <f>SUBTOTAL(109,'COSTOS RRHH'!$G$53:$G$57)+$B$51</f>
        <v>36900</v>
      </c>
      <c r="H59" s="8">
        <f>SUBTOTAL(109,'COSTOS RRHH'!$H$53:$H$57)+$B$51</f>
        <v>36900</v>
      </c>
      <c r="I59" s="8">
        <f>SUBTOTAL(109,'COSTOS RRHH'!$I$53:$I$57)+$B$51</f>
        <v>36900</v>
      </c>
      <c r="J59" s="8">
        <f>SUBTOTAL(109,'COSTOS RRHH'!$J$53:$J$57)+$B$51</f>
        <v>36900</v>
      </c>
      <c r="K59" s="8">
        <f>SUBTOTAL(109,'COSTOS RRHH'!$K$53:$K$57)+$B$51</f>
        <v>36900</v>
      </c>
      <c r="L59" s="8">
        <f>SUBTOTAL(109,'COSTOS RRHH'!$L$53:$L$57)+$B$51</f>
        <v>36900</v>
      </c>
      <c r="M59" s="8">
        <f>SUBTOTAL(109,'COSTOS RRHH'!$M$53:$M$57)+$B$51</f>
        <v>36900</v>
      </c>
      <c r="N59" s="8">
        <f>SUBTOTAL(109,'COSTOS RRHH'!$N$53:$N$57)+$B$51</f>
        <v>36900</v>
      </c>
    </row>
    <row r="60" spans="1:14" x14ac:dyDescent="0.25">
      <c r="A60" s="22" t="s">
        <v>135</v>
      </c>
      <c r="B60" s="23">
        <f>SUM('COSTOS RRHH'!$C$59:$N$59)</f>
        <v>442800</v>
      </c>
      <c r="C60" s="2"/>
      <c r="D60" s="2"/>
      <c r="E60" s="2"/>
      <c r="F60" s="2"/>
      <c r="G60" s="2"/>
      <c r="H60" s="2"/>
      <c r="I60" s="2"/>
      <c r="J60" s="2"/>
      <c r="K60" s="2"/>
      <c r="L60" s="2"/>
      <c r="M60" s="2"/>
      <c r="N60" s="2"/>
    </row>
    <row r="63" spans="1:14" x14ac:dyDescent="0.25">
      <c r="A63" s="4" t="s">
        <v>165</v>
      </c>
      <c r="B63" s="4"/>
      <c r="C63" s="2"/>
      <c r="D63" s="2"/>
      <c r="E63" s="2"/>
      <c r="F63" s="2"/>
      <c r="G63" s="2"/>
      <c r="H63" s="2"/>
      <c r="I63" s="2"/>
      <c r="J63" s="2"/>
      <c r="K63" s="2"/>
      <c r="L63" s="2"/>
      <c r="M63" s="2"/>
      <c r="N63" s="2"/>
    </row>
    <row r="64" spans="1:14" x14ac:dyDescent="0.25">
      <c r="A64" s="4" t="s">
        <v>116</v>
      </c>
      <c r="B64" s="4">
        <v>20000</v>
      </c>
      <c r="C64" s="2"/>
      <c r="D64" s="2"/>
      <c r="E64" s="2"/>
      <c r="F64" s="2"/>
      <c r="G64" s="2"/>
      <c r="H64" s="2"/>
      <c r="I64" s="2"/>
      <c r="J64" s="2"/>
      <c r="K64" s="2"/>
      <c r="L64" s="2"/>
      <c r="M64" s="2"/>
      <c r="N64" s="2"/>
    </row>
    <row r="65" spans="1:14" x14ac:dyDescent="0.25">
      <c r="A65" s="4" t="s">
        <v>117</v>
      </c>
      <c r="B65" s="4" t="s">
        <v>118</v>
      </c>
      <c r="C65" s="4" t="s">
        <v>119</v>
      </c>
      <c r="D65" s="4" t="s">
        <v>120</v>
      </c>
      <c r="E65" s="4" t="s">
        <v>121</v>
      </c>
      <c r="F65" s="4" t="s">
        <v>122</v>
      </c>
      <c r="G65" s="4" t="s">
        <v>123</v>
      </c>
      <c r="H65" s="4" t="s">
        <v>124</v>
      </c>
      <c r="I65" s="4" t="s">
        <v>125</v>
      </c>
      <c r="J65" s="4" t="s">
        <v>126</v>
      </c>
      <c r="K65" s="4" t="s">
        <v>127</v>
      </c>
      <c r="L65" s="4" t="s">
        <v>128</v>
      </c>
      <c r="M65" s="4" t="s">
        <v>129</v>
      </c>
      <c r="N65" s="4" t="s">
        <v>130</v>
      </c>
    </row>
    <row r="66" spans="1:14" ht="15.75" thickBot="1" x14ac:dyDescent="0.3">
      <c r="A66" s="33" t="s">
        <v>179</v>
      </c>
      <c r="B66" s="81">
        <v>0.1017</v>
      </c>
      <c r="C66" s="12">
        <f>$B$64*$B$66</f>
        <v>2034</v>
      </c>
      <c r="D66" s="12">
        <f t="shared" ref="D66:N66" si="10">$B$64*$B$66</f>
        <v>2034</v>
      </c>
      <c r="E66" s="12">
        <f t="shared" si="10"/>
        <v>2034</v>
      </c>
      <c r="F66" s="12">
        <f t="shared" si="10"/>
        <v>2034</v>
      </c>
      <c r="G66" s="12">
        <f t="shared" si="10"/>
        <v>2034</v>
      </c>
      <c r="H66" s="12">
        <f t="shared" si="10"/>
        <v>2034</v>
      </c>
      <c r="I66" s="12">
        <f t="shared" si="10"/>
        <v>2034</v>
      </c>
      <c r="J66" s="12">
        <f t="shared" si="10"/>
        <v>2034</v>
      </c>
      <c r="K66" s="12">
        <f t="shared" si="10"/>
        <v>2034</v>
      </c>
      <c r="L66" s="12">
        <f t="shared" si="10"/>
        <v>2034</v>
      </c>
      <c r="M66" s="12">
        <f t="shared" si="10"/>
        <v>2034</v>
      </c>
      <c r="N66" s="12">
        <f t="shared" si="10"/>
        <v>2034</v>
      </c>
    </row>
    <row r="67" spans="1:14" ht="15.75" thickTop="1" x14ac:dyDescent="0.25">
      <c r="A67" s="33" t="s">
        <v>132</v>
      </c>
      <c r="B67" s="82">
        <v>4.4400000000000002E-2</v>
      </c>
      <c r="C67" s="10">
        <f t="shared" ref="C67:N67" si="11">$B$64*$B$67</f>
        <v>888</v>
      </c>
      <c r="D67" s="10">
        <f t="shared" si="11"/>
        <v>888</v>
      </c>
      <c r="E67" s="10">
        <f t="shared" si="11"/>
        <v>888</v>
      </c>
      <c r="F67" s="10">
        <f t="shared" si="11"/>
        <v>888</v>
      </c>
      <c r="G67" s="10">
        <f t="shared" si="11"/>
        <v>888</v>
      </c>
      <c r="H67" s="10">
        <f t="shared" si="11"/>
        <v>888</v>
      </c>
      <c r="I67" s="10">
        <f t="shared" si="11"/>
        <v>888</v>
      </c>
      <c r="J67" s="10">
        <f t="shared" si="11"/>
        <v>888</v>
      </c>
      <c r="K67" s="10">
        <f t="shared" si="11"/>
        <v>888</v>
      </c>
      <c r="L67" s="10">
        <f t="shared" si="11"/>
        <v>888</v>
      </c>
      <c r="M67" s="10">
        <f t="shared" si="11"/>
        <v>888</v>
      </c>
      <c r="N67" s="10">
        <f t="shared" si="11"/>
        <v>888</v>
      </c>
    </row>
    <row r="68" spans="1:14" ht="15.75" thickBot="1" x14ac:dyDescent="0.3">
      <c r="A68" s="33" t="s">
        <v>178</v>
      </c>
      <c r="B68" s="81">
        <v>1.4999999999999999E-2</v>
      </c>
      <c r="C68" s="12">
        <f t="shared" ref="C68:N68" si="12">$B$64*$B$68</f>
        <v>300</v>
      </c>
      <c r="D68" s="12">
        <f t="shared" si="12"/>
        <v>300</v>
      </c>
      <c r="E68" s="12">
        <f t="shared" si="12"/>
        <v>300</v>
      </c>
      <c r="F68" s="12">
        <f t="shared" si="12"/>
        <v>300</v>
      </c>
      <c r="G68" s="12">
        <f t="shared" si="12"/>
        <v>300</v>
      </c>
      <c r="H68" s="12">
        <f t="shared" si="12"/>
        <v>300</v>
      </c>
      <c r="I68" s="12">
        <f t="shared" si="12"/>
        <v>300</v>
      </c>
      <c r="J68" s="12">
        <f t="shared" si="12"/>
        <v>300</v>
      </c>
      <c r="K68" s="12">
        <f t="shared" si="12"/>
        <v>300</v>
      </c>
      <c r="L68" s="12">
        <f t="shared" si="12"/>
        <v>300</v>
      </c>
      <c r="M68" s="12">
        <f t="shared" si="12"/>
        <v>300</v>
      </c>
      <c r="N68" s="12">
        <f t="shared" si="12"/>
        <v>300</v>
      </c>
    </row>
    <row r="69" spans="1:14" ht="15.75" thickTop="1" x14ac:dyDescent="0.25">
      <c r="A69" s="33" t="s">
        <v>133</v>
      </c>
      <c r="B69" s="82">
        <v>8.8999999999999999E-3</v>
      </c>
      <c r="C69" s="10">
        <f t="shared" ref="C69:N69" si="13">$B$64*$B$69</f>
        <v>178</v>
      </c>
      <c r="D69" s="10">
        <f t="shared" si="13"/>
        <v>178</v>
      </c>
      <c r="E69" s="10">
        <f t="shared" si="13"/>
        <v>178</v>
      </c>
      <c r="F69" s="10">
        <f t="shared" si="13"/>
        <v>178</v>
      </c>
      <c r="G69" s="10">
        <f t="shared" si="13"/>
        <v>178</v>
      </c>
      <c r="H69" s="10">
        <f t="shared" si="13"/>
        <v>178</v>
      </c>
      <c r="I69" s="10">
        <f t="shared" si="13"/>
        <v>178</v>
      </c>
      <c r="J69" s="10">
        <f t="shared" si="13"/>
        <v>178</v>
      </c>
      <c r="K69" s="10">
        <f t="shared" si="13"/>
        <v>178</v>
      </c>
      <c r="L69" s="10">
        <f t="shared" si="13"/>
        <v>178</v>
      </c>
      <c r="M69" s="10">
        <f t="shared" si="13"/>
        <v>178</v>
      </c>
      <c r="N69" s="10">
        <f t="shared" si="13"/>
        <v>178</v>
      </c>
    </row>
    <row r="70" spans="1:14" ht="15.75" thickBot="1" x14ac:dyDescent="0.3">
      <c r="A70" s="33" t="s">
        <v>134</v>
      </c>
      <c r="B70" s="81">
        <v>0.06</v>
      </c>
      <c r="C70" s="12">
        <f t="shared" ref="C70:N70" si="14">$B$64*$B$70</f>
        <v>1200</v>
      </c>
      <c r="D70" s="12">
        <f t="shared" si="14"/>
        <v>1200</v>
      </c>
      <c r="E70" s="12">
        <f t="shared" si="14"/>
        <v>1200</v>
      </c>
      <c r="F70" s="12">
        <f t="shared" si="14"/>
        <v>1200</v>
      </c>
      <c r="G70" s="12">
        <f t="shared" si="14"/>
        <v>1200</v>
      </c>
      <c r="H70" s="12">
        <f t="shared" si="14"/>
        <v>1200</v>
      </c>
      <c r="I70" s="12">
        <f t="shared" si="14"/>
        <v>1200</v>
      </c>
      <c r="J70" s="12">
        <f t="shared" si="14"/>
        <v>1200</v>
      </c>
      <c r="K70" s="12">
        <f t="shared" si="14"/>
        <v>1200</v>
      </c>
      <c r="L70" s="12">
        <f t="shared" si="14"/>
        <v>1200</v>
      </c>
      <c r="M70" s="12">
        <f t="shared" si="14"/>
        <v>1200</v>
      </c>
      <c r="N70" s="12">
        <f t="shared" si="14"/>
        <v>1200</v>
      </c>
    </row>
    <row r="71" spans="1:14" ht="15.75" thickTop="1" x14ac:dyDescent="0.25">
      <c r="A71" s="33" t="s">
        <v>131</v>
      </c>
      <c r="B71" s="82"/>
      <c r="C71" s="10"/>
      <c r="D71" s="10"/>
      <c r="E71" s="10"/>
      <c r="F71" s="10"/>
      <c r="G71" s="10"/>
      <c r="H71" s="10">
        <f>B64/2</f>
        <v>10000</v>
      </c>
      <c r="I71" s="10"/>
      <c r="J71" s="10"/>
      <c r="K71" s="10"/>
      <c r="L71" s="10"/>
      <c r="M71" s="10"/>
      <c r="N71" s="10">
        <f>B64/2</f>
        <v>10000</v>
      </c>
    </row>
    <row r="72" spans="1:14" x14ac:dyDescent="0.25">
      <c r="A72" s="4"/>
      <c r="B72" s="4"/>
      <c r="C72" s="8">
        <f>SUBTOTAL(109,'COSTOS RRHH'!$C$66:$C$70)+$B$64</f>
        <v>24600</v>
      </c>
      <c r="D72" s="8">
        <f>SUBTOTAL(109,'COSTOS RRHH'!$D$66:$D$70)+$B$64</f>
        <v>24600</v>
      </c>
      <c r="E72" s="8">
        <f>SUBTOTAL(109,'COSTOS RRHH'!$E$66:$E$70)+$B$64</f>
        <v>24600</v>
      </c>
      <c r="F72" s="8">
        <f>SUBTOTAL(109,'COSTOS RRHH'!$F$66:$F$70)+$B$64</f>
        <v>24600</v>
      </c>
      <c r="G72" s="8">
        <f>SUBTOTAL(109,'COSTOS RRHH'!$G$66:$G$70)+$B$64</f>
        <v>24600</v>
      </c>
      <c r="H72" s="8">
        <f>SUBTOTAL(109,'COSTOS RRHH'!$H$66:$H$70)+$B$64</f>
        <v>24600</v>
      </c>
      <c r="I72" s="8">
        <f>SUBTOTAL(109,'COSTOS RRHH'!$I$66:$I$70)+$B$64</f>
        <v>24600</v>
      </c>
      <c r="J72" s="8">
        <f>SUBTOTAL(109,'COSTOS RRHH'!$J$66:$J$70)+$B$64</f>
        <v>24600</v>
      </c>
      <c r="K72" s="8">
        <f>SUBTOTAL(109,'COSTOS RRHH'!$K$66:$K$70)+$B$64</f>
        <v>24600</v>
      </c>
      <c r="L72" s="8">
        <f>SUBTOTAL(109,'COSTOS RRHH'!$L$66:$L$70)+$B$64</f>
        <v>24600</v>
      </c>
      <c r="M72" s="8">
        <f>SUBTOTAL(109,'COSTOS RRHH'!$M$66:$M$70)+$B$64</f>
        <v>24600</v>
      </c>
      <c r="N72" s="8">
        <f>SUBTOTAL(109,'COSTOS RRHH'!$N$66:$N$70)+$B$64</f>
        <v>24600</v>
      </c>
    </row>
    <row r="73" spans="1:14" x14ac:dyDescent="0.25">
      <c r="A73" s="22" t="s">
        <v>135</v>
      </c>
      <c r="B73" s="23">
        <f>SUM('COSTOS RRHH'!$C$72:$N$72)</f>
        <v>295200</v>
      </c>
      <c r="C73" s="2"/>
      <c r="D73" s="2"/>
      <c r="E73" s="2"/>
      <c r="F73" s="2"/>
      <c r="G73" s="2"/>
      <c r="H73" s="2"/>
      <c r="I73" s="2"/>
      <c r="J73" s="2"/>
      <c r="K73" s="2"/>
      <c r="L73" s="2"/>
      <c r="M73" s="2"/>
      <c r="N73" s="2"/>
    </row>
    <row r="76" spans="1:14" x14ac:dyDescent="0.25">
      <c r="A76" s="4" t="s">
        <v>166</v>
      </c>
      <c r="B76" s="4"/>
      <c r="C76" s="2"/>
      <c r="D76" s="2"/>
      <c r="E76" s="2"/>
      <c r="F76" s="2"/>
      <c r="G76" s="2"/>
      <c r="H76" s="2"/>
      <c r="I76" s="2"/>
      <c r="J76" s="2"/>
      <c r="K76" s="2"/>
      <c r="L76" s="2"/>
      <c r="M76" s="2"/>
      <c r="N76" s="2"/>
    </row>
    <row r="77" spans="1:14" x14ac:dyDescent="0.25">
      <c r="A77" s="4" t="s">
        <v>116</v>
      </c>
      <c r="B77" s="4">
        <v>25000</v>
      </c>
      <c r="C77" s="2"/>
      <c r="D77" s="2"/>
      <c r="E77" s="2"/>
      <c r="F77" s="2"/>
      <c r="G77" s="2"/>
      <c r="H77" s="2"/>
      <c r="I77" s="2"/>
      <c r="J77" s="2"/>
      <c r="K77" s="2"/>
      <c r="L77" s="2"/>
      <c r="M77" s="2"/>
      <c r="N77" s="2"/>
    </row>
    <row r="78" spans="1:14" x14ac:dyDescent="0.25">
      <c r="A78" s="4" t="s">
        <v>117</v>
      </c>
      <c r="B78" s="4" t="s">
        <v>118</v>
      </c>
      <c r="C78" s="4" t="s">
        <v>119</v>
      </c>
      <c r="D78" s="4" t="s">
        <v>120</v>
      </c>
      <c r="E78" s="4" t="s">
        <v>121</v>
      </c>
      <c r="F78" s="4" t="s">
        <v>122</v>
      </c>
      <c r="G78" s="4" t="s">
        <v>123</v>
      </c>
      <c r="H78" s="4" t="s">
        <v>124</v>
      </c>
      <c r="I78" s="4" t="s">
        <v>125</v>
      </c>
      <c r="J78" s="4" t="s">
        <v>126</v>
      </c>
      <c r="K78" s="4" t="s">
        <v>127</v>
      </c>
      <c r="L78" s="4" t="s">
        <v>128</v>
      </c>
      <c r="M78" s="4" t="s">
        <v>129</v>
      </c>
      <c r="N78" s="4" t="s">
        <v>130</v>
      </c>
    </row>
    <row r="79" spans="1:14" ht="15.75" thickBot="1" x14ac:dyDescent="0.3">
      <c r="A79" s="33" t="s">
        <v>179</v>
      </c>
      <c r="B79" s="81">
        <v>0.1017</v>
      </c>
      <c r="C79" s="12">
        <f>$B$77*$B$79</f>
        <v>2542.5</v>
      </c>
      <c r="D79" s="12">
        <f t="shared" ref="D79:N79" si="15">$B$77*$B$79</f>
        <v>2542.5</v>
      </c>
      <c r="E79" s="12">
        <f t="shared" si="15"/>
        <v>2542.5</v>
      </c>
      <c r="F79" s="12">
        <f t="shared" si="15"/>
        <v>2542.5</v>
      </c>
      <c r="G79" s="12">
        <f t="shared" si="15"/>
        <v>2542.5</v>
      </c>
      <c r="H79" s="12">
        <f t="shared" si="15"/>
        <v>2542.5</v>
      </c>
      <c r="I79" s="12">
        <f t="shared" si="15"/>
        <v>2542.5</v>
      </c>
      <c r="J79" s="12">
        <f t="shared" si="15"/>
        <v>2542.5</v>
      </c>
      <c r="K79" s="12">
        <f t="shared" si="15"/>
        <v>2542.5</v>
      </c>
      <c r="L79" s="12">
        <f t="shared" si="15"/>
        <v>2542.5</v>
      </c>
      <c r="M79" s="12">
        <f t="shared" si="15"/>
        <v>2542.5</v>
      </c>
      <c r="N79" s="12">
        <f t="shared" si="15"/>
        <v>2542.5</v>
      </c>
    </row>
    <row r="80" spans="1:14" ht="15.75" thickTop="1" x14ac:dyDescent="0.25">
      <c r="A80" s="33" t="s">
        <v>132</v>
      </c>
      <c r="B80" s="82">
        <v>4.4400000000000002E-2</v>
      </c>
      <c r="C80" s="10">
        <f t="shared" ref="C80:N80" si="16">$B$77*$B$80</f>
        <v>1110</v>
      </c>
      <c r="D80" s="10">
        <f t="shared" si="16"/>
        <v>1110</v>
      </c>
      <c r="E80" s="10">
        <f t="shared" si="16"/>
        <v>1110</v>
      </c>
      <c r="F80" s="10">
        <f t="shared" si="16"/>
        <v>1110</v>
      </c>
      <c r="G80" s="10">
        <f t="shared" si="16"/>
        <v>1110</v>
      </c>
      <c r="H80" s="10">
        <f t="shared" si="16"/>
        <v>1110</v>
      </c>
      <c r="I80" s="10">
        <f t="shared" si="16"/>
        <v>1110</v>
      </c>
      <c r="J80" s="10">
        <f t="shared" si="16"/>
        <v>1110</v>
      </c>
      <c r="K80" s="10">
        <f t="shared" si="16"/>
        <v>1110</v>
      </c>
      <c r="L80" s="10">
        <f t="shared" si="16"/>
        <v>1110</v>
      </c>
      <c r="M80" s="10">
        <f t="shared" si="16"/>
        <v>1110</v>
      </c>
      <c r="N80" s="10">
        <f t="shared" si="16"/>
        <v>1110</v>
      </c>
    </row>
    <row r="81" spans="1:14" ht="15.75" thickBot="1" x14ac:dyDescent="0.3">
      <c r="A81" s="33" t="s">
        <v>178</v>
      </c>
      <c r="B81" s="81">
        <v>1.4999999999999999E-2</v>
      </c>
      <c r="C81" s="12">
        <f t="shared" ref="C81:N81" si="17">$B$77*$B$81</f>
        <v>375</v>
      </c>
      <c r="D81" s="12">
        <f t="shared" si="17"/>
        <v>375</v>
      </c>
      <c r="E81" s="12">
        <f t="shared" si="17"/>
        <v>375</v>
      </c>
      <c r="F81" s="12">
        <f t="shared" si="17"/>
        <v>375</v>
      </c>
      <c r="G81" s="12">
        <f t="shared" si="17"/>
        <v>375</v>
      </c>
      <c r="H81" s="12">
        <f t="shared" si="17"/>
        <v>375</v>
      </c>
      <c r="I81" s="12">
        <f t="shared" si="17"/>
        <v>375</v>
      </c>
      <c r="J81" s="12">
        <f t="shared" si="17"/>
        <v>375</v>
      </c>
      <c r="K81" s="12">
        <f t="shared" si="17"/>
        <v>375</v>
      </c>
      <c r="L81" s="12">
        <f t="shared" si="17"/>
        <v>375</v>
      </c>
      <c r="M81" s="12">
        <f t="shared" si="17"/>
        <v>375</v>
      </c>
      <c r="N81" s="12">
        <f t="shared" si="17"/>
        <v>375</v>
      </c>
    </row>
    <row r="82" spans="1:14" ht="15.75" thickTop="1" x14ac:dyDescent="0.25">
      <c r="A82" s="33" t="s">
        <v>133</v>
      </c>
      <c r="B82" s="82">
        <v>8.8999999999999999E-3</v>
      </c>
      <c r="C82" s="10">
        <f t="shared" ref="C82:N82" si="18">$B$77*$B$82</f>
        <v>222.5</v>
      </c>
      <c r="D82" s="10">
        <f t="shared" si="18"/>
        <v>222.5</v>
      </c>
      <c r="E82" s="10">
        <f t="shared" si="18"/>
        <v>222.5</v>
      </c>
      <c r="F82" s="10">
        <f t="shared" si="18"/>
        <v>222.5</v>
      </c>
      <c r="G82" s="10">
        <f t="shared" si="18"/>
        <v>222.5</v>
      </c>
      <c r="H82" s="10">
        <f t="shared" si="18"/>
        <v>222.5</v>
      </c>
      <c r="I82" s="10">
        <f t="shared" si="18"/>
        <v>222.5</v>
      </c>
      <c r="J82" s="10">
        <f t="shared" si="18"/>
        <v>222.5</v>
      </c>
      <c r="K82" s="10">
        <f t="shared" si="18"/>
        <v>222.5</v>
      </c>
      <c r="L82" s="10">
        <f t="shared" si="18"/>
        <v>222.5</v>
      </c>
      <c r="M82" s="10">
        <f t="shared" si="18"/>
        <v>222.5</v>
      </c>
      <c r="N82" s="10">
        <f t="shared" si="18"/>
        <v>222.5</v>
      </c>
    </row>
    <row r="83" spans="1:14" ht="15.75" thickBot="1" x14ac:dyDescent="0.3">
      <c r="A83" s="33" t="s">
        <v>134</v>
      </c>
      <c r="B83" s="81">
        <v>0.06</v>
      </c>
      <c r="C83" s="12">
        <f t="shared" ref="C83:N83" si="19">$B$77*$B$83</f>
        <v>1500</v>
      </c>
      <c r="D83" s="12">
        <f t="shared" si="19"/>
        <v>1500</v>
      </c>
      <c r="E83" s="12">
        <f t="shared" si="19"/>
        <v>1500</v>
      </c>
      <c r="F83" s="12">
        <f t="shared" si="19"/>
        <v>1500</v>
      </c>
      <c r="G83" s="12">
        <f t="shared" si="19"/>
        <v>1500</v>
      </c>
      <c r="H83" s="12">
        <f t="shared" si="19"/>
        <v>1500</v>
      </c>
      <c r="I83" s="12">
        <f t="shared" si="19"/>
        <v>1500</v>
      </c>
      <c r="J83" s="12">
        <f t="shared" si="19"/>
        <v>1500</v>
      </c>
      <c r="K83" s="12">
        <f t="shared" si="19"/>
        <v>1500</v>
      </c>
      <c r="L83" s="12">
        <f t="shared" si="19"/>
        <v>1500</v>
      </c>
      <c r="M83" s="12">
        <f t="shared" si="19"/>
        <v>1500</v>
      </c>
      <c r="N83" s="12">
        <f t="shared" si="19"/>
        <v>1500</v>
      </c>
    </row>
    <row r="84" spans="1:14" ht="15.75" thickTop="1" x14ac:dyDescent="0.25">
      <c r="A84" s="33" t="s">
        <v>131</v>
      </c>
      <c r="B84" s="82"/>
      <c r="C84" s="10"/>
      <c r="D84" s="10"/>
      <c r="E84" s="10"/>
      <c r="F84" s="10"/>
      <c r="G84" s="10"/>
      <c r="H84" s="10">
        <f>B77/2</f>
        <v>12500</v>
      </c>
      <c r="I84" s="10"/>
      <c r="J84" s="10"/>
      <c r="K84" s="10"/>
      <c r="L84" s="10"/>
      <c r="M84" s="10"/>
      <c r="N84" s="10">
        <f>B77/2</f>
        <v>12500</v>
      </c>
    </row>
    <row r="85" spans="1:14" x14ac:dyDescent="0.25">
      <c r="A85" s="4"/>
      <c r="B85" s="4"/>
      <c r="C85" s="8">
        <f>SUBTOTAL(109,'COSTOS RRHH'!$C$79:$C$83)+$B$77</f>
        <v>30750</v>
      </c>
      <c r="D85" s="8">
        <f>SUBTOTAL(109,'COSTOS RRHH'!$D$79:$D$83)+$B$77</f>
        <v>30750</v>
      </c>
      <c r="E85" s="8">
        <f>SUBTOTAL(109,'COSTOS RRHH'!$E$79:$E$83)+$B$77</f>
        <v>30750</v>
      </c>
      <c r="F85" s="8">
        <f>SUBTOTAL(109,'COSTOS RRHH'!$F$79:$F$83)+$B$77</f>
        <v>30750</v>
      </c>
      <c r="G85" s="8">
        <f>SUBTOTAL(109,'COSTOS RRHH'!$G$79:$G$83)+$B$77</f>
        <v>30750</v>
      </c>
      <c r="H85" s="8">
        <f>SUBTOTAL(109,'COSTOS RRHH'!$H$79:$H$83)+$B$77</f>
        <v>30750</v>
      </c>
      <c r="I85" s="8">
        <f>SUBTOTAL(109,'COSTOS RRHH'!$I$79:$I$83)+$B$77</f>
        <v>30750</v>
      </c>
      <c r="J85" s="8">
        <f>SUBTOTAL(109,'COSTOS RRHH'!$J$79:$J$83)+$B$77</f>
        <v>30750</v>
      </c>
      <c r="K85" s="8">
        <f>SUBTOTAL(109,'COSTOS RRHH'!$K$79:$K$83)+$B$77</f>
        <v>30750</v>
      </c>
      <c r="L85" s="8">
        <f>SUBTOTAL(109,'COSTOS RRHH'!$L$79:$L$83)+$B$77</f>
        <v>30750</v>
      </c>
      <c r="M85" s="8">
        <f>SUBTOTAL(109,'COSTOS RRHH'!$M$79:$M$83)+$B$77</f>
        <v>30750</v>
      </c>
      <c r="N85" s="8">
        <f>SUBTOTAL(109,'COSTOS RRHH'!$N$79:$N$83)+$B$77</f>
        <v>30750</v>
      </c>
    </row>
    <row r="86" spans="1:14" x14ac:dyDescent="0.25">
      <c r="A86" s="22" t="s">
        <v>135</v>
      </c>
      <c r="B86" s="23">
        <f>SUM('COSTOS RRHH'!$C$85:$N$85)</f>
        <v>369000</v>
      </c>
      <c r="C86" s="2"/>
      <c r="D86" s="2"/>
      <c r="E86" s="2"/>
      <c r="F86" s="2"/>
      <c r="G86" s="2"/>
      <c r="H86" s="2"/>
      <c r="I86" s="2"/>
      <c r="J86" s="2"/>
      <c r="K86" s="2"/>
      <c r="L86" s="2"/>
      <c r="M86" s="2"/>
      <c r="N86" s="2"/>
    </row>
    <row r="89" spans="1:14" x14ac:dyDescent="0.25">
      <c r="A89" s="4" t="s">
        <v>167</v>
      </c>
      <c r="B89" s="4"/>
      <c r="C89" s="2"/>
      <c r="D89" s="2"/>
      <c r="E89" s="2"/>
      <c r="F89" s="2"/>
      <c r="G89" s="2"/>
      <c r="H89" s="2"/>
      <c r="I89" s="2"/>
      <c r="J89" s="2"/>
      <c r="K89" s="2"/>
      <c r="L89" s="2"/>
      <c r="M89" s="2"/>
      <c r="N89" s="2"/>
    </row>
    <row r="90" spans="1:14" x14ac:dyDescent="0.25">
      <c r="A90" s="4" t="s">
        <v>116</v>
      </c>
      <c r="B90" s="4">
        <v>15000</v>
      </c>
      <c r="C90" s="2"/>
      <c r="D90" s="2"/>
      <c r="E90" s="2"/>
      <c r="F90" s="2"/>
      <c r="G90" s="2"/>
      <c r="H90" s="2"/>
      <c r="I90" s="2"/>
      <c r="J90" s="2"/>
      <c r="K90" s="2"/>
      <c r="L90" s="2"/>
      <c r="M90" s="2"/>
      <c r="N90" s="2"/>
    </row>
    <row r="91" spans="1:14" x14ac:dyDescent="0.25">
      <c r="A91" s="4" t="s">
        <v>117</v>
      </c>
      <c r="B91" s="4" t="s">
        <v>118</v>
      </c>
      <c r="C91" s="4" t="s">
        <v>119</v>
      </c>
      <c r="D91" s="4" t="s">
        <v>120</v>
      </c>
      <c r="E91" s="4" t="s">
        <v>121</v>
      </c>
      <c r="F91" s="4" t="s">
        <v>122</v>
      </c>
      <c r="G91" s="4" t="s">
        <v>123</v>
      </c>
      <c r="H91" s="4" t="s">
        <v>124</v>
      </c>
      <c r="I91" s="4" t="s">
        <v>125</v>
      </c>
      <c r="J91" s="4" t="s">
        <v>126</v>
      </c>
      <c r="K91" s="4" t="s">
        <v>127</v>
      </c>
      <c r="L91" s="4" t="s">
        <v>128</v>
      </c>
      <c r="M91" s="4" t="s">
        <v>129</v>
      </c>
      <c r="N91" s="4" t="s">
        <v>130</v>
      </c>
    </row>
    <row r="92" spans="1:14" ht="15.75" thickBot="1" x14ac:dyDescent="0.3">
      <c r="A92" s="33" t="s">
        <v>179</v>
      </c>
      <c r="B92" s="81">
        <v>0.1017</v>
      </c>
      <c r="C92" s="12">
        <f>$B$90*$B$92</f>
        <v>1525.5</v>
      </c>
      <c r="D92" s="12">
        <f t="shared" ref="D92:N92" si="20">$B$90*$B$92</f>
        <v>1525.5</v>
      </c>
      <c r="E92" s="12">
        <f t="shared" si="20"/>
        <v>1525.5</v>
      </c>
      <c r="F92" s="12">
        <f t="shared" si="20"/>
        <v>1525.5</v>
      </c>
      <c r="G92" s="12">
        <f t="shared" si="20"/>
        <v>1525.5</v>
      </c>
      <c r="H92" s="12">
        <f t="shared" si="20"/>
        <v>1525.5</v>
      </c>
      <c r="I92" s="12">
        <f t="shared" si="20"/>
        <v>1525.5</v>
      </c>
      <c r="J92" s="12">
        <f t="shared" si="20"/>
        <v>1525.5</v>
      </c>
      <c r="K92" s="12">
        <f t="shared" si="20"/>
        <v>1525.5</v>
      </c>
      <c r="L92" s="12">
        <f t="shared" si="20"/>
        <v>1525.5</v>
      </c>
      <c r="M92" s="12">
        <f t="shared" si="20"/>
        <v>1525.5</v>
      </c>
      <c r="N92" s="12">
        <f t="shared" si="20"/>
        <v>1525.5</v>
      </c>
    </row>
    <row r="93" spans="1:14" ht="15.75" thickTop="1" x14ac:dyDescent="0.25">
      <c r="A93" s="33" t="s">
        <v>132</v>
      </c>
      <c r="B93" s="82">
        <v>4.4400000000000002E-2</v>
      </c>
      <c r="C93" s="10">
        <f t="shared" ref="C93:N93" si="21">$B$90*$B$93</f>
        <v>666</v>
      </c>
      <c r="D93" s="10">
        <f t="shared" si="21"/>
        <v>666</v>
      </c>
      <c r="E93" s="10">
        <f t="shared" si="21"/>
        <v>666</v>
      </c>
      <c r="F93" s="10">
        <f t="shared" si="21"/>
        <v>666</v>
      </c>
      <c r="G93" s="10">
        <f t="shared" si="21"/>
        <v>666</v>
      </c>
      <c r="H93" s="10">
        <f t="shared" si="21"/>
        <v>666</v>
      </c>
      <c r="I93" s="10">
        <f t="shared" si="21"/>
        <v>666</v>
      </c>
      <c r="J93" s="10">
        <f t="shared" si="21"/>
        <v>666</v>
      </c>
      <c r="K93" s="10">
        <f t="shared" si="21"/>
        <v>666</v>
      </c>
      <c r="L93" s="10">
        <f t="shared" si="21"/>
        <v>666</v>
      </c>
      <c r="M93" s="10">
        <f t="shared" si="21"/>
        <v>666</v>
      </c>
      <c r="N93" s="10">
        <f t="shared" si="21"/>
        <v>666</v>
      </c>
    </row>
    <row r="94" spans="1:14" ht="15.75" thickBot="1" x14ac:dyDescent="0.3">
      <c r="A94" s="33" t="s">
        <v>178</v>
      </c>
      <c r="B94" s="81">
        <v>1.4999999999999999E-2</v>
      </c>
      <c r="C94" s="12">
        <f t="shared" ref="C94:N94" si="22">$B$90*$B$94</f>
        <v>225</v>
      </c>
      <c r="D94" s="12">
        <f t="shared" si="22"/>
        <v>225</v>
      </c>
      <c r="E94" s="12">
        <f t="shared" si="22"/>
        <v>225</v>
      </c>
      <c r="F94" s="12">
        <f t="shared" si="22"/>
        <v>225</v>
      </c>
      <c r="G94" s="12">
        <f t="shared" si="22"/>
        <v>225</v>
      </c>
      <c r="H94" s="12">
        <f t="shared" si="22"/>
        <v>225</v>
      </c>
      <c r="I94" s="12">
        <f t="shared" si="22"/>
        <v>225</v>
      </c>
      <c r="J94" s="12">
        <f t="shared" si="22"/>
        <v>225</v>
      </c>
      <c r="K94" s="12">
        <f t="shared" si="22"/>
        <v>225</v>
      </c>
      <c r="L94" s="12">
        <f t="shared" si="22"/>
        <v>225</v>
      </c>
      <c r="M94" s="12">
        <f t="shared" si="22"/>
        <v>225</v>
      </c>
      <c r="N94" s="12">
        <f t="shared" si="22"/>
        <v>225</v>
      </c>
    </row>
    <row r="95" spans="1:14" ht="15.75" thickTop="1" x14ac:dyDescent="0.25">
      <c r="A95" s="33" t="s">
        <v>133</v>
      </c>
      <c r="B95" s="82">
        <v>8.8999999999999999E-3</v>
      </c>
      <c r="C95" s="10">
        <f t="shared" ref="C95:N95" si="23">$B$90*$B$95</f>
        <v>133.5</v>
      </c>
      <c r="D95" s="10">
        <f t="shared" si="23"/>
        <v>133.5</v>
      </c>
      <c r="E95" s="10">
        <f t="shared" si="23"/>
        <v>133.5</v>
      </c>
      <c r="F95" s="10">
        <f t="shared" si="23"/>
        <v>133.5</v>
      </c>
      <c r="G95" s="10">
        <f t="shared" si="23"/>
        <v>133.5</v>
      </c>
      <c r="H95" s="10">
        <f t="shared" si="23"/>
        <v>133.5</v>
      </c>
      <c r="I95" s="10">
        <f t="shared" si="23"/>
        <v>133.5</v>
      </c>
      <c r="J95" s="10">
        <f t="shared" si="23"/>
        <v>133.5</v>
      </c>
      <c r="K95" s="10">
        <f t="shared" si="23"/>
        <v>133.5</v>
      </c>
      <c r="L95" s="10">
        <f t="shared" si="23"/>
        <v>133.5</v>
      </c>
      <c r="M95" s="10">
        <f t="shared" si="23"/>
        <v>133.5</v>
      </c>
      <c r="N95" s="10">
        <f t="shared" si="23"/>
        <v>133.5</v>
      </c>
    </row>
    <row r="96" spans="1:14" ht="15.75" thickBot="1" x14ac:dyDescent="0.3">
      <c r="A96" s="33" t="s">
        <v>134</v>
      </c>
      <c r="B96" s="81">
        <v>0.06</v>
      </c>
      <c r="C96" s="12">
        <f t="shared" ref="C96:N96" si="24">$B$90*$B$96</f>
        <v>900</v>
      </c>
      <c r="D96" s="12">
        <f t="shared" si="24"/>
        <v>900</v>
      </c>
      <c r="E96" s="12">
        <f t="shared" si="24"/>
        <v>900</v>
      </c>
      <c r="F96" s="12">
        <f t="shared" si="24"/>
        <v>900</v>
      </c>
      <c r="G96" s="12">
        <f t="shared" si="24"/>
        <v>900</v>
      </c>
      <c r="H96" s="12">
        <f t="shared" si="24"/>
        <v>900</v>
      </c>
      <c r="I96" s="12">
        <f t="shared" si="24"/>
        <v>900</v>
      </c>
      <c r="J96" s="12">
        <f t="shared" si="24"/>
        <v>900</v>
      </c>
      <c r="K96" s="12">
        <f t="shared" si="24"/>
        <v>900</v>
      </c>
      <c r="L96" s="12">
        <f t="shared" si="24"/>
        <v>900</v>
      </c>
      <c r="M96" s="12">
        <f t="shared" si="24"/>
        <v>900</v>
      </c>
      <c r="N96" s="12">
        <f t="shared" si="24"/>
        <v>900</v>
      </c>
    </row>
    <row r="97" spans="1:14" ht="15.75" thickTop="1" x14ac:dyDescent="0.25">
      <c r="A97" s="33" t="s">
        <v>131</v>
      </c>
      <c r="B97" s="82"/>
      <c r="C97" s="10"/>
      <c r="D97" s="10"/>
      <c r="E97" s="10"/>
      <c r="F97" s="10"/>
      <c r="G97" s="10"/>
      <c r="H97" s="10">
        <f>B90/2</f>
        <v>7500</v>
      </c>
      <c r="I97" s="10"/>
      <c r="J97" s="10"/>
      <c r="K97" s="10"/>
      <c r="L97" s="10"/>
      <c r="M97" s="10"/>
      <c r="N97" s="10">
        <f>B90/2</f>
        <v>7500</v>
      </c>
    </row>
    <row r="98" spans="1:14" x14ac:dyDescent="0.25">
      <c r="A98" s="4"/>
      <c r="B98" s="4"/>
      <c r="C98" s="8">
        <f>SUBTOTAL(109,'COSTOS RRHH'!$C$92:$C$96)+$B$90</f>
        <v>18450</v>
      </c>
      <c r="D98" s="8">
        <f>SUBTOTAL(109,'COSTOS RRHH'!$D$92:$D$96)+$B$90</f>
        <v>18450</v>
      </c>
      <c r="E98" s="8">
        <f>SUBTOTAL(109,'COSTOS RRHH'!$E$92:$E$96)+$B$90</f>
        <v>18450</v>
      </c>
      <c r="F98" s="8">
        <f>SUBTOTAL(109,'COSTOS RRHH'!$F$92:$F$96)+$B$90</f>
        <v>18450</v>
      </c>
      <c r="G98" s="8">
        <f>SUBTOTAL(109,'COSTOS RRHH'!$G$92:$G$96)+$B$90</f>
        <v>18450</v>
      </c>
      <c r="H98" s="8">
        <f>SUBTOTAL(109,'COSTOS RRHH'!$H$92:$H$96)+$B$90</f>
        <v>18450</v>
      </c>
      <c r="I98" s="8">
        <f>SUBTOTAL(109,'COSTOS RRHH'!$I$92:$I$96)+$B$90</f>
        <v>18450</v>
      </c>
      <c r="J98" s="8">
        <f>SUBTOTAL(109,'COSTOS RRHH'!$J$92:$J$96)+$B$90</f>
        <v>18450</v>
      </c>
      <c r="K98" s="8">
        <f>SUBTOTAL(109,'COSTOS RRHH'!$K$92:$K$96)+$B$90</f>
        <v>18450</v>
      </c>
      <c r="L98" s="8">
        <f>SUBTOTAL(109,'COSTOS RRHH'!$L$92:$L$96)+$B$90</f>
        <v>18450</v>
      </c>
      <c r="M98" s="8">
        <f>SUBTOTAL(109,'COSTOS RRHH'!$M$92:$M$96)+$B$90</f>
        <v>18450</v>
      </c>
      <c r="N98" s="8">
        <f>SUBTOTAL(109,'COSTOS RRHH'!$N$92:$N$96)+$B$90</f>
        <v>18450</v>
      </c>
    </row>
    <row r="99" spans="1:14" x14ac:dyDescent="0.25">
      <c r="A99" s="22" t="s">
        <v>135</v>
      </c>
      <c r="B99" s="23">
        <f>SUM('COSTOS RRHH'!$C$98:$N$98)</f>
        <v>221400</v>
      </c>
      <c r="C99" s="2"/>
      <c r="D99" s="2"/>
      <c r="E99" s="2"/>
      <c r="F99" s="2"/>
      <c r="G99" s="2"/>
      <c r="H99" s="2"/>
      <c r="I99" s="2"/>
      <c r="J99" s="2"/>
      <c r="K99" s="2"/>
      <c r="L99" s="2"/>
      <c r="M99" s="2"/>
      <c r="N99" s="2"/>
    </row>
    <row r="103" spans="1:14" x14ac:dyDescent="0.25">
      <c r="A103" s="4" t="s">
        <v>171</v>
      </c>
      <c r="B103" s="4"/>
      <c r="C103" s="2"/>
      <c r="D103" s="2"/>
      <c r="E103" s="2"/>
      <c r="F103" s="2"/>
      <c r="G103" s="2"/>
      <c r="H103" s="2"/>
      <c r="I103" s="2"/>
      <c r="J103" s="2"/>
      <c r="K103" s="2"/>
      <c r="L103" s="2"/>
      <c r="M103" s="2"/>
      <c r="N103" s="2"/>
    </row>
    <row r="104" spans="1:14" x14ac:dyDescent="0.25">
      <c r="A104" s="4" t="s">
        <v>116</v>
      </c>
      <c r="B104" s="4">
        <v>20000</v>
      </c>
      <c r="C104" s="2"/>
      <c r="D104" s="2"/>
      <c r="E104" s="2"/>
      <c r="F104" s="2"/>
      <c r="G104" s="2"/>
      <c r="H104" s="2"/>
      <c r="I104" s="2"/>
      <c r="J104" s="2"/>
      <c r="K104" s="2"/>
      <c r="L104" s="2"/>
      <c r="M104" s="2"/>
      <c r="N104" s="2"/>
    </row>
    <row r="105" spans="1:14" x14ac:dyDescent="0.25">
      <c r="A105" s="4" t="s">
        <v>117</v>
      </c>
      <c r="B105" s="4" t="s">
        <v>118</v>
      </c>
      <c r="C105" s="4" t="s">
        <v>119</v>
      </c>
      <c r="D105" s="4" t="s">
        <v>120</v>
      </c>
      <c r="E105" s="4" t="s">
        <v>121</v>
      </c>
      <c r="F105" s="4" t="s">
        <v>122</v>
      </c>
      <c r="G105" s="4" t="s">
        <v>123</v>
      </c>
      <c r="H105" s="4" t="s">
        <v>124</v>
      </c>
      <c r="I105" s="4" t="s">
        <v>125</v>
      </c>
      <c r="J105" s="4" t="s">
        <v>126</v>
      </c>
      <c r="K105" s="4" t="s">
        <v>127</v>
      </c>
      <c r="L105" s="4" t="s">
        <v>128</v>
      </c>
      <c r="M105" s="4" t="s">
        <v>129</v>
      </c>
      <c r="N105" s="4" t="s">
        <v>130</v>
      </c>
    </row>
    <row r="106" spans="1:14" ht="15.75" thickBot="1" x14ac:dyDescent="0.3">
      <c r="A106" s="33" t="s">
        <v>179</v>
      </c>
      <c r="B106" s="81">
        <v>0.1017</v>
      </c>
      <c r="C106" s="12">
        <f>$B$104*$B$106</f>
        <v>2034</v>
      </c>
      <c r="D106" s="12">
        <f t="shared" ref="D106:N106" si="25">$B$104*$B$106</f>
        <v>2034</v>
      </c>
      <c r="E106" s="12">
        <f t="shared" si="25"/>
        <v>2034</v>
      </c>
      <c r="F106" s="12">
        <f t="shared" si="25"/>
        <v>2034</v>
      </c>
      <c r="G106" s="12">
        <f t="shared" si="25"/>
        <v>2034</v>
      </c>
      <c r="H106" s="12">
        <f t="shared" si="25"/>
        <v>2034</v>
      </c>
      <c r="I106" s="12">
        <f t="shared" si="25"/>
        <v>2034</v>
      </c>
      <c r="J106" s="12">
        <f t="shared" si="25"/>
        <v>2034</v>
      </c>
      <c r="K106" s="12">
        <f t="shared" si="25"/>
        <v>2034</v>
      </c>
      <c r="L106" s="12">
        <f t="shared" si="25"/>
        <v>2034</v>
      </c>
      <c r="M106" s="12">
        <f t="shared" si="25"/>
        <v>2034</v>
      </c>
      <c r="N106" s="12">
        <f t="shared" si="25"/>
        <v>2034</v>
      </c>
    </row>
    <row r="107" spans="1:14" ht="15.75" thickTop="1" x14ac:dyDescent="0.25">
      <c r="A107" s="33" t="s">
        <v>132</v>
      </c>
      <c r="B107" s="82">
        <v>4.4400000000000002E-2</v>
      </c>
      <c r="C107" s="10">
        <f t="shared" ref="C107:N107" si="26">$B$104*$B$107</f>
        <v>888</v>
      </c>
      <c r="D107" s="10">
        <f t="shared" si="26"/>
        <v>888</v>
      </c>
      <c r="E107" s="10">
        <f t="shared" si="26"/>
        <v>888</v>
      </c>
      <c r="F107" s="10">
        <f t="shared" si="26"/>
        <v>888</v>
      </c>
      <c r="G107" s="10">
        <f t="shared" si="26"/>
        <v>888</v>
      </c>
      <c r="H107" s="10">
        <f t="shared" si="26"/>
        <v>888</v>
      </c>
      <c r="I107" s="10">
        <f t="shared" si="26"/>
        <v>888</v>
      </c>
      <c r="J107" s="10">
        <f t="shared" si="26"/>
        <v>888</v>
      </c>
      <c r="K107" s="10">
        <f t="shared" si="26"/>
        <v>888</v>
      </c>
      <c r="L107" s="10">
        <f t="shared" si="26"/>
        <v>888</v>
      </c>
      <c r="M107" s="10">
        <f t="shared" si="26"/>
        <v>888</v>
      </c>
      <c r="N107" s="10">
        <f t="shared" si="26"/>
        <v>888</v>
      </c>
    </row>
    <row r="108" spans="1:14" ht="15.75" thickBot="1" x14ac:dyDescent="0.3">
      <c r="A108" s="33" t="s">
        <v>178</v>
      </c>
      <c r="B108" s="81">
        <v>1.4999999999999999E-2</v>
      </c>
      <c r="C108" s="12">
        <f t="shared" ref="C108:N108" si="27">$B$104*$B$108</f>
        <v>300</v>
      </c>
      <c r="D108" s="12">
        <f t="shared" si="27"/>
        <v>300</v>
      </c>
      <c r="E108" s="12">
        <f t="shared" si="27"/>
        <v>300</v>
      </c>
      <c r="F108" s="12">
        <f t="shared" si="27"/>
        <v>300</v>
      </c>
      <c r="G108" s="12">
        <f t="shared" si="27"/>
        <v>300</v>
      </c>
      <c r="H108" s="12">
        <f t="shared" si="27"/>
        <v>300</v>
      </c>
      <c r="I108" s="12">
        <f t="shared" si="27"/>
        <v>300</v>
      </c>
      <c r="J108" s="12">
        <f t="shared" si="27"/>
        <v>300</v>
      </c>
      <c r="K108" s="12">
        <f t="shared" si="27"/>
        <v>300</v>
      </c>
      <c r="L108" s="12">
        <f t="shared" si="27"/>
        <v>300</v>
      </c>
      <c r="M108" s="12">
        <f t="shared" si="27"/>
        <v>300</v>
      </c>
      <c r="N108" s="12">
        <f t="shared" si="27"/>
        <v>300</v>
      </c>
    </row>
    <row r="109" spans="1:14" ht="15.75" thickTop="1" x14ac:dyDescent="0.25">
      <c r="A109" s="33" t="s">
        <v>133</v>
      </c>
      <c r="B109" s="82">
        <v>8.8999999999999999E-3</v>
      </c>
      <c r="C109" s="10">
        <f t="shared" ref="C109:N109" si="28">$B$104*$B$109</f>
        <v>178</v>
      </c>
      <c r="D109" s="10">
        <f t="shared" si="28"/>
        <v>178</v>
      </c>
      <c r="E109" s="10">
        <f t="shared" si="28"/>
        <v>178</v>
      </c>
      <c r="F109" s="10">
        <f t="shared" si="28"/>
        <v>178</v>
      </c>
      <c r="G109" s="10">
        <f t="shared" si="28"/>
        <v>178</v>
      </c>
      <c r="H109" s="10">
        <f t="shared" si="28"/>
        <v>178</v>
      </c>
      <c r="I109" s="10">
        <f t="shared" si="28"/>
        <v>178</v>
      </c>
      <c r="J109" s="10">
        <f t="shared" si="28"/>
        <v>178</v>
      </c>
      <c r="K109" s="10">
        <f t="shared" si="28"/>
        <v>178</v>
      </c>
      <c r="L109" s="10">
        <f t="shared" si="28"/>
        <v>178</v>
      </c>
      <c r="M109" s="10">
        <f t="shared" si="28"/>
        <v>178</v>
      </c>
      <c r="N109" s="10">
        <f t="shared" si="28"/>
        <v>178</v>
      </c>
    </row>
    <row r="110" spans="1:14" ht="15.75" thickBot="1" x14ac:dyDescent="0.3">
      <c r="A110" s="33" t="s">
        <v>134</v>
      </c>
      <c r="B110" s="81">
        <v>0.06</v>
      </c>
      <c r="C110" s="12">
        <f t="shared" ref="C110:N110" si="29">$B$104*$B$110</f>
        <v>1200</v>
      </c>
      <c r="D110" s="12">
        <f t="shared" si="29"/>
        <v>1200</v>
      </c>
      <c r="E110" s="12">
        <f t="shared" si="29"/>
        <v>1200</v>
      </c>
      <c r="F110" s="12">
        <f t="shared" si="29"/>
        <v>1200</v>
      </c>
      <c r="G110" s="12">
        <f t="shared" si="29"/>
        <v>1200</v>
      </c>
      <c r="H110" s="12">
        <f t="shared" si="29"/>
        <v>1200</v>
      </c>
      <c r="I110" s="12">
        <f t="shared" si="29"/>
        <v>1200</v>
      </c>
      <c r="J110" s="12">
        <f t="shared" si="29"/>
        <v>1200</v>
      </c>
      <c r="K110" s="12">
        <f t="shared" si="29"/>
        <v>1200</v>
      </c>
      <c r="L110" s="12">
        <f t="shared" si="29"/>
        <v>1200</v>
      </c>
      <c r="M110" s="12">
        <f t="shared" si="29"/>
        <v>1200</v>
      </c>
      <c r="N110" s="12">
        <f t="shared" si="29"/>
        <v>1200</v>
      </c>
    </row>
    <row r="111" spans="1:14" ht="15.75" thickTop="1" x14ac:dyDescent="0.25">
      <c r="A111" s="33" t="s">
        <v>131</v>
      </c>
      <c r="B111" s="82"/>
      <c r="C111" s="10"/>
      <c r="D111" s="10"/>
      <c r="E111" s="10"/>
      <c r="F111" s="10"/>
      <c r="G111" s="10"/>
      <c r="H111" s="10">
        <f>B104/2</f>
        <v>10000</v>
      </c>
      <c r="I111" s="10"/>
      <c r="J111" s="10"/>
      <c r="K111" s="10"/>
      <c r="L111" s="10"/>
      <c r="M111" s="10"/>
      <c r="N111" s="10">
        <f>B104/2</f>
        <v>10000</v>
      </c>
    </row>
    <row r="112" spans="1:14" x14ac:dyDescent="0.25">
      <c r="A112" s="4"/>
      <c r="B112" s="4"/>
      <c r="C112" s="8">
        <f>SUBTOTAL(109,'COSTOS RRHH'!$C$106:$C$110)+$B$104</f>
        <v>24600</v>
      </c>
      <c r="D112" s="8">
        <f>SUBTOTAL(109,'COSTOS RRHH'!$D$106:$D$110)+$B$104</f>
        <v>24600</v>
      </c>
      <c r="E112" s="8">
        <f>SUBTOTAL(109,'COSTOS RRHH'!$E$106:$E$110)+$B$104</f>
        <v>24600</v>
      </c>
      <c r="F112" s="8">
        <f>SUBTOTAL(109,'COSTOS RRHH'!$F$106:$F$110)+$B$104</f>
        <v>24600</v>
      </c>
      <c r="G112" s="8">
        <f>SUBTOTAL(109,'COSTOS RRHH'!$G$106:$G$110)+$B$104</f>
        <v>24600</v>
      </c>
      <c r="H112" s="8">
        <f>SUBTOTAL(109,'COSTOS RRHH'!$H$106:$H$110)+$B$104</f>
        <v>24600</v>
      </c>
      <c r="I112" s="8">
        <f>SUBTOTAL(109,'COSTOS RRHH'!$I$106:$I$110)+$B$104</f>
        <v>24600</v>
      </c>
      <c r="J112" s="8">
        <f>SUBTOTAL(109,'COSTOS RRHH'!$J$106:$J$110)+$B$104</f>
        <v>24600</v>
      </c>
      <c r="K112" s="8">
        <f>SUBTOTAL(109,'COSTOS RRHH'!$K$106:$K$110)+$B$104</f>
        <v>24600</v>
      </c>
      <c r="L112" s="8">
        <f>SUBTOTAL(109,'COSTOS RRHH'!$L$106:$L$110)+$B$104</f>
        <v>24600</v>
      </c>
      <c r="M112" s="8">
        <f>SUBTOTAL(109,'COSTOS RRHH'!$M$106:$M$110)+$B$104</f>
        <v>24600</v>
      </c>
      <c r="N112" s="8">
        <f>SUBTOTAL(109,'COSTOS RRHH'!$N$106:$N$110)+$B$104</f>
        <v>24600</v>
      </c>
    </row>
    <row r="113" spans="1:14" x14ac:dyDescent="0.25">
      <c r="A113" s="22" t="s">
        <v>135</v>
      </c>
      <c r="B113" s="23">
        <f>SUM('COSTOS RRHH'!$C$112:$N$112)</f>
        <v>295200</v>
      </c>
      <c r="C113" s="2"/>
      <c r="D113" s="2"/>
      <c r="E113" s="2"/>
      <c r="F113" s="2"/>
      <c r="G113" s="2"/>
      <c r="H113" s="2"/>
      <c r="I113" s="2"/>
      <c r="J113" s="2"/>
      <c r="K113" s="2"/>
      <c r="L113" s="2"/>
      <c r="M113" s="2"/>
      <c r="N113" s="2"/>
    </row>
    <row r="116" spans="1:14" x14ac:dyDescent="0.25">
      <c r="A116" s="4" t="s">
        <v>169</v>
      </c>
      <c r="B116" s="4"/>
      <c r="C116" s="2"/>
      <c r="D116" s="2"/>
      <c r="E116" s="2"/>
      <c r="F116" s="2"/>
      <c r="G116" s="2"/>
      <c r="H116" s="2"/>
      <c r="I116" s="2"/>
      <c r="J116" s="2"/>
      <c r="K116" s="2"/>
      <c r="L116" s="2"/>
      <c r="M116" s="2"/>
      <c r="N116" s="2"/>
    </row>
    <row r="117" spans="1:14" x14ac:dyDescent="0.25">
      <c r="A117" s="4" t="s">
        <v>116</v>
      </c>
      <c r="B117" s="4">
        <v>10000</v>
      </c>
      <c r="C117" s="2"/>
      <c r="D117" s="2"/>
      <c r="E117" s="2"/>
      <c r="F117" s="2"/>
      <c r="G117" s="2"/>
      <c r="H117" s="2"/>
      <c r="I117" s="2"/>
      <c r="J117" s="2"/>
      <c r="K117" s="2"/>
      <c r="L117" s="2"/>
      <c r="M117" s="2"/>
      <c r="N117" s="2"/>
    </row>
    <row r="118" spans="1:14" x14ac:dyDescent="0.25">
      <c r="A118" s="4" t="s">
        <v>117</v>
      </c>
      <c r="B118" s="4" t="s">
        <v>118</v>
      </c>
      <c r="C118" s="4" t="s">
        <v>119</v>
      </c>
      <c r="D118" s="4" t="s">
        <v>120</v>
      </c>
      <c r="E118" s="4" t="s">
        <v>121</v>
      </c>
      <c r="F118" s="4" t="s">
        <v>122</v>
      </c>
      <c r="G118" s="4" t="s">
        <v>123</v>
      </c>
      <c r="H118" s="4" t="s">
        <v>124</v>
      </c>
      <c r="I118" s="4" t="s">
        <v>125</v>
      </c>
      <c r="J118" s="4" t="s">
        <v>126</v>
      </c>
      <c r="K118" s="4" t="s">
        <v>127</v>
      </c>
      <c r="L118" s="4" t="s">
        <v>128</v>
      </c>
      <c r="M118" s="4" t="s">
        <v>129</v>
      </c>
      <c r="N118" s="4" t="s">
        <v>130</v>
      </c>
    </row>
    <row r="119" spans="1:14" ht="15.75" thickBot="1" x14ac:dyDescent="0.3">
      <c r="A119" s="33" t="s">
        <v>179</v>
      </c>
      <c r="B119" s="81">
        <v>0.1017</v>
      </c>
      <c r="C119" s="12">
        <f>$B$117*$B$119</f>
        <v>1017</v>
      </c>
      <c r="D119" s="12">
        <f t="shared" ref="D119:N119" si="30">$B$117*$B$119</f>
        <v>1017</v>
      </c>
      <c r="E119" s="12">
        <f t="shared" si="30"/>
        <v>1017</v>
      </c>
      <c r="F119" s="12">
        <f t="shared" si="30"/>
        <v>1017</v>
      </c>
      <c r="G119" s="12">
        <f t="shared" si="30"/>
        <v>1017</v>
      </c>
      <c r="H119" s="12">
        <f t="shared" si="30"/>
        <v>1017</v>
      </c>
      <c r="I119" s="12">
        <f t="shared" si="30"/>
        <v>1017</v>
      </c>
      <c r="J119" s="12">
        <f t="shared" si="30"/>
        <v>1017</v>
      </c>
      <c r="K119" s="12">
        <f t="shared" si="30"/>
        <v>1017</v>
      </c>
      <c r="L119" s="12">
        <f t="shared" si="30"/>
        <v>1017</v>
      </c>
      <c r="M119" s="12">
        <f t="shared" si="30"/>
        <v>1017</v>
      </c>
      <c r="N119" s="12">
        <f t="shared" si="30"/>
        <v>1017</v>
      </c>
    </row>
    <row r="120" spans="1:14" ht="15.75" thickTop="1" x14ac:dyDescent="0.25">
      <c r="A120" s="33" t="s">
        <v>132</v>
      </c>
      <c r="B120" s="82">
        <v>4.4400000000000002E-2</v>
      </c>
      <c r="C120" s="10">
        <f t="shared" ref="C120:N120" si="31">$B$117*$B$120</f>
        <v>444</v>
      </c>
      <c r="D120" s="10">
        <f t="shared" si="31"/>
        <v>444</v>
      </c>
      <c r="E120" s="10">
        <f t="shared" si="31"/>
        <v>444</v>
      </c>
      <c r="F120" s="10">
        <f t="shared" si="31"/>
        <v>444</v>
      </c>
      <c r="G120" s="10">
        <f t="shared" si="31"/>
        <v>444</v>
      </c>
      <c r="H120" s="10">
        <f t="shared" si="31"/>
        <v>444</v>
      </c>
      <c r="I120" s="10">
        <f t="shared" si="31"/>
        <v>444</v>
      </c>
      <c r="J120" s="10">
        <f t="shared" si="31"/>
        <v>444</v>
      </c>
      <c r="K120" s="10">
        <f t="shared" si="31"/>
        <v>444</v>
      </c>
      <c r="L120" s="10">
        <f t="shared" si="31"/>
        <v>444</v>
      </c>
      <c r="M120" s="10">
        <f t="shared" si="31"/>
        <v>444</v>
      </c>
      <c r="N120" s="10">
        <f t="shared" si="31"/>
        <v>444</v>
      </c>
    </row>
    <row r="121" spans="1:14" ht="15.75" thickBot="1" x14ac:dyDescent="0.3">
      <c r="A121" s="33" t="s">
        <v>178</v>
      </c>
      <c r="B121" s="81">
        <v>1.4999999999999999E-2</v>
      </c>
      <c r="C121" s="12">
        <f t="shared" ref="C121:N121" si="32">$B$117*$B$121</f>
        <v>150</v>
      </c>
      <c r="D121" s="12">
        <f t="shared" si="32"/>
        <v>150</v>
      </c>
      <c r="E121" s="12">
        <f t="shared" si="32"/>
        <v>150</v>
      </c>
      <c r="F121" s="12">
        <f t="shared" si="32"/>
        <v>150</v>
      </c>
      <c r="G121" s="12">
        <f t="shared" si="32"/>
        <v>150</v>
      </c>
      <c r="H121" s="12">
        <f t="shared" si="32"/>
        <v>150</v>
      </c>
      <c r="I121" s="12">
        <f t="shared" si="32"/>
        <v>150</v>
      </c>
      <c r="J121" s="12">
        <f t="shared" si="32"/>
        <v>150</v>
      </c>
      <c r="K121" s="12">
        <f t="shared" si="32"/>
        <v>150</v>
      </c>
      <c r="L121" s="12">
        <f t="shared" si="32"/>
        <v>150</v>
      </c>
      <c r="M121" s="12">
        <f t="shared" si="32"/>
        <v>150</v>
      </c>
      <c r="N121" s="12">
        <f t="shared" si="32"/>
        <v>150</v>
      </c>
    </row>
    <row r="122" spans="1:14" ht="15.75" thickTop="1" x14ac:dyDescent="0.25">
      <c r="A122" s="33" t="s">
        <v>133</v>
      </c>
      <c r="B122" s="82">
        <v>8.8999999999999999E-3</v>
      </c>
      <c r="C122" s="10">
        <f t="shared" ref="C122:N122" si="33">$B$117*$B$122</f>
        <v>89</v>
      </c>
      <c r="D122" s="10">
        <f t="shared" si="33"/>
        <v>89</v>
      </c>
      <c r="E122" s="10">
        <f t="shared" si="33"/>
        <v>89</v>
      </c>
      <c r="F122" s="10">
        <f t="shared" si="33"/>
        <v>89</v>
      </c>
      <c r="G122" s="10">
        <f t="shared" si="33"/>
        <v>89</v>
      </c>
      <c r="H122" s="10">
        <f t="shared" si="33"/>
        <v>89</v>
      </c>
      <c r="I122" s="10">
        <f t="shared" si="33"/>
        <v>89</v>
      </c>
      <c r="J122" s="10">
        <f t="shared" si="33"/>
        <v>89</v>
      </c>
      <c r="K122" s="10">
        <f t="shared" si="33"/>
        <v>89</v>
      </c>
      <c r="L122" s="10">
        <f t="shared" si="33"/>
        <v>89</v>
      </c>
      <c r="M122" s="10">
        <f t="shared" si="33"/>
        <v>89</v>
      </c>
      <c r="N122" s="10">
        <f t="shared" si="33"/>
        <v>89</v>
      </c>
    </row>
    <row r="123" spans="1:14" ht="15.75" thickBot="1" x14ac:dyDescent="0.3">
      <c r="A123" s="33" t="s">
        <v>134</v>
      </c>
      <c r="B123" s="81">
        <v>0.06</v>
      </c>
      <c r="C123" s="12">
        <f t="shared" ref="C123:N123" si="34">$B$117*$B$123</f>
        <v>600</v>
      </c>
      <c r="D123" s="12">
        <f t="shared" si="34"/>
        <v>600</v>
      </c>
      <c r="E123" s="12">
        <f t="shared" si="34"/>
        <v>600</v>
      </c>
      <c r="F123" s="12">
        <f t="shared" si="34"/>
        <v>600</v>
      </c>
      <c r="G123" s="12">
        <f t="shared" si="34"/>
        <v>600</v>
      </c>
      <c r="H123" s="12">
        <f t="shared" si="34"/>
        <v>600</v>
      </c>
      <c r="I123" s="12">
        <f t="shared" si="34"/>
        <v>600</v>
      </c>
      <c r="J123" s="12">
        <f t="shared" si="34"/>
        <v>600</v>
      </c>
      <c r="K123" s="12">
        <f t="shared" si="34"/>
        <v>600</v>
      </c>
      <c r="L123" s="12">
        <f t="shared" si="34"/>
        <v>600</v>
      </c>
      <c r="M123" s="12">
        <f t="shared" si="34"/>
        <v>600</v>
      </c>
      <c r="N123" s="12">
        <f t="shared" si="34"/>
        <v>600</v>
      </c>
    </row>
    <row r="124" spans="1:14" ht="15.75" thickTop="1" x14ac:dyDescent="0.25">
      <c r="A124" s="33" t="s">
        <v>131</v>
      </c>
      <c r="B124" s="82"/>
      <c r="C124" s="10"/>
      <c r="D124" s="10"/>
      <c r="E124" s="10"/>
      <c r="F124" s="10"/>
      <c r="G124" s="10"/>
      <c r="H124" s="10">
        <f>B117/2</f>
        <v>5000</v>
      </c>
      <c r="I124" s="10"/>
      <c r="J124" s="10"/>
      <c r="K124" s="10"/>
      <c r="L124" s="10"/>
      <c r="M124" s="10"/>
      <c r="N124" s="10">
        <f>B117/2</f>
        <v>5000</v>
      </c>
    </row>
    <row r="125" spans="1:14" x14ac:dyDescent="0.25">
      <c r="A125" s="4"/>
      <c r="B125" s="4"/>
      <c r="C125" s="8">
        <f>SUBTOTAL(109,'COSTOS RRHH'!$C$119:$C$123)+$B$117</f>
        <v>12300</v>
      </c>
      <c r="D125" s="8">
        <f>SUBTOTAL(109,'COSTOS RRHH'!$D$119:$D$123)+$B$117</f>
        <v>12300</v>
      </c>
      <c r="E125" s="8">
        <f>SUBTOTAL(109,'COSTOS RRHH'!$E$119:$E$123)+$B$117</f>
        <v>12300</v>
      </c>
      <c r="F125" s="8">
        <f>SUBTOTAL(109,'COSTOS RRHH'!$F$119:$F$123)+$B$117</f>
        <v>12300</v>
      </c>
      <c r="G125" s="8">
        <f>SUBTOTAL(109,'COSTOS RRHH'!$G$119:$G$123)+$B$117</f>
        <v>12300</v>
      </c>
      <c r="H125" s="8">
        <f>SUBTOTAL(109,'COSTOS RRHH'!$H$119:$H$123)+$B$117</f>
        <v>12300</v>
      </c>
      <c r="I125" s="8">
        <f>SUBTOTAL(109,'COSTOS RRHH'!$I$119:$I$123)+$B$117</f>
        <v>12300</v>
      </c>
      <c r="J125" s="8">
        <f>SUBTOTAL(109,'COSTOS RRHH'!$J$119:$J$123)+$B$117</f>
        <v>12300</v>
      </c>
      <c r="K125" s="8">
        <f>SUBTOTAL(109,'COSTOS RRHH'!$K$119:$K$123)+$B$117</f>
        <v>12300</v>
      </c>
      <c r="L125" s="8">
        <f>SUBTOTAL(109,'COSTOS RRHH'!$L$119:$L$123)+$B$117</f>
        <v>12300</v>
      </c>
      <c r="M125" s="8">
        <f>SUBTOTAL(109,'COSTOS RRHH'!$M$119:$M$123)+$B$117</f>
        <v>12300</v>
      </c>
      <c r="N125" s="8">
        <f>SUBTOTAL(109,'COSTOS RRHH'!$N$119:$N$123)+$B$117</f>
        <v>12300</v>
      </c>
    </row>
    <row r="126" spans="1:14" x14ac:dyDescent="0.25">
      <c r="A126" s="22" t="s">
        <v>135</v>
      </c>
      <c r="B126" s="23">
        <f>SUM('COSTOS RRHH'!$C$125:$N$125)</f>
        <v>147600</v>
      </c>
      <c r="C126" s="2"/>
      <c r="D126" s="2"/>
      <c r="E126" s="2"/>
      <c r="F126" s="2"/>
      <c r="G126" s="2"/>
      <c r="H126" s="2"/>
      <c r="I126" s="2"/>
      <c r="J126" s="2"/>
      <c r="K126" s="2"/>
      <c r="L126" s="2"/>
      <c r="M126" s="2"/>
      <c r="N126" s="2"/>
    </row>
  </sheetData>
  <mergeCells count="4">
    <mergeCell ref="A1:K1"/>
    <mergeCell ref="A4:B4"/>
    <mergeCell ref="J12:K12"/>
    <mergeCell ref="A50:B50"/>
  </mergeCells>
  <pageMargins left="0.23622047244094491" right="0.23622047244094491" top="0.98425196850393704" bottom="0.74803149606299213" header="0.31496062992125984" footer="0.31496062992125984"/>
  <pageSetup orientation="landscape" r:id="rId1"/>
  <headerFooter>
    <oddHeader>&amp;L&amp;"-,Negrita"&amp;16NATURAL FORT&amp;"-,Normal"
Alimento para perros&amp;C&amp;"-,Negrita"&amp;18&amp;U&amp;A&amp;RDocente a cargo:  Jorge Scali
Alumno: Hugo Castromán</oddHeader>
    <oddFooter>&amp;CPágina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0"/>
  <sheetViews>
    <sheetView showGridLines="0" zoomScaleNormal="100" workbookViewId="0">
      <selection activeCell="D16" sqref="D16"/>
    </sheetView>
  </sheetViews>
  <sheetFormatPr defaultColWidth="11.42578125" defaultRowHeight="15" x14ac:dyDescent="0.25"/>
  <cols>
    <col min="1" max="1" width="31.28515625" bestFit="1" customWidth="1"/>
    <col min="2" max="2" width="11.7109375" customWidth="1"/>
    <col min="3" max="3" width="16.42578125" customWidth="1"/>
    <col min="4" max="4" width="14" bestFit="1" customWidth="1"/>
    <col min="5" max="5" width="137.42578125" bestFit="1" customWidth="1"/>
  </cols>
  <sheetData>
    <row r="1" spans="1:5" ht="36" x14ac:dyDescent="0.55000000000000004">
      <c r="A1" s="97" t="s">
        <v>136</v>
      </c>
      <c r="B1" s="97"/>
      <c r="C1" s="97"/>
      <c r="D1" s="97"/>
      <c r="E1" s="97"/>
    </row>
    <row r="5" spans="1:5" x14ac:dyDescent="0.25">
      <c r="A5" s="4" t="s">
        <v>43</v>
      </c>
      <c r="B5" s="4" t="s">
        <v>32</v>
      </c>
      <c r="C5" s="4" t="s">
        <v>137</v>
      </c>
      <c r="D5" s="4" t="s">
        <v>0</v>
      </c>
      <c r="E5" s="4" t="s">
        <v>138</v>
      </c>
    </row>
    <row r="6" spans="1:5" ht="15.75" thickBot="1" x14ac:dyDescent="0.3">
      <c r="A6" s="4" t="s">
        <v>139</v>
      </c>
      <c r="B6" s="4"/>
      <c r="C6" s="4"/>
      <c r="D6" s="4"/>
      <c r="E6" s="4"/>
    </row>
    <row r="7" spans="1:5" ht="15.75" thickTop="1" x14ac:dyDescent="0.25">
      <c r="A7" s="14" t="s">
        <v>140</v>
      </c>
      <c r="B7" s="9">
        <v>4</v>
      </c>
      <c r="C7" s="10">
        <v>1500</v>
      </c>
      <c r="D7" s="10">
        <f>C7*B7</f>
        <v>6000</v>
      </c>
      <c r="E7" s="9" t="s">
        <v>141</v>
      </c>
    </row>
    <row r="8" spans="1:5" ht="15.75" thickBot="1" x14ac:dyDescent="0.3">
      <c r="A8" s="14" t="s">
        <v>142</v>
      </c>
      <c r="B8" s="11">
        <v>10</v>
      </c>
      <c r="C8" s="12">
        <v>700</v>
      </c>
      <c r="D8" s="12">
        <f t="shared" ref="D8:D10" si="0">C8*B8</f>
        <v>7000</v>
      </c>
      <c r="E8" s="11" t="s">
        <v>143</v>
      </c>
    </row>
    <row r="9" spans="1:5" ht="15.75" thickTop="1" x14ac:dyDescent="0.25">
      <c r="A9" s="14" t="s">
        <v>144</v>
      </c>
      <c r="B9" s="9">
        <v>10</v>
      </c>
      <c r="C9" s="10">
        <v>450</v>
      </c>
      <c r="D9" s="10">
        <f t="shared" si="0"/>
        <v>4500</v>
      </c>
      <c r="E9" s="9" t="s">
        <v>145</v>
      </c>
    </row>
    <row r="10" spans="1:5" x14ac:dyDescent="0.25">
      <c r="A10" s="14" t="s">
        <v>146</v>
      </c>
      <c r="B10" s="11">
        <v>4</v>
      </c>
      <c r="C10" s="12">
        <v>3550</v>
      </c>
      <c r="D10" s="12">
        <f t="shared" si="0"/>
        <v>14200</v>
      </c>
      <c r="E10" s="11" t="s">
        <v>191</v>
      </c>
    </row>
    <row r="11" spans="1:5" ht="15.75" thickBot="1" x14ac:dyDescent="0.3">
      <c r="A11" s="4" t="s">
        <v>147</v>
      </c>
      <c r="B11" s="4"/>
      <c r="C11" s="4"/>
      <c r="D11" s="4"/>
      <c r="E11" s="4"/>
    </row>
    <row r="12" spans="1:5" ht="15.75" thickTop="1" x14ac:dyDescent="0.25">
      <c r="A12" s="14" t="s">
        <v>148</v>
      </c>
      <c r="B12" s="9">
        <v>6</v>
      </c>
      <c r="C12" s="10">
        <v>9100</v>
      </c>
      <c r="D12" s="10">
        <f t="shared" ref="D12:D17" si="1">C12*B12</f>
        <v>54600</v>
      </c>
      <c r="E12" s="9" t="s">
        <v>192</v>
      </c>
    </row>
    <row r="13" spans="1:5" ht="15.75" thickBot="1" x14ac:dyDescent="0.3">
      <c r="A13" s="14" t="s">
        <v>149</v>
      </c>
      <c r="B13" s="11">
        <v>1</v>
      </c>
      <c r="C13" s="12">
        <v>25000</v>
      </c>
      <c r="D13" s="12">
        <f t="shared" si="1"/>
        <v>25000</v>
      </c>
      <c r="E13" s="11" t="s">
        <v>193</v>
      </c>
    </row>
    <row r="14" spans="1:5" ht="15.75" thickTop="1" x14ac:dyDescent="0.25">
      <c r="A14" s="14" t="s">
        <v>150</v>
      </c>
      <c r="B14" s="9">
        <v>1</v>
      </c>
      <c r="C14" s="10">
        <v>1900</v>
      </c>
      <c r="D14" s="10">
        <f t="shared" si="1"/>
        <v>1900</v>
      </c>
      <c r="E14" s="9" t="s">
        <v>194</v>
      </c>
    </row>
    <row r="15" spans="1:5" ht="15.75" thickBot="1" x14ac:dyDescent="0.3">
      <c r="A15" s="14" t="s">
        <v>151</v>
      </c>
      <c r="B15" s="11">
        <v>6</v>
      </c>
      <c r="C15" s="12">
        <v>1100</v>
      </c>
      <c r="D15" s="12">
        <f t="shared" si="1"/>
        <v>6600</v>
      </c>
      <c r="E15" s="11" t="s">
        <v>195</v>
      </c>
    </row>
    <row r="16" spans="1:5" ht="15.75" thickTop="1" x14ac:dyDescent="0.25">
      <c r="A16" s="14" t="s">
        <v>152</v>
      </c>
      <c r="B16" s="9">
        <v>1</v>
      </c>
      <c r="C16" s="10">
        <v>3500</v>
      </c>
      <c r="D16" s="10">
        <f t="shared" si="1"/>
        <v>3500</v>
      </c>
      <c r="E16" s="9" t="s">
        <v>153</v>
      </c>
    </row>
    <row r="17" spans="1:5" x14ac:dyDescent="0.25">
      <c r="A17" s="14" t="s">
        <v>154</v>
      </c>
      <c r="B17" s="11">
        <v>1</v>
      </c>
      <c r="C17" s="12">
        <v>3600</v>
      </c>
      <c r="D17" s="12">
        <f t="shared" si="1"/>
        <v>3600</v>
      </c>
      <c r="E17" s="11" t="s">
        <v>196</v>
      </c>
    </row>
    <row r="18" spans="1:5" ht="15.75" thickBot="1" x14ac:dyDescent="0.3">
      <c r="A18" s="4" t="s">
        <v>229</v>
      </c>
      <c r="B18" s="4"/>
      <c r="C18" s="4"/>
      <c r="D18" s="4"/>
      <c r="E18" s="4"/>
    </row>
    <row r="19" spans="1:5" ht="15.75" thickTop="1" x14ac:dyDescent="0.25">
      <c r="A19" s="14" t="s">
        <v>228</v>
      </c>
      <c r="B19" s="9">
        <v>6</v>
      </c>
      <c r="C19" s="10"/>
      <c r="D19" s="10">
        <v>150000</v>
      </c>
      <c r="E19" s="9" t="s">
        <v>192</v>
      </c>
    </row>
    <row r="20" spans="1:5" x14ac:dyDescent="0.25">
      <c r="C20" s="20" t="s">
        <v>90</v>
      </c>
      <c r="D20" s="30">
        <f>SUM(D7:D19)</f>
        <v>276900</v>
      </c>
    </row>
  </sheetData>
  <mergeCells count="1">
    <mergeCell ref="A1:E1"/>
  </mergeCells>
  <hyperlinks>
    <hyperlink ref="E7" r:id="rId1"/>
  </hyperlinks>
  <pageMargins left="0.23622047244094491" right="0.23622047244094491" top="0.94488188976377963" bottom="0.74803149606299213" header="0.31496062992125984" footer="0.31496062992125984"/>
  <pageSetup paperSize="9" scale="67" fitToHeight="0" orientation="landscape" r:id="rId2"/>
  <headerFooter>
    <oddHeader>&amp;L&amp;"-,Negrita"&amp;16NATURAL FORT&amp;"-,Normal"
Alimento para perros&amp;C&amp;"-,Negrita"&amp;18&amp;U&amp;A&amp;RDocente a cargo:  Jorge Scali
Alumno: Hugo Castromán</oddHeader>
    <oddFooter>&amp;CPágina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Sheet3</vt:lpstr>
      <vt:lpstr>HIPOTESIS</vt:lpstr>
      <vt:lpstr>MODELO DE INGRESOS</vt:lpstr>
      <vt:lpstr>PROYECCION DE VENTAS</vt:lpstr>
      <vt:lpstr>CALCULO COSTO UNITARIO</vt:lpstr>
      <vt:lpstr>COSTOS FIJOS</vt:lpstr>
      <vt:lpstr>COSTOS VARIABLES</vt:lpstr>
      <vt:lpstr>COSTOS RRHH</vt:lpstr>
      <vt:lpstr>MODELO DE INVERSION INICIAL</vt:lpstr>
      <vt:lpstr>AMORTIZACIONES</vt:lpstr>
    </vt:vector>
  </TitlesOfParts>
  <Company>Telecom Argentina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Baubeta</dc:creator>
  <cp:lastModifiedBy>Daniel Baubeta</cp:lastModifiedBy>
  <cp:lastPrinted>2015-07-23T21:02:58Z</cp:lastPrinted>
  <dcterms:created xsi:type="dcterms:W3CDTF">2014-10-13T15:59:47Z</dcterms:created>
  <dcterms:modified xsi:type="dcterms:W3CDTF">2017-10-12T21:02:42Z</dcterms:modified>
</cp:coreProperties>
</file>