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2.xml" ContentType="application/vnd.openxmlformats-officedocument.spreadsheetml.query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8d7d8de63e4535/"/>
    </mc:Choice>
  </mc:AlternateContent>
  <xr:revisionPtr revIDLastSave="4022" documentId="13_ncr:1_{EA925EC9-73FC-468D-8B9E-F2D612216F93}" xr6:coauthVersionLast="47" xr6:coauthVersionMax="47" xr10:uidLastSave="{85133F21-DA94-405A-A441-69C486347C1C}"/>
  <bookViews>
    <workbookView minimized="1" xWindow="19125" yWindow="0" windowWidth="19275" windowHeight="20985" activeTab="4" xr2:uid="{046858EE-5834-47FF-B1F2-0D5E20DD1B68}"/>
  </bookViews>
  <sheets>
    <sheet name="Balances" sheetId="2" r:id="rId1"/>
    <sheet name="tbMyQuotes" sheetId="20" state="hidden" r:id="rId2"/>
    <sheet name="Transactions" sheetId="1" r:id="rId3"/>
    <sheet name="Journal" sheetId="15" r:id="rId4"/>
    <sheet name="Dashboard" sheetId="17" r:id="rId5"/>
    <sheet name="Scratch Pad" sheetId="7" r:id="rId6"/>
    <sheet name="Asset history" sheetId="11" state="hidden" r:id="rId7"/>
    <sheet name="Asset watchlist" sheetId="13" state="hidden" r:id="rId8"/>
    <sheet name="Exchange" sheetId="6" state="hidden" r:id="rId9"/>
  </sheets>
  <definedNames>
    <definedName name="ExternalData_1" localSheetId="7" hidden="1">'Asset watchlist'!$A$1:$F$360</definedName>
    <definedName name="ExternalData_1" localSheetId="1" hidden="1">tbMyQuotes!$A$1:$F$8</definedName>
    <definedName name="iBITO_Delta">Dashboard!$M$10</definedName>
    <definedName name="iBITO_Price">Dashboard!$C$10</definedName>
    <definedName name="iBTC_Cap" localSheetId="8">Exchange!#REF!</definedName>
    <definedName name="iBTC_Cap">#REF!</definedName>
    <definedName name="iBTCX_Delta">Dashboard!$M$16</definedName>
    <definedName name="iBTCX_Price">Dashboard!$C$16</definedName>
    <definedName name="iCurrentValueETH" localSheetId="4">Dashboard!$F$69</definedName>
    <definedName name="iCurrentValueETH">'Scratch Pad'!$C$63</definedName>
    <definedName name="iDelta" localSheetId="4">Dashboard!$F$73</definedName>
    <definedName name="iDelta">'Scratch Pad'!$C$64</definedName>
    <definedName name="iETH_Delta">Dashboard!$M$4</definedName>
    <definedName name="iETH_Price">Dashboard!$C$4</definedName>
    <definedName name="iETHAdded" localSheetId="4">Dashboard!$I$65</definedName>
    <definedName name="iETHAdded">'Scratch Pad'!$F$59</definedName>
    <definedName name="iETHStarting" localSheetId="4">Dashboard!$I$63</definedName>
    <definedName name="iETHStarting">'Scratch Pad'!$F$57</definedName>
    <definedName name="iGrowthETH" localSheetId="4">Dashboard!$I$66</definedName>
    <definedName name="iGrowthETH">'Scratch Pad'!$F$60</definedName>
    <definedName name="iOpeningBalanceETH">Journal!$E$6</definedName>
    <definedName name="iTotalCap" localSheetId="8">Exchange!#REF!</definedName>
    <definedName name="iTotalCap">#REF!</definedName>
    <definedName name="PhoneTradeFee" localSheetId="4">Dashboard!$G$18</definedName>
    <definedName name="PhoneTradeFee">'Scratch Pad'!$D$12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3" l="1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50" i="13"/>
  <c r="J151" i="13"/>
  <c r="J152" i="13"/>
  <c r="J153" i="13"/>
  <c r="J154" i="13"/>
  <c r="J155" i="13"/>
  <c r="J156" i="13"/>
  <c r="J157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J173" i="13"/>
  <c r="J174" i="13"/>
  <c r="J175" i="13"/>
  <c r="J176" i="13"/>
  <c r="J177" i="13"/>
  <c r="J178" i="13"/>
  <c r="J179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97" i="13"/>
  <c r="J198" i="13"/>
  <c r="J199" i="13"/>
  <c r="J200" i="13"/>
  <c r="J201" i="13"/>
  <c r="J202" i="13"/>
  <c r="J203" i="13"/>
  <c r="J204" i="13"/>
  <c r="J205" i="13"/>
  <c r="J206" i="13"/>
  <c r="J207" i="13"/>
  <c r="J208" i="13"/>
  <c r="J209" i="13"/>
  <c r="J210" i="13"/>
  <c r="J211" i="13"/>
  <c r="J212" i="13"/>
  <c r="J213" i="13"/>
  <c r="J214" i="13"/>
  <c r="J215" i="13"/>
  <c r="J216" i="13"/>
  <c r="J217" i="13"/>
  <c r="J218" i="13"/>
  <c r="J219" i="13"/>
  <c r="J220" i="13"/>
  <c r="J221" i="13"/>
  <c r="J222" i="13"/>
  <c r="J223" i="13"/>
  <c r="J224" i="13"/>
  <c r="J225" i="13"/>
  <c r="J226" i="13"/>
  <c r="J227" i="13"/>
  <c r="J228" i="13"/>
  <c r="J229" i="13"/>
  <c r="J230" i="13"/>
  <c r="J231" i="13"/>
  <c r="J232" i="13"/>
  <c r="J233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54" i="13"/>
  <c r="J255" i="13"/>
  <c r="J256" i="13"/>
  <c r="J257" i="13"/>
  <c r="J258" i="13"/>
  <c r="J259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82" i="13"/>
  <c r="J283" i="13"/>
  <c r="J284" i="13"/>
  <c r="J285" i="13"/>
  <c r="J286" i="13"/>
  <c r="J287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300" i="13"/>
  <c r="J301" i="13"/>
  <c r="J302" i="13"/>
  <c r="J303" i="13"/>
  <c r="J304" i="13"/>
  <c r="J305" i="13"/>
  <c r="J306" i="13"/>
  <c r="J307" i="13"/>
  <c r="J308" i="13"/>
  <c r="J309" i="13"/>
  <c r="J310" i="13"/>
  <c r="J311" i="13"/>
  <c r="J312" i="13"/>
  <c r="J313" i="13"/>
  <c r="J314" i="13"/>
  <c r="J315" i="13"/>
  <c r="J316" i="13"/>
  <c r="J317" i="13"/>
  <c r="J318" i="13"/>
  <c r="J319" i="13"/>
  <c r="J320" i="13"/>
  <c r="J321" i="13"/>
  <c r="J322" i="13"/>
  <c r="J323" i="13"/>
  <c r="J324" i="13"/>
  <c r="J325" i="13"/>
  <c r="J326" i="13"/>
  <c r="J327" i="13"/>
  <c r="J328" i="13"/>
  <c r="J329" i="13"/>
  <c r="J330" i="13"/>
  <c r="J331" i="13"/>
  <c r="J332" i="13"/>
  <c r="J333" i="13"/>
  <c r="J334" i="13"/>
  <c r="J335" i="13"/>
  <c r="J336" i="13"/>
  <c r="J337" i="13"/>
  <c r="J338" i="13"/>
  <c r="J339" i="13"/>
  <c r="J340" i="13"/>
  <c r="J341" i="13"/>
  <c r="J342" i="13"/>
  <c r="J343" i="13"/>
  <c r="J344" i="13"/>
  <c r="J345" i="13"/>
  <c r="J346" i="13"/>
  <c r="J347" i="13"/>
  <c r="J348" i="13"/>
  <c r="J349" i="13"/>
  <c r="J350" i="13"/>
  <c r="J351" i="13"/>
  <c r="J352" i="13"/>
  <c r="J353" i="13"/>
  <c r="J354" i="13"/>
  <c r="J355" i="13"/>
  <c r="J356" i="13"/>
  <c r="J357" i="13"/>
  <c r="J358" i="13"/>
  <c r="J359" i="13"/>
  <c r="J360" i="13"/>
  <c r="C69" i="7" l="1"/>
  <c r="I68" i="7"/>
  <c r="K815" i="1"/>
  <c r="H815" i="1"/>
  <c r="K814" i="1"/>
  <c r="H814" i="1"/>
  <c r="K813" i="1"/>
  <c r="H813" i="1"/>
  <c r="K812" i="1"/>
  <c r="H812" i="1"/>
  <c r="K811" i="1"/>
  <c r="H811" i="1"/>
  <c r="K810" i="1"/>
  <c r="H810" i="1"/>
  <c r="K809" i="1"/>
  <c r="H809" i="1"/>
  <c r="K808" i="1"/>
  <c r="H808" i="1"/>
  <c r="K807" i="1"/>
  <c r="H807" i="1"/>
  <c r="K806" i="1"/>
  <c r="H806" i="1"/>
  <c r="K805" i="1"/>
  <c r="H805" i="1"/>
  <c r="K804" i="1"/>
  <c r="H804" i="1"/>
  <c r="K803" i="1"/>
  <c r="H803" i="1"/>
  <c r="F15" i="2" l="1"/>
  <c r="F10" i="2"/>
  <c r="F9" i="2"/>
  <c r="F8" i="2"/>
  <c r="F7" i="2"/>
  <c r="C60" i="7" s="1"/>
  <c r="I58" i="7" s="1"/>
  <c r="F5" i="2"/>
  <c r="C4" i="17" s="1"/>
  <c r="F4" i="2"/>
  <c r="I16" i="17"/>
  <c r="E16" i="17"/>
  <c r="E10" i="17"/>
  <c r="I10" i="17"/>
  <c r="C74" i="7" a="1"/>
  <c r="C74" i="7" s="1"/>
  <c r="C64" i="7"/>
  <c r="I4" i="17"/>
  <c r="E4" i="17"/>
  <c r="K802" i="1"/>
  <c r="H802" i="1"/>
  <c r="K801" i="1"/>
  <c r="K800" i="1"/>
  <c r="K799" i="1"/>
  <c r="K798" i="1"/>
  <c r="H798" i="1"/>
  <c r="C101" i="7"/>
  <c r="E8" i="2"/>
  <c r="K76" i="15"/>
  <c r="J76" i="15"/>
  <c r="I76" i="15"/>
  <c r="H76" i="15"/>
  <c r="G76" i="15"/>
  <c r="F76" i="15"/>
  <c r="J75" i="15"/>
  <c r="G75" i="15"/>
  <c r="H800" i="1"/>
  <c r="H799" i="1"/>
  <c r="K793" i="1"/>
  <c r="H793" i="1"/>
  <c r="K792" i="1"/>
  <c r="H792" i="1"/>
  <c r="K791" i="1"/>
  <c r="H791" i="1"/>
  <c r="K73" i="15"/>
  <c r="J73" i="15"/>
  <c r="I73" i="15"/>
  <c r="H73" i="15"/>
  <c r="G73" i="15"/>
  <c r="F73" i="15"/>
  <c r="K790" i="1"/>
  <c r="H790" i="1"/>
  <c r="K789" i="1"/>
  <c r="H789" i="1"/>
  <c r="K788" i="1"/>
  <c r="H788" i="1"/>
  <c r="E787" i="1"/>
  <c r="K786" i="1"/>
  <c r="H786" i="1"/>
  <c r="K71" i="15"/>
  <c r="J71" i="15"/>
  <c r="I71" i="15"/>
  <c r="H71" i="15"/>
  <c r="G71" i="15"/>
  <c r="F71" i="15"/>
  <c r="K783" i="1"/>
  <c r="K782" i="1"/>
  <c r="K781" i="1"/>
  <c r="K780" i="1"/>
  <c r="K773" i="1"/>
  <c r="H773" i="1"/>
  <c r="K772" i="1"/>
  <c r="H772" i="1"/>
  <c r="K771" i="1"/>
  <c r="H771" i="1"/>
  <c r="K770" i="1"/>
  <c r="H770" i="1"/>
  <c r="K768" i="1"/>
  <c r="H768" i="1"/>
  <c r="H766" i="1"/>
  <c r="K765" i="1"/>
  <c r="H765" i="1"/>
  <c r="J70" i="15"/>
  <c r="G70" i="15"/>
  <c r="K69" i="15"/>
  <c r="J69" i="15"/>
  <c r="I69" i="15"/>
  <c r="H69" i="15"/>
  <c r="G69" i="15"/>
  <c r="F69" i="15"/>
  <c r="G68" i="15"/>
  <c r="D86" i="7"/>
  <c r="D87" i="7"/>
  <c r="D88" i="7"/>
  <c r="F88" i="7" s="1"/>
  <c r="D89" i="7"/>
  <c r="F89" i="7" s="1"/>
  <c r="D90" i="7"/>
  <c r="F90" i="7" s="1"/>
  <c r="K762" i="1"/>
  <c r="H762" i="1"/>
  <c r="K66" i="15"/>
  <c r="J66" i="15"/>
  <c r="I66" i="15"/>
  <c r="H66" i="15"/>
  <c r="G66" i="15"/>
  <c r="F66" i="15"/>
  <c r="G63" i="15"/>
  <c r="F67" i="7"/>
  <c r="E10" i="2"/>
  <c r="J65" i="15"/>
  <c r="G65" i="15"/>
  <c r="K64" i="15"/>
  <c r="J64" i="15"/>
  <c r="I64" i="15"/>
  <c r="H64" i="15"/>
  <c r="G64" i="15"/>
  <c r="F64" i="15"/>
  <c r="K758" i="1"/>
  <c r="H758" i="1"/>
  <c r="J62" i="15"/>
  <c r="G62" i="15"/>
  <c r="K61" i="15"/>
  <c r="J61" i="15"/>
  <c r="I61" i="15"/>
  <c r="F61" i="15"/>
  <c r="G61" i="15"/>
  <c r="H61" i="15"/>
  <c r="H82" i="7"/>
  <c r="I82" i="7" s="1"/>
  <c r="D82" i="7"/>
  <c r="E82" i="7" s="1"/>
  <c r="L79" i="7"/>
  <c r="H79" i="7"/>
  <c r="D79" i="7"/>
  <c r="K824" i="1"/>
  <c r="H824" i="1"/>
  <c r="K823" i="1"/>
  <c r="H823" i="1"/>
  <c r="K822" i="1"/>
  <c r="H822" i="1"/>
  <c r="K821" i="1"/>
  <c r="H821" i="1"/>
  <c r="K820" i="1"/>
  <c r="H820" i="1"/>
  <c r="K819" i="1"/>
  <c r="H819" i="1"/>
  <c r="K818" i="1"/>
  <c r="H818" i="1"/>
  <c r="K817" i="1"/>
  <c r="H817" i="1"/>
  <c r="K816" i="1"/>
  <c r="H816" i="1"/>
  <c r="H801" i="1"/>
  <c r="K797" i="1"/>
  <c r="H797" i="1"/>
  <c r="K796" i="1"/>
  <c r="H796" i="1"/>
  <c r="K795" i="1"/>
  <c r="H795" i="1"/>
  <c r="K794" i="1"/>
  <c r="H794" i="1"/>
  <c r="K787" i="1"/>
  <c r="H787" i="1"/>
  <c r="K785" i="1"/>
  <c r="H785" i="1"/>
  <c r="K784" i="1"/>
  <c r="H784" i="1"/>
  <c r="H783" i="1"/>
  <c r="H782" i="1"/>
  <c r="H781" i="1"/>
  <c r="H780" i="1"/>
  <c r="K779" i="1"/>
  <c r="H779" i="1"/>
  <c r="K778" i="1"/>
  <c r="H778" i="1"/>
  <c r="K777" i="1"/>
  <c r="H777" i="1"/>
  <c r="K776" i="1"/>
  <c r="H776" i="1"/>
  <c r="K775" i="1"/>
  <c r="H775" i="1"/>
  <c r="K774" i="1"/>
  <c r="H774" i="1"/>
  <c r="K769" i="1"/>
  <c r="H769" i="1"/>
  <c r="K764" i="1"/>
  <c r="H764" i="1"/>
  <c r="K763" i="1"/>
  <c r="H763" i="1"/>
  <c r="K766" i="1"/>
  <c r="K761" i="1"/>
  <c r="H761" i="1"/>
  <c r="K760" i="1"/>
  <c r="H760" i="1"/>
  <c r="K759" i="1"/>
  <c r="H759" i="1"/>
  <c r="K757" i="1"/>
  <c r="H757" i="1"/>
  <c r="K756" i="1"/>
  <c r="H756" i="1"/>
  <c r="K754" i="1"/>
  <c r="H754" i="1"/>
  <c r="K753" i="1"/>
  <c r="H753" i="1"/>
  <c r="K752" i="1"/>
  <c r="H752" i="1"/>
  <c r="K751" i="1"/>
  <c r="H751" i="1"/>
  <c r="K750" i="1"/>
  <c r="H750" i="1"/>
  <c r="K749" i="1"/>
  <c r="H749" i="1"/>
  <c r="K747" i="1"/>
  <c r="H747" i="1"/>
  <c r="K746" i="1"/>
  <c r="H746" i="1"/>
  <c r="F73" i="7"/>
  <c r="K60" i="15"/>
  <c r="J60" i="15"/>
  <c r="I60" i="15"/>
  <c r="H60" i="15"/>
  <c r="G60" i="15"/>
  <c r="F60" i="15"/>
  <c r="K745" i="1"/>
  <c r="H745" i="1"/>
  <c r="K744" i="1"/>
  <c r="H744" i="1"/>
  <c r="K743" i="1"/>
  <c r="H743" i="1"/>
  <c r="K742" i="1"/>
  <c r="H742" i="1"/>
  <c r="K741" i="1"/>
  <c r="H741" i="1"/>
  <c r="K59" i="15"/>
  <c r="J59" i="15"/>
  <c r="I59" i="15"/>
  <c r="H59" i="15"/>
  <c r="G59" i="15"/>
  <c r="F59" i="15"/>
  <c r="K740" i="1"/>
  <c r="H740" i="1"/>
  <c r="K739" i="1"/>
  <c r="H739" i="1"/>
  <c r="K738" i="1"/>
  <c r="H738" i="1"/>
  <c r="K737" i="1"/>
  <c r="H737" i="1"/>
  <c r="K736" i="1"/>
  <c r="H736" i="1"/>
  <c r="K57" i="15"/>
  <c r="J57" i="15"/>
  <c r="I57" i="15"/>
  <c r="H57" i="15"/>
  <c r="G57" i="15"/>
  <c r="F57" i="15"/>
  <c r="K735" i="1"/>
  <c r="H735" i="1"/>
  <c r="K734" i="1"/>
  <c r="H734" i="1"/>
  <c r="K733" i="1"/>
  <c r="H733" i="1"/>
  <c r="K732" i="1"/>
  <c r="H732" i="1"/>
  <c r="K731" i="1"/>
  <c r="H731" i="1"/>
  <c r="K730" i="1"/>
  <c r="H730" i="1"/>
  <c r="K729" i="1"/>
  <c r="H729" i="1"/>
  <c r="K728" i="1"/>
  <c r="H728" i="1"/>
  <c r="H54" i="15"/>
  <c r="F59" i="7" s="1"/>
  <c r="E40" i="15" s="1"/>
  <c r="F40" i="15" s="1"/>
  <c r="H725" i="1"/>
  <c r="K726" i="1"/>
  <c r="K723" i="1"/>
  <c r="H723" i="1"/>
  <c r="K719" i="1"/>
  <c r="H719" i="1"/>
  <c r="K52" i="15"/>
  <c r="J52" i="15"/>
  <c r="I52" i="15"/>
  <c r="H52" i="15"/>
  <c r="G52" i="15"/>
  <c r="F52" i="15"/>
  <c r="K722" i="1"/>
  <c r="K721" i="1"/>
  <c r="K720" i="1"/>
  <c r="K50" i="15"/>
  <c r="J50" i="15"/>
  <c r="I50" i="15"/>
  <c r="H50" i="15"/>
  <c r="G50" i="15"/>
  <c r="F50" i="15"/>
  <c r="F63" i="7"/>
  <c r="K827" i="1"/>
  <c r="H827" i="1"/>
  <c r="K826" i="1"/>
  <c r="H826" i="1"/>
  <c r="K825" i="1"/>
  <c r="H825" i="1"/>
  <c r="K748" i="1"/>
  <c r="H748" i="1"/>
  <c r="K727" i="1"/>
  <c r="H727" i="1"/>
  <c r="K725" i="1"/>
  <c r="K724" i="1"/>
  <c r="H724" i="1"/>
  <c r="K714" i="1"/>
  <c r="H714" i="1"/>
  <c r="K710" i="1"/>
  <c r="H710" i="1"/>
  <c r="I49" i="15"/>
  <c r="G49" i="15"/>
  <c r="K47" i="15"/>
  <c r="J47" i="15"/>
  <c r="I47" i="15"/>
  <c r="H47" i="15"/>
  <c r="G47" i="15"/>
  <c r="F47" i="15"/>
  <c r="K709" i="1"/>
  <c r="H709" i="1"/>
  <c r="K708" i="1"/>
  <c r="H708" i="1"/>
  <c r="K707" i="1"/>
  <c r="H707" i="1"/>
  <c r="K706" i="1"/>
  <c r="H706" i="1"/>
  <c r="K704" i="1"/>
  <c r="K703" i="1"/>
  <c r="H703" i="1"/>
  <c r="K702" i="1"/>
  <c r="H702" i="1"/>
  <c r="F58" i="7"/>
  <c r="I46" i="15"/>
  <c r="G46" i="15"/>
  <c r="I41" i="15"/>
  <c r="G41" i="15"/>
  <c r="K44" i="15"/>
  <c r="J44" i="15"/>
  <c r="I44" i="15"/>
  <c r="H44" i="15"/>
  <c r="G44" i="15"/>
  <c r="F44" i="15"/>
  <c r="K701" i="1"/>
  <c r="K700" i="1"/>
  <c r="K699" i="1"/>
  <c r="H726" i="1"/>
  <c r="K43" i="15"/>
  <c r="J43" i="15"/>
  <c r="I43" i="15"/>
  <c r="H43" i="15"/>
  <c r="G43" i="15"/>
  <c r="F43" i="15"/>
  <c r="K38" i="15"/>
  <c r="J38" i="15"/>
  <c r="I38" i="15"/>
  <c r="H38" i="15"/>
  <c r="G38" i="15"/>
  <c r="F38" i="15"/>
  <c r="K692" i="1"/>
  <c r="H692" i="1"/>
  <c r="K691" i="1"/>
  <c r="H691" i="1"/>
  <c r="K679" i="1"/>
  <c r="H679" i="1"/>
  <c r="K678" i="1"/>
  <c r="H678" i="1"/>
  <c r="K28" i="15"/>
  <c r="J28" i="15"/>
  <c r="I28" i="15"/>
  <c r="H28" i="15"/>
  <c r="G28" i="15"/>
  <c r="F28" i="15"/>
  <c r="K26" i="15"/>
  <c r="J26" i="15"/>
  <c r="I26" i="15"/>
  <c r="H26" i="15"/>
  <c r="G26" i="15"/>
  <c r="F26" i="15"/>
  <c r="K17" i="15"/>
  <c r="J17" i="15"/>
  <c r="I17" i="15"/>
  <c r="H17" i="15"/>
  <c r="G17" i="15"/>
  <c r="F17" i="15"/>
  <c r="K11" i="15"/>
  <c r="J11" i="15"/>
  <c r="I11" i="15"/>
  <c r="H11" i="15"/>
  <c r="G11" i="15"/>
  <c r="F11" i="15"/>
  <c r="K8" i="15"/>
  <c r="J8" i="15"/>
  <c r="I8" i="15"/>
  <c r="H8" i="15"/>
  <c r="G8" i="15"/>
  <c r="K8" i="13"/>
  <c r="F8" i="15"/>
  <c r="K675" i="1"/>
  <c r="H675" i="1"/>
  <c r="K674" i="1"/>
  <c r="H674" i="1"/>
  <c r="K828" i="1"/>
  <c r="H828" i="1"/>
  <c r="H722" i="1"/>
  <c r="H721" i="1"/>
  <c r="H720" i="1"/>
  <c r="K718" i="1"/>
  <c r="H718" i="1"/>
  <c r="K717" i="1"/>
  <c r="H717" i="1"/>
  <c r="K716" i="1"/>
  <c r="H716" i="1"/>
  <c r="K715" i="1"/>
  <c r="H715" i="1"/>
  <c r="K713" i="1"/>
  <c r="H713" i="1"/>
  <c r="K712" i="1"/>
  <c r="H712" i="1"/>
  <c r="K711" i="1"/>
  <c r="H711" i="1"/>
  <c r="K705" i="1"/>
  <c r="H705" i="1"/>
  <c r="H704" i="1"/>
  <c r="H701" i="1"/>
  <c r="H700" i="1"/>
  <c r="H699" i="1"/>
  <c r="K698" i="1"/>
  <c r="H698" i="1"/>
  <c r="K697" i="1"/>
  <c r="H697" i="1"/>
  <c r="K696" i="1"/>
  <c r="H696" i="1"/>
  <c r="K695" i="1"/>
  <c r="H695" i="1"/>
  <c r="K694" i="1"/>
  <c r="H694" i="1"/>
  <c r="K693" i="1"/>
  <c r="H693" i="1"/>
  <c r="K690" i="1"/>
  <c r="H690" i="1"/>
  <c r="K689" i="1"/>
  <c r="H689" i="1"/>
  <c r="K688" i="1"/>
  <c r="H688" i="1"/>
  <c r="K687" i="1"/>
  <c r="H687" i="1"/>
  <c r="K686" i="1"/>
  <c r="H686" i="1"/>
  <c r="K685" i="1"/>
  <c r="H685" i="1"/>
  <c r="K684" i="1"/>
  <c r="H684" i="1"/>
  <c r="K673" i="1"/>
  <c r="H673" i="1"/>
  <c r="K672" i="1"/>
  <c r="H672" i="1"/>
  <c r="E32" i="15"/>
  <c r="F32" i="15" s="1"/>
  <c r="K668" i="1"/>
  <c r="H668" i="1"/>
  <c r="K667" i="1"/>
  <c r="H667" i="1"/>
  <c r="K666" i="1"/>
  <c r="H666" i="1"/>
  <c r="K665" i="1"/>
  <c r="H665" i="1"/>
  <c r="E25" i="15"/>
  <c r="F25" i="15" s="1"/>
  <c r="E20" i="15"/>
  <c r="F20" i="15" s="1"/>
  <c r="K677" i="1"/>
  <c r="H677" i="1"/>
  <c r="K676" i="1"/>
  <c r="H676" i="1"/>
  <c r="K671" i="1"/>
  <c r="H671" i="1"/>
  <c r="K670" i="1"/>
  <c r="H670" i="1"/>
  <c r="K669" i="1"/>
  <c r="H669" i="1"/>
  <c r="K664" i="1"/>
  <c r="H664" i="1"/>
  <c r="K662" i="1"/>
  <c r="H662" i="1"/>
  <c r="K660" i="1"/>
  <c r="H660" i="1"/>
  <c r="K659" i="1"/>
  <c r="H659" i="1"/>
  <c r="K656" i="1"/>
  <c r="H656" i="1"/>
  <c r="K655" i="1"/>
  <c r="H655" i="1"/>
  <c r="K663" i="1"/>
  <c r="H663" i="1"/>
  <c r="G13" i="15"/>
  <c r="G10" i="15"/>
  <c r="H10" i="15" s="1"/>
  <c r="E4" i="15"/>
  <c r="F3" i="15"/>
  <c r="K651" i="1"/>
  <c r="K650" i="1"/>
  <c r="H650" i="1"/>
  <c r="K649" i="1"/>
  <c r="H649" i="1"/>
  <c r="K643" i="1"/>
  <c r="H643" i="1"/>
  <c r="K642" i="1"/>
  <c r="H642" i="1"/>
  <c r="K641" i="1"/>
  <c r="H641" i="1"/>
  <c r="K683" i="1"/>
  <c r="H683" i="1"/>
  <c r="K682" i="1"/>
  <c r="H682" i="1"/>
  <c r="K681" i="1"/>
  <c r="H681" i="1"/>
  <c r="K680" i="1"/>
  <c r="H680" i="1"/>
  <c r="K661" i="1"/>
  <c r="H661" i="1"/>
  <c r="K658" i="1"/>
  <c r="H658" i="1"/>
  <c r="K657" i="1"/>
  <c r="H657" i="1"/>
  <c r="K640" i="1"/>
  <c r="H640" i="1"/>
  <c r="K639" i="1"/>
  <c r="H639" i="1"/>
  <c r="E49" i="7"/>
  <c r="F49" i="7" s="1"/>
  <c r="E7" i="2"/>
  <c r="H829" i="1"/>
  <c r="H654" i="1"/>
  <c r="H653" i="1"/>
  <c r="H652" i="1"/>
  <c r="H651" i="1"/>
  <c r="H648" i="1"/>
  <c r="H647" i="1"/>
  <c r="H646" i="1"/>
  <c r="H645" i="1"/>
  <c r="H644" i="1"/>
  <c r="H638" i="1"/>
  <c r="H637" i="1"/>
  <c r="H636" i="1"/>
  <c r="H635" i="1"/>
  <c r="H634" i="1"/>
  <c r="H633" i="1"/>
  <c r="H632" i="1"/>
  <c r="H631" i="1"/>
  <c r="H630" i="1"/>
  <c r="H629" i="1"/>
  <c r="H628" i="1"/>
  <c r="K628" i="1"/>
  <c r="K629" i="1"/>
  <c r="K630" i="1"/>
  <c r="K631" i="1"/>
  <c r="K632" i="1"/>
  <c r="K633" i="1"/>
  <c r="K634" i="1"/>
  <c r="K635" i="1"/>
  <c r="K636" i="1"/>
  <c r="K637" i="1"/>
  <c r="K638" i="1"/>
  <c r="K644" i="1"/>
  <c r="K645" i="1"/>
  <c r="K646" i="1"/>
  <c r="K647" i="1"/>
  <c r="K648" i="1"/>
  <c r="K652" i="1"/>
  <c r="K653" i="1"/>
  <c r="K654" i="1"/>
  <c r="K622" i="1"/>
  <c r="H622" i="1"/>
  <c r="K621" i="1"/>
  <c r="H621" i="1"/>
  <c r="K620" i="1"/>
  <c r="H620" i="1"/>
  <c r="K619" i="1"/>
  <c r="H619" i="1"/>
  <c r="K617" i="1"/>
  <c r="H617" i="1"/>
  <c r="K614" i="1"/>
  <c r="H614" i="1"/>
  <c r="K613" i="1"/>
  <c r="H613" i="1"/>
  <c r="K603" i="1"/>
  <c r="H603" i="1"/>
  <c r="K602" i="1"/>
  <c r="H602" i="1"/>
  <c r="K601" i="1"/>
  <c r="H601" i="1"/>
  <c r="H600" i="1"/>
  <c r="H627" i="1"/>
  <c r="H626" i="1"/>
  <c r="H625" i="1"/>
  <c r="H624" i="1"/>
  <c r="H623" i="1"/>
  <c r="H618" i="1"/>
  <c r="H616" i="1"/>
  <c r="H615" i="1"/>
  <c r="H612" i="1"/>
  <c r="H611" i="1"/>
  <c r="H610" i="1"/>
  <c r="H609" i="1"/>
  <c r="H608" i="1"/>
  <c r="H607" i="1"/>
  <c r="H606" i="1"/>
  <c r="H605" i="1"/>
  <c r="H604" i="1"/>
  <c r="H599" i="1"/>
  <c r="H598" i="1"/>
  <c r="H597" i="1"/>
  <c r="H596" i="1"/>
  <c r="K596" i="1"/>
  <c r="K597" i="1"/>
  <c r="K598" i="1"/>
  <c r="K599" i="1"/>
  <c r="K604" i="1"/>
  <c r="K605" i="1"/>
  <c r="K606" i="1"/>
  <c r="K607" i="1"/>
  <c r="K608" i="1"/>
  <c r="K609" i="1"/>
  <c r="K610" i="1"/>
  <c r="K611" i="1"/>
  <c r="K612" i="1"/>
  <c r="K615" i="1"/>
  <c r="K618" i="1"/>
  <c r="K623" i="1"/>
  <c r="K624" i="1"/>
  <c r="K625" i="1"/>
  <c r="K626" i="1"/>
  <c r="K627" i="1"/>
  <c r="K588" i="1"/>
  <c r="H588" i="1"/>
  <c r="K587" i="1"/>
  <c r="H587" i="1"/>
  <c r="K559" i="1"/>
  <c r="H559" i="1"/>
  <c r="K549" i="1"/>
  <c r="H549" i="1"/>
  <c r="K545" i="1"/>
  <c r="H545" i="1"/>
  <c r="K542" i="1"/>
  <c r="H542" i="1"/>
  <c r="K829" i="1"/>
  <c r="K595" i="1"/>
  <c r="H595" i="1"/>
  <c r="K594" i="1"/>
  <c r="H594" i="1"/>
  <c r="K593" i="1"/>
  <c r="H593" i="1"/>
  <c r="K592" i="1"/>
  <c r="H592" i="1"/>
  <c r="K591" i="1"/>
  <c r="H591" i="1"/>
  <c r="K590" i="1"/>
  <c r="H590" i="1"/>
  <c r="K589" i="1"/>
  <c r="H589" i="1"/>
  <c r="K586" i="1"/>
  <c r="H586" i="1"/>
  <c r="K585" i="1"/>
  <c r="H585" i="1"/>
  <c r="K584" i="1"/>
  <c r="H584" i="1"/>
  <c r="K583" i="1"/>
  <c r="H583" i="1"/>
  <c r="K582" i="1"/>
  <c r="H582" i="1"/>
  <c r="K581" i="1"/>
  <c r="H581" i="1"/>
  <c r="K580" i="1"/>
  <c r="H580" i="1"/>
  <c r="K579" i="1"/>
  <c r="H579" i="1"/>
  <c r="K573" i="1"/>
  <c r="H573" i="1"/>
  <c r="K556" i="1"/>
  <c r="H556" i="1"/>
  <c r="K555" i="1"/>
  <c r="H555" i="1"/>
  <c r="E45" i="7"/>
  <c r="F45" i="7" s="1"/>
  <c r="E46" i="7"/>
  <c r="F46" i="7" s="1"/>
  <c r="F123" i="1"/>
  <c r="F111" i="1"/>
  <c r="F110" i="1"/>
  <c r="F109" i="1"/>
  <c r="F108" i="1"/>
  <c r="F107" i="1"/>
  <c r="E44" i="7"/>
  <c r="F44" i="7" s="1"/>
  <c r="E48" i="7"/>
  <c r="F48" i="7" s="1"/>
  <c r="K550" i="1"/>
  <c r="K546" i="1"/>
  <c r="H546" i="1"/>
  <c r="K543" i="1"/>
  <c r="F54" i="7"/>
  <c r="G54" i="7" s="1"/>
  <c r="H527" i="1"/>
  <c r="K527" i="1"/>
  <c r="E23" i="2"/>
  <c r="G23" i="2" s="1"/>
  <c r="K536" i="1"/>
  <c r="H536" i="1"/>
  <c r="K534" i="1"/>
  <c r="K533" i="1"/>
  <c r="H533" i="1"/>
  <c r="K532" i="1"/>
  <c r="H532" i="1"/>
  <c r="K531" i="1"/>
  <c r="H531" i="1"/>
  <c r="K530" i="1"/>
  <c r="H530" i="1"/>
  <c r="K600" i="1"/>
  <c r="K576" i="1"/>
  <c r="H576" i="1"/>
  <c r="K575" i="1"/>
  <c r="H575" i="1"/>
  <c r="K572" i="1"/>
  <c r="H572" i="1"/>
  <c r="K571" i="1"/>
  <c r="H571" i="1"/>
  <c r="K570" i="1"/>
  <c r="H570" i="1"/>
  <c r="K569" i="1"/>
  <c r="H569" i="1"/>
  <c r="K568" i="1"/>
  <c r="H568" i="1"/>
  <c r="K567" i="1"/>
  <c r="H567" i="1"/>
  <c r="K566" i="1"/>
  <c r="H566" i="1"/>
  <c r="K565" i="1"/>
  <c r="H565" i="1"/>
  <c r="K564" i="1"/>
  <c r="H564" i="1"/>
  <c r="K563" i="1"/>
  <c r="H563" i="1"/>
  <c r="K562" i="1"/>
  <c r="H562" i="1"/>
  <c r="K561" i="1"/>
  <c r="H561" i="1"/>
  <c r="K558" i="1"/>
  <c r="H558" i="1"/>
  <c r="K557" i="1"/>
  <c r="H557" i="1"/>
  <c r="K554" i="1"/>
  <c r="H554" i="1"/>
  <c r="K553" i="1"/>
  <c r="H553" i="1"/>
  <c r="K552" i="1"/>
  <c r="H552" i="1"/>
  <c r="K551" i="1"/>
  <c r="H551" i="1"/>
  <c r="H550" i="1"/>
  <c r="K548" i="1"/>
  <c r="H548" i="1"/>
  <c r="K547" i="1"/>
  <c r="H547" i="1"/>
  <c r="K544" i="1"/>
  <c r="H544" i="1"/>
  <c r="H543" i="1"/>
  <c r="K541" i="1"/>
  <c r="H541" i="1"/>
  <c r="K540" i="1"/>
  <c r="H540" i="1"/>
  <c r="K539" i="1"/>
  <c r="H539" i="1"/>
  <c r="K538" i="1"/>
  <c r="H538" i="1"/>
  <c r="K537" i="1"/>
  <c r="H537" i="1"/>
  <c r="H534" i="1"/>
  <c r="K528" i="1"/>
  <c r="E16" i="2"/>
  <c r="G16" i="2" s="1"/>
  <c r="K522" i="1"/>
  <c r="K512" i="1"/>
  <c r="H512" i="1"/>
  <c r="K511" i="1"/>
  <c r="H511" i="1"/>
  <c r="K510" i="1"/>
  <c r="H510" i="1"/>
  <c r="K509" i="1"/>
  <c r="H509" i="1"/>
  <c r="K524" i="1"/>
  <c r="H524" i="1"/>
  <c r="K523" i="1"/>
  <c r="H523" i="1"/>
  <c r="H522" i="1"/>
  <c r="K521" i="1"/>
  <c r="H521" i="1"/>
  <c r="K520" i="1"/>
  <c r="H520" i="1"/>
  <c r="K519" i="1"/>
  <c r="H519" i="1"/>
  <c r="K518" i="1"/>
  <c r="H518" i="1"/>
  <c r="K517" i="1"/>
  <c r="H517" i="1"/>
  <c r="K516" i="1"/>
  <c r="H516" i="1"/>
  <c r="K514" i="1"/>
  <c r="H514" i="1"/>
  <c r="K513" i="1"/>
  <c r="H513" i="1"/>
  <c r="K515" i="1"/>
  <c r="H515" i="1"/>
  <c r="K508" i="1"/>
  <c r="K507" i="1"/>
  <c r="E4" i="2"/>
  <c r="K499" i="1"/>
  <c r="K496" i="1"/>
  <c r="K491" i="1"/>
  <c r="K490" i="1"/>
  <c r="K488" i="1"/>
  <c r="K487" i="1"/>
  <c r="K484" i="1"/>
  <c r="K483" i="1"/>
  <c r="K475" i="1"/>
  <c r="E473" i="1"/>
  <c r="D40" i="7"/>
  <c r="E17" i="2"/>
  <c r="K460" i="1"/>
  <c r="K459" i="1"/>
  <c r="K456" i="1"/>
  <c r="K455" i="1"/>
  <c r="K453" i="1"/>
  <c r="K452" i="1"/>
  <c r="H578" i="1"/>
  <c r="H577" i="1"/>
  <c r="H528" i="1"/>
  <c r="H529" i="1"/>
  <c r="H526" i="1"/>
  <c r="H525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6" i="1"/>
  <c r="H485" i="1"/>
  <c r="H488" i="1"/>
  <c r="H487" i="1"/>
  <c r="H484" i="1"/>
  <c r="H482" i="1"/>
  <c r="H481" i="1"/>
  <c r="H483" i="1"/>
  <c r="H480" i="1"/>
  <c r="H479" i="1"/>
  <c r="H478" i="1"/>
  <c r="H477" i="1"/>
  <c r="H476" i="1"/>
  <c r="H475" i="1"/>
  <c r="H474" i="1"/>
  <c r="H473" i="1"/>
  <c r="H472" i="1"/>
  <c r="H471" i="1"/>
  <c r="H470" i="1"/>
  <c r="H468" i="1"/>
  <c r="H465" i="1"/>
  <c r="H464" i="1"/>
  <c r="H469" i="1"/>
  <c r="H467" i="1"/>
  <c r="H466" i="1"/>
  <c r="H463" i="1"/>
  <c r="H462" i="1"/>
  <c r="H460" i="1"/>
  <c r="H459" i="1"/>
  <c r="H458" i="1"/>
  <c r="H457" i="1"/>
  <c r="K457" i="1"/>
  <c r="K458" i="1"/>
  <c r="K462" i="1"/>
  <c r="K463" i="1"/>
  <c r="K466" i="1"/>
  <c r="K467" i="1"/>
  <c r="K469" i="1"/>
  <c r="K464" i="1"/>
  <c r="K465" i="1"/>
  <c r="K468" i="1"/>
  <c r="K470" i="1"/>
  <c r="K471" i="1"/>
  <c r="K472" i="1"/>
  <c r="K473" i="1"/>
  <c r="K474" i="1"/>
  <c r="K476" i="1"/>
  <c r="K477" i="1"/>
  <c r="K478" i="1"/>
  <c r="K479" i="1"/>
  <c r="K480" i="1"/>
  <c r="K481" i="1"/>
  <c r="K482" i="1"/>
  <c r="K485" i="1"/>
  <c r="K486" i="1"/>
  <c r="K489" i="1"/>
  <c r="K492" i="1"/>
  <c r="K493" i="1"/>
  <c r="K494" i="1"/>
  <c r="K495" i="1"/>
  <c r="K497" i="1"/>
  <c r="K498" i="1"/>
  <c r="K500" i="1"/>
  <c r="K501" i="1"/>
  <c r="K502" i="1"/>
  <c r="K503" i="1"/>
  <c r="K504" i="1"/>
  <c r="K505" i="1"/>
  <c r="K506" i="1"/>
  <c r="K525" i="1"/>
  <c r="K526" i="1"/>
  <c r="K529" i="1"/>
  <c r="K577" i="1"/>
  <c r="K578" i="1"/>
  <c r="E447" i="1"/>
  <c r="K447" i="1"/>
  <c r="K440" i="1"/>
  <c r="K461" i="1"/>
  <c r="K445" i="1"/>
  <c r="H455" i="1"/>
  <c r="H454" i="1"/>
  <c r="H453" i="1"/>
  <c r="H452" i="1"/>
  <c r="H535" i="1"/>
  <c r="H451" i="1"/>
  <c r="H450" i="1"/>
  <c r="H449" i="1"/>
  <c r="H448" i="1"/>
  <c r="H446" i="1"/>
  <c r="H445" i="1"/>
  <c r="H444" i="1"/>
  <c r="K444" i="1"/>
  <c r="K446" i="1"/>
  <c r="K448" i="1"/>
  <c r="K449" i="1"/>
  <c r="K450" i="1"/>
  <c r="K451" i="1"/>
  <c r="K535" i="1"/>
  <c r="K454" i="1"/>
  <c r="E14" i="2"/>
  <c r="H14" i="2" s="1"/>
  <c r="I14" i="2" s="1"/>
  <c r="K14" i="2" s="1"/>
  <c r="K429" i="1"/>
  <c r="K432" i="1"/>
  <c r="K433" i="1"/>
  <c r="K428" i="1"/>
  <c r="H456" i="1"/>
  <c r="K443" i="1"/>
  <c r="H443" i="1"/>
  <c r="K442" i="1"/>
  <c r="H442" i="1"/>
  <c r="K441" i="1"/>
  <c r="H441" i="1"/>
  <c r="K439" i="1"/>
  <c r="H439" i="1"/>
  <c r="K438" i="1"/>
  <c r="H438" i="1"/>
  <c r="K437" i="1"/>
  <c r="H437" i="1"/>
  <c r="K436" i="1"/>
  <c r="H436" i="1"/>
  <c r="K435" i="1"/>
  <c r="H435" i="1"/>
  <c r="K431" i="1"/>
  <c r="H431" i="1"/>
  <c r="K434" i="1"/>
  <c r="H434" i="1"/>
  <c r="K427" i="1"/>
  <c r="E6" i="2"/>
  <c r="E47" i="7"/>
  <c r="F47" i="7" s="1"/>
  <c r="K755" i="1"/>
  <c r="K430" i="1"/>
  <c r="H430" i="1"/>
  <c r="H429" i="1"/>
  <c r="H432" i="1"/>
  <c r="H433" i="1"/>
  <c r="H428" i="1"/>
  <c r="H427" i="1"/>
  <c r="K394" i="1"/>
  <c r="H394" i="1"/>
  <c r="K393" i="1"/>
  <c r="H393" i="1"/>
  <c r="K426" i="1"/>
  <c r="H426" i="1"/>
  <c r="E422" i="1"/>
  <c r="H422" i="1" s="1"/>
  <c r="E406" i="1"/>
  <c r="H406" i="1"/>
  <c r="K407" i="1"/>
  <c r="K417" i="1"/>
  <c r="K418" i="1"/>
  <c r="K419" i="1"/>
  <c r="H419" i="1"/>
  <c r="E412" i="1"/>
  <c r="K412" i="1"/>
  <c r="K425" i="1"/>
  <c r="H425" i="1"/>
  <c r="K424" i="1"/>
  <c r="H424" i="1"/>
  <c r="K423" i="1"/>
  <c r="H423" i="1"/>
  <c r="K422" i="1"/>
  <c r="K421" i="1"/>
  <c r="H421" i="1"/>
  <c r="K420" i="1"/>
  <c r="H420" i="1"/>
  <c r="H407" i="1"/>
  <c r="H417" i="1"/>
  <c r="H418" i="1"/>
  <c r="K416" i="1"/>
  <c r="H416" i="1"/>
  <c r="K415" i="1"/>
  <c r="H415" i="1"/>
  <c r="K414" i="1"/>
  <c r="H414" i="1"/>
  <c r="K413" i="1"/>
  <c r="H413" i="1"/>
  <c r="K411" i="1"/>
  <c r="H411" i="1"/>
  <c r="K410" i="1"/>
  <c r="H410" i="1"/>
  <c r="K409" i="1"/>
  <c r="H409" i="1"/>
  <c r="K402" i="1"/>
  <c r="H402" i="1"/>
  <c r="K403" i="1"/>
  <c r="H403" i="1"/>
  <c r="K404" i="1"/>
  <c r="H404" i="1"/>
  <c r="K399" i="1"/>
  <c r="E395" i="1"/>
  <c r="K395" i="1"/>
  <c r="K408" i="1"/>
  <c r="H408" i="1"/>
  <c r="K405" i="1"/>
  <c r="H405" i="1"/>
  <c r="K574" i="1"/>
  <c r="H574" i="1"/>
  <c r="K401" i="1"/>
  <c r="H401" i="1"/>
  <c r="K400" i="1"/>
  <c r="H400" i="1"/>
  <c r="K398" i="1"/>
  <c r="H398" i="1"/>
  <c r="K397" i="1"/>
  <c r="H397" i="1"/>
  <c r="K396" i="1"/>
  <c r="H396" i="1"/>
  <c r="K392" i="1"/>
  <c r="H392" i="1"/>
  <c r="K391" i="1"/>
  <c r="H391" i="1"/>
  <c r="K390" i="1"/>
  <c r="H390" i="1"/>
  <c r="K389" i="1"/>
  <c r="H389" i="1"/>
  <c r="K388" i="1"/>
  <c r="H388" i="1"/>
  <c r="K387" i="1"/>
  <c r="H387" i="1"/>
  <c r="K386" i="1"/>
  <c r="H386" i="1"/>
  <c r="K385" i="1"/>
  <c r="H385" i="1"/>
  <c r="E377" i="1"/>
  <c r="K377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63" i="1"/>
  <c r="K164" i="1"/>
  <c r="K165" i="1"/>
  <c r="K166" i="1"/>
  <c r="K167" i="1"/>
  <c r="K3" i="1"/>
  <c r="K4" i="1"/>
  <c r="K5" i="1"/>
  <c r="K6" i="1"/>
  <c r="K7" i="1"/>
  <c r="K8" i="1"/>
  <c r="K9" i="1"/>
  <c r="K10" i="1"/>
  <c r="K168" i="1"/>
  <c r="K169" i="1"/>
  <c r="K170" i="1"/>
  <c r="K171" i="1"/>
  <c r="K172" i="1"/>
  <c r="K173" i="1"/>
  <c r="K174" i="1"/>
  <c r="K175" i="1"/>
  <c r="K176" i="1"/>
  <c r="K179" i="1"/>
  <c r="K180" i="1"/>
  <c r="K181" i="1"/>
  <c r="K182" i="1"/>
  <c r="K183" i="1"/>
  <c r="K184" i="1"/>
  <c r="K185" i="1"/>
  <c r="K189" i="1"/>
  <c r="K190" i="1"/>
  <c r="K191" i="1"/>
  <c r="K192" i="1"/>
  <c r="K193" i="1"/>
  <c r="K194" i="1"/>
  <c r="K195" i="1"/>
  <c r="K196" i="1"/>
  <c r="K197" i="1"/>
  <c r="K198" i="1"/>
  <c r="K199" i="1"/>
  <c r="K177" i="1"/>
  <c r="K178" i="1"/>
  <c r="K11" i="1"/>
  <c r="K12" i="1"/>
  <c r="K186" i="1"/>
  <c r="K187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154" i="1"/>
  <c r="K155" i="1"/>
  <c r="K156" i="1"/>
  <c r="K157" i="1"/>
  <c r="K158" i="1"/>
  <c r="K159" i="1"/>
  <c r="K160" i="1"/>
  <c r="K161" i="1"/>
  <c r="K162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3" i="1"/>
  <c r="K257" i="1"/>
  <c r="K262" i="1"/>
  <c r="K263" i="1"/>
  <c r="K264" i="1"/>
  <c r="K265" i="1"/>
  <c r="K266" i="1"/>
  <c r="K267" i="1"/>
  <c r="K258" i="1"/>
  <c r="K268" i="1"/>
  <c r="K251" i="1"/>
  <c r="K252" i="1"/>
  <c r="K254" i="1"/>
  <c r="K255" i="1"/>
  <c r="K256" i="1"/>
  <c r="K259" i="1"/>
  <c r="K260" i="1"/>
  <c r="K261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7" i="1"/>
  <c r="K288" i="1"/>
  <c r="K289" i="1"/>
  <c r="K292" i="1"/>
  <c r="K282" i="1"/>
  <c r="K283" i="1"/>
  <c r="K284" i="1"/>
  <c r="K285" i="1"/>
  <c r="K286" i="1"/>
  <c r="K290" i="1"/>
  <c r="K291" i="1"/>
  <c r="K293" i="1"/>
  <c r="K294" i="1"/>
  <c r="K295" i="1"/>
  <c r="K296" i="1"/>
  <c r="K300" i="1"/>
  <c r="K297" i="1"/>
  <c r="K298" i="1"/>
  <c r="K299" i="1"/>
  <c r="K301" i="1"/>
  <c r="K303" i="1"/>
  <c r="K305" i="1"/>
  <c r="K302" i="1"/>
  <c r="K304" i="1"/>
  <c r="K306" i="1"/>
  <c r="K310" i="1"/>
  <c r="K307" i="1"/>
  <c r="K308" i="1"/>
  <c r="K309" i="1"/>
  <c r="K311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8" i="1"/>
  <c r="K329" i="1"/>
  <c r="K330" i="1"/>
  <c r="K312" i="1"/>
  <c r="K313" i="1"/>
  <c r="K327" i="1"/>
  <c r="K331" i="1"/>
  <c r="K332" i="1"/>
  <c r="K333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52" i="1"/>
  <c r="K354" i="1"/>
  <c r="K353" i="1"/>
  <c r="K348" i="1"/>
  <c r="K334" i="1"/>
  <c r="K349" i="1"/>
  <c r="K355" i="1"/>
  <c r="K357" i="1"/>
  <c r="K358" i="1"/>
  <c r="K360" i="1"/>
  <c r="K365" i="1"/>
  <c r="K366" i="1"/>
  <c r="K362" i="1"/>
  <c r="K359" i="1"/>
  <c r="K356" i="1"/>
  <c r="K367" i="1"/>
  <c r="K363" i="1"/>
  <c r="K364" i="1"/>
  <c r="K350" i="1"/>
  <c r="K351" i="1"/>
  <c r="K370" i="1"/>
  <c r="K371" i="1"/>
  <c r="K372" i="1"/>
  <c r="K369" i="1"/>
  <c r="K368" i="1"/>
  <c r="K373" i="1"/>
  <c r="K374" i="1"/>
  <c r="K375" i="1"/>
  <c r="K376" i="1"/>
  <c r="K378" i="1"/>
  <c r="K379" i="1"/>
  <c r="K380" i="1"/>
  <c r="K381" i="1"/>
  <c r="K382" i="1"/>
  <c r="K383" i="1"/>
  <c r="K384" i="1"/>
  <c r="E361" i="1"/>
  <c r="K361" i="1"/>
  <c r="H560" i="1"/>
  <c r="H358" i="1"/>
  <c r="H357" i="1"/>
  <c r="H355" i="1"/>
  <c r="H349" i="1"/>
  <c r="H384" i="1"/>
  <c r="H383" i="1"/>
  <c r="H382" i="1"/>
  <c r="H381" i="1"/>
  <c r="H380" i="1"/>
  <c r="H379" i="1"/>
  <c r="H378" i="1"/>
  <c r="H376" i="1"/>
  <c r="H375" i="1"/>
  <c r="H374" i="1"/>
  <c r="H373" i="1"/>
  <c r="H368" i="1"/>
  <c r="H369" i="1"/>
  <c r="H372" i="1"/>
  <c r="H371" i="1"/>
  <c r="H370" i="1"/>
  <c r="H351" i="1"/>
  <c r="H350" i="1"/>
  <c r="H364" i="1"/>
  <c r="H363" i="1"/>
  <c r="H367" i="1"/>
  <c r="H356" i="1"/>
  <c r="H359" i="1"/>
  <c r="H362" i="1"/>
  <c r="H366" i="1"/>
  <c r="H365" i="1"/>
  <c r="H360" i="1"/>
  <c r="H334" i="1"/>
  <c r="H348" i="1"/>
  <c r="H353" i="1"/>
  <c r="H337" i="1"/>
  <c r="H328" i="1"/>
  <c r="H320" i="1"/>
  <c r="H307" i="1"/>
  <c r="H354" i="1"/>
  <c r="H352" i="1"/>
  <c r="H347" i="1"/>
  <c r="H346" i="1"/>
  <c r="H345" i="1"/>
  <c r="H344" i="1"/>
  <c r="H343" i="1"/>
  <c r="H342" i="1"/>
  <c r="H341" i="1"/>
  <c r="H340" i="1"/>
  <c r="H339" i="1"/>
  <c r="H338" i="1"/>
  <c r="H336" i="1"/>
  <c r="H335" i="1"/>
  <c r="H333" i="1"/>
  <c r="H332" i="1"/>
  <c r="H331" i="1"/>
  <c r="H327" i="1"/>
  <c r="H313" i="1"/>
  <c r="H312" i="1"/>
  <c r="H330" i="1"/>
  <c r="H329" i="1"/>
  <c r="H326" i="1"/>
  <c r="H325" i="1"/>
  <c r="H324" i="1"/>
  <c r="H323" i="1"/>
  <c r="H322" i="1"/>
  <c r="H321" i="1"/>
  <c r="H319" i="1"/>
  <c r="H318" i="1"/>
  <c r="H317" i="1"/>
  <c r="H316" i="1"/>
  <c r="H315" i="1"/>
  <c r="H314" i="1"/>
  <c r="H311" i="1"/>
  <c r="H309" i="1"/>
  <c r="H308" i="1"/>
  <c r="H310" i="1"/>
  <c r="H306" i="1"/>
  <c r="H304" i="1"/>
  <c r="H302" i="1"/>
  <c r="E31" i="7"/>
  <c r="F31" i="7" s="1"/>
  <c r="E32" i="7"/>
  <c r="F32" i="7" s="1"/>
  <c r="E33" i="7"/>
  <c r="F33" i="7" s="1"/>
  <c r="D33" i="7"/>
  <c r="D32" i="7"/>
  <c r="D31" i="7"/>
  <c r="F30" i="7"/>
  <c r="D30" i="7"/>
  <c r="F29" i="7"/>
  <c r="D29" i="7"/>
  <c r="H305" i="1"/>
  <c r="H303" i="1"/>
  <c r="H301" i="1"/>
  <c r="H299" i="1"/>
  <c r="H298" i="1"/>
  <c r="H297" i="1"/>
  <c r="H300" i="1"/>
  <c r="H296" i="1"/>
  <c r="H295" i="1"/>
  <c r="H294" i="1"/>
  <c r="H293" i="1"/>
  <c r="H291" i="1"/>
  <c r="H290" i="1"/>
  <c r="H286" i="1"/>
  <c r="H285" i="1"/>
  <c r="H284" i="1"/>
  <c r="H283" i="1"/>
  <c r="H282" i="1"/>
  <c r="H292" i="1"/>
  <c r="H289" i="1"/>
  <c r="H288" i="1"/>
  <c r="H287" i="1"/>
  <c r="H281" i="1"/>
  <c r="H280" i="1"/>
  <c r="H279" i="1"/>
  <c r="H278" i="1"/>
  <c r="H277" i="1"/>
  <c r="H276" i="1"/>
  <c r="H275" i="1"/>
  <c r="H274" i="1"/>
  <c r="H273" i="1"/>
  <c r="H272" i="1"/>
  <c r="H271" i="1"/>
  <c r="H251" i="1"/>
  <c r="H252" i="1"/>
  <c r="H254" i="1"/>
  <c r="H255" i="1"/>
  <c r="H256" i="1"/>
  <c r="H259" i="1"/>
  <c r="H260" i="1"/>
  <c r="H261" i="1"/>
  <c r="H269" i="1"/>
  <c r="H270" i="1"/>
  <c r="H268" i="1"/>
  <c r="H258" i="1"/>
  <c r="H212" i="1"/>
  <c r="H245" i="1"/>
  <c r="H246" i="1"/>
  <c r="H247" i="1"/>
  <c r="H248" i="1"/>
  <c r="H249" i="1"/>
  <c r="H250" i="1"/>
  <c r="H253" i="1"/>
  <c r="H257" i="1"/>
  <c r="H262" i="1"/>
  <c r="H263" i="1"/>
  <c r="H264" i="1"/>
  <c r="H265" i="1"/>
  <c r="H266" i="1"/>
  <c r="H267" i="1"/>
  <c r="H235" i="1"/>
  <c r="H229" i="1"/>
  <c r="H233" i="1"/>
  <c r="H232" i="1"/>
  <c r="H227" i="1"/>
  <c r="H236" i="1"/>
  <c r="H237" i="1"/>
  <c r="H238" i="1"/>
  <c r="H239" i="1"/>
  <c r="H240" i="1"/>
  <c r="H241" i="1"/>
  <c r="H242" i="1"/>
  <c r="H243" i="1"/>
  <c r="H244" i="1"/>
  <c r="H156" i="1"/>
  <c r="H155" i="1"/>
  <c r="H234" i="1"/>
  <c r="H231" i="1"/>
  <c r="H162" i="1"/>
  <c r="H161" i="1"/>
  <c r="H160" i="1"/>
  <c r="H159" i="1"/>
  <c r="H158" i="1"/>
  <c r="H157" i="1"/>
  <c r="F223" i="1"/>
  <c r="H223" i="1" s="1"/>
  <c r="H222" i="1"/>
  <c r="H218" i="1"/>
  <c r="H217" i="1"/>
  <c r="H216" i="1"/>
  <c r="H224" i="1"/>
  <c r="H225" i="1"/>
  <c r="H226" i="1"/>
  <c r="H228" i="1"/>
  <c r="H230" i="1"/>
  <c r="H154" i="1"/>
  <c r="H210" i="1"/>
  <c r="H209" i="1"/>
  <c r="H221" i="1"/>
  <c r="H220" i="1"/>
  <c r="H219" i="1"/>
  <c r="H215" i="1"/>
  <c r="H214" i="1"/>
  <c r="H213" i="1"/>
  <c r="H211" i="1"/>
  <c r="H207" i="1"/>
  <c r="H206" i="1"/>
  <c r="H186" i="1"/>
  <c r="D4" i="7"/>
  <c r="H189" i="1"/>
  <c r="E188" i="1"/>
  <c r="H188" i="1"/>
  <c r="F176" i="1"/>
  <c r="H176" i="1" s="1"/>
  <c r="H175" i="1"/>
  <c r="H208" i="1"/>
  <c r="H205" i="1"/>
  <c r="H204" i="1"/>
  <c r="H203" i="1"/>
  <c r="H202" i="1"/>
  <c r="H201" i="1"/>
  <c r="H200" i="1"/>
  <c r="H187" i="1"/>
  <c r="H12" i="1"/>
  <c r="H11" i="1"/>
  <c r="H177" i="1"/>
  <c r="H199" i="1"/>
  <c r="H198" i="1"/>
  <c r="H197" i="1"/>
  <c r="H196" i="1"/>
  <c r="H195" i="1"/>
  <c r="H194" i="1"/>
  <c r="H193" i="1"/>
  <c r="H192" i="1"/>
  <c r="H191" i="1"/>
  <c r="H190" i="1"/>
  <c r="H185" i="1"/>
  <c r="H184" i="1"/>
  <c r="H183" i="1"/>
  <c r="H182" i="1"/>
  <c r="H181" i="1"/>
  <c r="H180" i="1"/>
  <c r="H179" i="1"/>
  <c r="H174" i="1"/>
  <c r="H447" i="1"/>
  <c r="H461" i="1"/>
  <c r="H412" i="1"/>
  <c r="E15" i="2"/>
  <c r="H395" i="1"/>
  <c r="H399" i="1"/>
  <c r="H377" i="1"/>
  <c r="H755" i="1"/>
  <c r="K406" i="1"/>
  <c r="K188" i="1"/>
  <c r="K560" i="1"/>
  <c r="H361" i="1"/>
  <c r="H6" i="1"/>
  <c r="H4" i="1"/>
  <c r="H8" i="1"/>
  <c r="F167" i="1"/>
  <c r="H167" i="1" s="1"/>
  <c r="H173" i="1"/>
  <c r="H172" i="1"/>
  <c r="H171" i="1"/>
  <c r="H170" i="1"/>
  <c r="H169" i="1"/>
  <c r="H168" i="1"/>
  <c r="H10" i="1"/>
  <c r="H9" i="1"/>
  <c r="H7" i="1"/>
  <c r="H5" i="1"/>
  <c r="H3" i="1"/>
  <c r="H166" i="1"/>
  <c r="H165" i="1"/>
  <c r="H164" i="1"/>
  <c r="H163" i="1"/>
  <c r="H153" i="1"/>
  <c r="H152" i="1"/>
  <c r="H151" i="1"/>
  <c r="F148" i="1"/>
  <c r="H148" i="1"/>
  <c r="H147" i="1"/>
  <c r="F146" i="1"/>
  <c r="H146" i="1"/>
  <c r="F115" i="1"/>
  <c r="H115" i="1"/>
  <c r="F113" i="1"/>
  <c r="H113" i="1"/>
  <c r="H150" i="1"/>
  <c r="H149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4" i="1"/>
  <c r="H112" i="1"/>
  <c r="H111" i="1"/>
  <c r="H110" i="1"/>
  <c r="H109" i="1"/>
  <c r="H108" i="1"/>
  <c r="H107" i="1"/>
  <c r="H105" i="1"/>
  <c r="H104" i="1"/>
  <c r="H103" i="1"/>
  <c r="H102" i="1"/>
  <c r="H101" i="1"/>
  <c r="H100" i="1"/>
  <c r="H99" i="1"/>
  <c r="H97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F106" i="1"/>
  <c r="H106" i="1"/>
  <c r="H13" i="1"/>
  <c r="D8" i="7"/>
  <c r="E8" i="7" s="1"/>
  <c r="E13" i="2"/>
  <c r="E18" i="2"/>
  <c r="G18" i="2" s="1"/>
  <c r="E21" i="2"/>
  <c r="E22" i="2"/>
  <c r="G22" i="2" s="1"/>
  <c r="E20" i="2"/>
  <c r="G20" i="2" s="1"/>
  <c r="E26" i="2"/>
  <c r="H26" i="2" s="1"/>
  <c r="I26" i="2" s="1"/>
  <c r="K26" i="2" s="1"/>
  <c r="E25" i="2"/>
  <c r="G25" i="2" s="1"/>
  <c r="E12" i="2"/>
  <c r="G12" i="2" s="1"/>
  <c r="E9" i="2"/>
  <c r="E19" i="2"/>
  <c r="G19" i="2" s="1"/>
  <c r="E11" i="2"/>
  <c r="E5" i="2"/>
  <c r="D152" i="6"/>
  <c r="D157" i="6"/>
  <c r="D139" i="6"/>
  <c r="D180" i="6"/>
  <c r="D177" i="6"/>
  <c r="D128" i="6"/>
  <c r="D100" i="6"/>
  <c r="D104" i="6"/>
  <c r="D39" i="6"/>
  <c r="D184" i="6"/>
  <c r="D119" i="6"/>
  <c r="D89" i="6"/>
  <c r="D120" i="6"/>
  <c r="D182" i="6"/>
  <c r="D117" i="6"/>
  <c r="D36" i="6"/>
  <c r="D153" i="6"/>
  <c r="D134" i="6"/>
  <c r="D141" i="6"/>
  <c r="D164" i="6"/>
  <c r="D163" i="6"/>
  <c r="D126" i="6"/>
  <c r="D132" i="6"/>
  <c r="D113" i="6"/>
  <c r="D101" i="6"/>
  <c r="D87" i="6"/>
  <c r="D90" i="6"/>
  <c r="D40" i="6"/>
  <c r="D144" i="6"/>
  <c r="D129" i="6"/>
  <c r="D95" i="6"/>
  <c r="D22" i="6"/>
  <c r="D142" i="6"/>
  <c r="D162" i="6"/>
  <c r="D131" i="6"/>
  <c r="D92" i="6"/>
  <c r="D178" i="6"/>
  <c r="D155" i="6"/>
  <c r="D145" i="6"/>
  <c r="D172" i="6"/>
  <c r="D127" i="6"/>
  <c r="D130" i="6"/>
  <c r="D114" i="6"/>
  <c r="D105" i="6"/>
  <c r="D88" i="6"/>
  <c r="D93" i="6"/>
  <c r="D30" i="6"/>
  <c r="D31" i="6"/>
  <c r="D17" i="6"/>
  <c r="D140" i="6"/>
  <c r="D108" i="6"/>
  <c r="D91" i="6"/>
  <c r="D35" i="6"/>
  <c r="D183" i="6"/>
  <c r="D96" i="6"/>
  <c r="D23" i="6"/>
  <c r="D38" i="6"/>
  <c r="D148" i="6"/>
  <c r="D171" i="6"/>
  <c r="D115" i="6"/>
  <c r="D175" i="6"/>
  <c r="D154" i="6"/>
  <c r="D143" i="6"/>
  <c r="D174" i="6"/>
  <c r="D161" i="6"/>
  <c r="D179" i="6"/>
  <c r="D116" i="6"/>
  <c r="D118" i="6"/>
  <c r="D102" i="6"/>
  <c r="D82" i="6"/>
  <c r="D41" i="6"/>
  <c r="D18" i="6"/>
  <c r="D135" i="6"/>
  <c r="D176" i="6"/>
  <c r="D173" i="6"/>
  <c r="D181" i="6"/>
  <c r="D122" i="6"/>
  <c r="D109" i="6"/>
  <c r="D103" i="6"/>
  <c r="D37" i="6"/>
  <c r="D27" i="6"/>
  <c r="D147" i="6"/>
  <c r="D121" i="6"/>
  <c r="D106" i="6"/>
  <c r="D158" i="6"/>
  <c r="D83" i="6"/>
  <c r="D25" i="6"/>
  <c r="D156" i="6"/>
  <c r="D28" i="6"/>
  <c r="D20" i="6"/>
  <c r="D26" i="6"/>
  <c r="D24" i="6"/>
  <c r="D69" i="6"/>
  <c r="D150" i="6"/>
  <c r="D165" i="6"/>
  <c r="D48" i="6"/>
  <c r="D123" i="6"/>
  <c r="D146" i="6"/>
  <c r="D125" i="6"/>
  <c r="D50" i="6"/>
  <c r="D149" i="6"/>
  <c r="D44" i="6"/>
  <c r="D42" i="6"/>
  <c r="D81" i="6"/>
  <c r="D84" i="6"/>
  <c r="D86" i="6"/>
  <c r="D57" i="6"/>
  <c r="D111" i="6"/>
  <c r="D67" i="6"/>
  <c r="D66" i="6"/>
  <c r="D85" i="6"/>
  <c r="D168" i="6"/>
  <c r="D62" i="6"/>
  <c r="D124" i="6"/>
  <c r="D60" i="6"/>
  <c r="D64" i="6"/>
  <c r="D160" i="6"/>
  <c r="D159" i="6"/>
  <c r="D75" i="6"/>
  <c r="D32" i="6"/>
  <c r="D77" i="6"/>
  <c r="D76" i="6"/>
  <c r="D68" i="6"/>
  <c r="D9" i="6"/>
  <c r="D58" i="6"/>
  <c r="D8" i="6"/>
  <c r="D73" i="6"/>
  <c r="D51" i="6"/>
  <c r="D169" i="6"/>
  <c r="D97" i="6"/>
  <c r="D46" i="6"/>
  <c r="D79" i="6"/>
  <c r="D5" i="6"/>
  <c r="D3" i="6"/>
  <c r="D107" i="6"/>
  <c r="D13" i="6"/>
  <c r="D59" i="6"/>
  <c r="D4" i="6"/>
  <c r="D10" i="6"/>
  <c r="D166" i="6"/>
  <c r="D11" i="6"/>
  <c r="D54" i="6"/>
  <c r="D110" i="6"/>
  <c r="D151" i="6"/>
  <c r="D19" i="6"/>
  <c r="D61" i="6"/>
  <c r="D15" i="6"/>
  <c r="D136" i="6"/>
  <c r="D29" i="6"/>
  <c r="D16" i="6"/>
  <c r="D21" i="6"/>
  <c r="D167" i="6"/>
  <c r="D133" i="6"/>
  <c r="D53" i="6"/>
  <c r="D47" i="6"/>
  <c r="D7" i="6"/>
  <c r="D72" i="6"/>
  <c r="D12" i="6"/>
  <c r="D170" i="6"/>
  <c r="D6" i="6"/>
  <c r="D99" i="6"/>
  <c r="D98" i="6"/>
  <c r="D43" i="6"/>
  <c r="D74" i="6"/>
  <c r="D14" i="6"/>
  <c r="D112" i="6"/>
  <c r="D71" i="6"/>
  <c r="D78" i="6"/>
  <c r="D137" i="6"/>
  <c r="D55" i="6"/>
  <c r="D56" i="6"/>
  <c r="D138" i="6"/>
  <c r="D34" i="6"/>
  <c r="D33" i="6"/>
  <c r="D65" i="6"/>
  <c r="D70" i="6"/>
  <c r="D45" i="6"/>
  <c r="D80" i="6"/>
  <c r="D94" i="6"/>
  <c r="D63" i="6"/>
  <c r="D49" i="6"/>
  <c r="D52" i="6"/>
  <c r="H96" i="1"/>
  <c r="H98" i="1"/>
  <c r="K616" i="1"/>
  <c r="K767" i="1"/>
  <c r="H767" i="1"/>
  <c r="C16" i="17" l="1"/>
  <c r="E18" i="17" s="1"/>
  <c r="C68" i="7"/>
  <c r="C10" i="17"/>
  <c r="E12" i="17" s="1"/>
  <c r="E6" i="17"/>
  <c r="G15" i="2"/>
  <c r="G5" i="2"/>
  <c r="C37" i="7"/>
  <c r="D37" i="7" s="1"/>
  <c r="C58" i="7"/>
  <c r="C62" i="7" s="1"/>
  <c r="G4" i="2"/>
  <c r="G7" i="2"/>
  <c r="F87" i="7"/>
  <c r="G8" i="2"/>
  <c r="F86" i="7"/>
  <c r="C94" i="7"/>
  <c r="H8" i="2"/>
  <c r="I8" i="2" s="1"/>
  <c r="H16" i="2"/>
  <c r="I16" i="2" s="1"/>
  <c r="K16" i="2" s="1"/>
  <c r="E87" i="7"/>
  <c r="H4" i="2"/>
  <c r="I4" i="2" s="1"/>
  <c r="H25" i="2"/>
  <c r="I25" i="2" s="1"/>
  <c r="J25" i="2" s="1"/>
  <c r="E50" i="7"/>
  <c r="H20" i="2"/>
  <c r="I20" i="2" s="1"/>
  <c r="K20" i="2" s="1"/>
  <c r="H830" i="1"/>
  <c r="H5" i="2"/>
  <c r="I5" i="2" s="1"/>
  <c r="H21" i="2"/>
  <c r="I21" i="2" s="1"/>
  <c r="K21" i="2" s="1"/>
  <c r="E24" i="2"/>
  <c r="H11" i="2"/>
  <c r="I11" i="2" s="1"/>
  <c r="G21" i="2"/>
  <c r="H19" i="2"/>
  <c r="I19" i="2" s="1"/>
  <c r="J19" i="2" s="1"/>
  <c r="K19" i="2" s="1"/>
  <c r="H6" i="2"/>
  <c r="I6" i="2" s="1"/>
  <c r="H17" i="2"/>
  <c r="I17" i="2" s="1"/>
  <c r="K17" i="2" s="1"/>
  <c r="H10" i="2"/>
  <c r="I10" i="2" s="1"/>
  <c r="G6" i="2"/>
  <c r="E89" i="7"/>
  <c r="G26" i="2"/>
  <c r="J26" i="2" s="1"/>
  <c r="H13" i="2"/>
  <c r="I13" i="2" s="1"/>
  <c r="G17" i="2"/>
  <c r="G11" i="2"/>
  <c r="H22" i="2"/>
  <c r="I22" i="2" s="1"/>
  <c r="K22" i="2" s="1"/>
  <c r="G14" i="2"/>
  <c r="J14" i="2" s="1"/>
  <c r="H7" i="2"/>
  <c r="I7" i="2" s="1"/>
  <c r="G10" i="2"/>
  <c r="H23" i="2"/>
  <c r="I23" i="2" s="1"/>
  <c r="K23" i="2" s="1"/>
  <c r="G13" i="2"/>
  <c r="E88" i="7"/>
  <c r="E90" i="7"/>
  <c r="H9" i="2"/>
  <c r="I9" i="2" s="1"/>
  <c r="H15" i="2"/>
  <c r="I15" i="2" s="1"/>
  <c r="H18" i="2"/>
  <c r="I18" i="2" s="1"/>
  <c r="K18" i="2" s="1"/>
  <c r="G9" i="2"/>
  <c r="E86" i="7"/>
  <c r="H12" i="2"/>
  <c r="I12" i="2" s="1"/>
  <c r="C71" i="7" l="1"/>
  <c r="C73" i="7" s="1"/>
  <c r="I67" i="7"/>
  <c r="J5" i="2"/>
  <c r="K5" i="2" s="1"/>
  <c r="I57" i="7"/>
  <c r="F91" i="7"/>
  <c r="J8" i="2"/>
  <c r="K8" i="2" s="1"/>
  <c r="J16" i="2"/>
  <c r="J11" i="2"/>
  <c r="K11" i="2" s="1"/>
  <c r="J6" i="2"/>
  <c r="K6" i="2" s="1"/>
  <c r="K25" i="2"/>
  <c r="J10" i="2"/>
  <c r="K10" i="2" s="1"/>
  <c r="J4" i="2"/>
  <c r="K4" i="2" s="1"/>
  <c r="J21" i="2"/>
  <c r="J22" i="2"/>
  <c r="C63" i="7"/>
  <c r="G24" i="2"/>
  <c r="C95" i="7" s="1"/>
  <c r="H24" i="2"/>
  <c r="I24" i="2" s="1"/>
  <c r="K24" i="2" s="1"/>
  <c r="J20" i="2"/>
  <c r="J17" i="2"/>
  <c r="J13" i="2"/>
  <c r="K13" i="2" s="1"/>
  <c r="J9" i="2"/>
  <c r="K9" i="2" s="1"/>
  <c r="J12" i="2"/>
  <c r="K12" i="2" s="1"/>
  <c r="J7" i="2"/>
  <c r="K7" i="2" s="1"/>
  <c r="J15" i="2"/>
  <c r="K15" i="2" s="1"/>
  <c r="J18" i="2"/>
  <c r="J23" i="2"/>
  <c r="C72" i="7" l="1"/>
  <c r="F70" i="7"/>
  <c r="F71" i="7" s="1"/>
  <c r="F74" i="7" s="1"/>
  <c r="C29" i="2"/>
  <c r="C96" i="7"/>
  <c r="C97" i="7" s="1"/>
  <c r="C102" i="7" s="1"/>
  <c r="C99" i="7"/>
  <c r="G27" i="2"/>
  <c r="I27" i="2"/>
  <c r="F60" i="7"/>
  <c r="F61" i="7" s="1"/>
  <c r="F64" i="7" s="1"/>
  <c r="J24" i="2"/>
  <c r="J27" i="2" l="1"/>
  <c r="K2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interval="15" name="Query - qryAssets" description="Connection to the 'qryAssets' query in the workbook." type="5" refreshedVersion="7" background="1" refreshOnLoad="1" saveData="1">
    <dbPr connection="Provider=Microsoft.Mashup.OleDb.1;Data Source=$Workbook$;Location=qryAssets;Extended Properties=&quot;&quot;" command="SELECT * FROM [qryAssets]"/>
  </connection>
  <connection id="2" xr16:uid="{37A80EB1-2935-490D-A614-3E6568C869B2}" keepAlive="1" interval="1" name="Query - qryMyQuotes" description="Connection to the 'qryMyQuotes' query in the workbook." type="5" refreshedVersion="7" background="1" refreshOnLoad="1" saveData="1">
    <dbPr connection="Provider=Microsoft.Mashup.OleDb.1;Data Source=$Workbook$;Location=qryMyQuotes;Extended Properties=&quot;&quot;" command="SELECT * FROM [qryMyQuot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<sst xmlns="http://schemas.openxmlformats.org/spreadsheetml/2006/main" count="5333" uniqueCount="785">
  <si>
    <t>Currency</t>
  </si>
  <si>
    <t>Qty</t>
  </si>
  <si>
    <t>Total</t>
  </si>
  <si>
    <t>Date</t>
  </si>
  <si>
    <t>Curr. Price</t>
  </si>
  <si>
    <t>Current Value</t>
  </si>
  <si>
    <t>n/a</t>
  </si>
  <si>
    <t>BA</t>
  </si>
  <si>
    <t>ALGO</t>
  </si>
  <si>
    <t>Price Calculator</t>
  </si>
  <si>
    <t>Amount</t>
  </si>
  <si>
    <t>Value</t>
  </si>
  <si>
    <t>TX</t>
  </si>
  <si>
    <t>Unit Cost</t>
  </si>
  <si>
    <t>Transaction fee</t>
  </si>
  <si>
    <t>Comments</t>
  </si>
  <si>
    <t>Ticker1</t>
  </si>
  <si>
    <t>Ticker2</t>
  </si>
  <si>
    <t>Current</t>
  </si>
  <si>
    <t>ADA</t>
  </si>
  <si>
    <t>ATOM</t>
  </si>
  <si>
    <t>BTC</t>
  </si>
  <si>
    <t>DOT</t>
  </si>
  <si>
    <t>EOS</t>
  </si>
  <si>
    <t>ETH</t>
  </si>
  <si>
    <t>ICP</t>
  </si>
  <si>
    <t>LINK</t>
  </si>
  <si>
    <t>XLM</t>
  </si>
  <si>
    <t>ZIL</t>
  </si>
  <si>
    <t>XMR</t>
  </si>
  <si>
    <t>XRP</t>
  </si>
  <si>
    <t>Exchange Calculator</t>
  </si>
  <si>
    <t>Price1</t>
  </si>
  <si>
    <t>Price2</t>
  </si>
  <si>
    <t>Fees</t>
  </si>
  <si>
    <t>Fee %</t>
  </si>
  <si>
    <t>Reconciliation</t>
  </si>
  <si>
    <t>Type</t>
  </si>
  <si>
    <t>Exchange</t>
  </si>
  <si>
    <t>Transfer</t>
  </si>
  <si>
    <t>Average Cost</t>
  </si>
  <si>
    <t>Exchange Rate</t>
  </si>
  <si>
    <t>Transfer ADA to Daedalus</t>
  </si>
  <si>
    <t>Exchange ETH for DOT</t>
  </si>
  <si>
    <t>Approx Book Value</t>
  </si>
  <si>
    <t>G/L $</t>
  </si>
  <si>
    <t>G/L %</t>
  </si>
  <si>
    <t>Interest for staked ATOM</t>
  </si>
  <si>
    <t>GME</t>
  </si>
  <si>
    <t>Account</t>
  </si>
  <si>
    <t>Asset</t>
  </si>
  <si>
    <t>Symbol</t>
  </si>
  <si>
    <t>VOO</t>
  </si>
  <si>
    <t>^VIX</t>
  </si>
  <si>
    <t>HSD.TO</t>
  </si>
  <si>
    <t>AMC</t>
  </si>
  <si>
    <t>ATH.TO</t>
  </si>
  <si>
    <t>BND</t>
  </si>
  <si>
    <t>GDX</t>
  </si>
  <si>
    <t>GXE.TO</t>
  </si>
  <si>
    <t>HEP.TO</t>
  </si>
  <si>
    <t>IJR</t>
  </si>
  <si>
    <t>ITE.TO</t>
  </si>
  <si>
    <t>LEAF.TO</t>
  </si>
  <si>
    <t>QQQ</t>
  </si>
  <si>
    <t>VAB.TO</t>
  </si>
  <si>
    <t>VGLT</t>
  </si>
  <si>
    <t>VNQ</t>
  </si>
  <si>
    <t>VRE.TO</t>
  </si>
  <si>
    <t>VTI</t>
  </si>
  <si>
    <t>XSP.TO</t>
  </si>
  <si>
    <t>CEW</t>
  </si>
  <si>
    <t>DIA</t>
  </si>
  <si>
    <t>EEM</t>
  </si>
  <si>
    <t>GLD</t>
  </si>
  <si>
    <t>IAU</t>
  </si>
  <si>
    <t>ITOT</t>
  </si>
  <si>
    <t>IWN</t>
  </si>
  <si>
    <t>RWM</t>
  </si>
  <si>
    <t>SCHB</t>
  </si>
  <si>
    <t>SDOW</t>
  </si>
  <si>
    <t>SDS</t>
  </si>
  <si>
    <t>SH</t>
  </si>
  <si>
    <t>SPXL</t>
  </si>
  <si>
    <t>SQQQ</t>
  </si>
  <si>
    <t>SSO</t>
  </si>
  <si>
    <t>TNA</t>
  </si>
  <si>
    <t>TQQQ</t>
  </si>
  <si>
    <t>TWM</t>
  </si>
  <si>
    <t>UDOW</t>
  </si>
  <si>
    <t>VGIT</t>
  </si>
  <si>
    <t>VWO</t>
  </si>
  <si>
    <t>AAP</t>
  </si>
  <si>
    <t>ABEV</t>
  </si>
  <si>
    <t>ABM</t>
  </si>
  <si>
    <t>ACH</t>
  </si>
  <si>
    <t>ADNT</t>
  </si>
  <si>
    <t>AEL</t>
  </si>
  <si>
    <t>AGX</t>
  </si>
  <si>
    <t>AIG</t>
  </si>
  <si>
    <t>ALXN</t>
  </si>
  <si>
    <t>AMEH</t>
  </si>
  <si>
    <t>AMRC</t>
  </si>
  <si>
    <t>ANF</t>
  </si>
  <si>
    <t>ANTM</t>
  </si>
  <si>
    <t>APRN</t>
  </si>
  <si>
    <t>ARCB</t>
  </si>
  <si>
    <t>ARNC</t>
  </si>
  <si>
    <t>ASIX</t>
  </si>
  <si>
    <t>ATHN</t>
  </si>
  <si>
    <t>ATI</t>
  </si>
  <si>
    <t>ATUS</t>
  </si>
  <si>
    <t>AVGO</t>
  </si>
  <si>
    <t>BAK</t>
  </si>
  <si>
    <t>BBSI</t>
  </si>
  <si>
    <t>BBY</t>
  </si>
  <si>
    <t>BCC</t>
  </si>
  <si>
    <t>BIIB</t>
  </si>
  <si>
    <t>BKD</t>
  </si>
  <si>
    <t>BLD</t>
  </si>
  <si>
    <t>BLDR</t>
  </si>
  <si>
    <t>BLK</t>
  </si>
  <si>
    <t>BMWYY</t>
  </si>
  <si>
    <t>BOOT</t>
  </si>
  <si>
    <t>BTI</t>
  </si>
  <si>
    <t>BTU</t>
  </si>
  <si>
    <t>BUD</t>
  </si>
  <si>
    <t>BXP</t>
  </si>
  <si>
    <t>BZH</t>
  </si>
  <si>
    <t>CAH</t>
  </si>
  <si>
    <t>CAPL</t>
  </si>
  <si>
    <t>CCJ</t>
  </si>
  <si>
    <t>CCK</t>
  </si>
  <si>
    <t>CENX</t>
  </si>
  <si>
    <t>CG</t>
  </si>
  <si>
    <t>CHEF</t>
  </si>
  <si>
    <t>CL</t>
  </si>
  <si>
    <t>CLB</t>
  </si>
  <si>
    <t>CLMT</t>
  </si>
  <si>
    <t>CLNE</t>
  </si>
  <si>
    <t>CLNY</t>
  </si>
  <si>
    <t>CLSN</t>
  </si>
  <si>
    <t>CLX</t>
  </si>
  <si>
    <t>CMCSA</t>
  </si>
  <si>
    <t>CMP</t>
  </si>
  <si>
    <t>CMTL</t>
  </si>
  <si>
    <t>CNC</t>
  </si>
  <si>
    <t>CNHI</t>
  </si>
  <si>
    <t>CNSL</t>
  </si>
  <si>
    <t>COF</t>
  </si>
  <si>
    <t>COKE</t>
  </si>
  <si>
    <t>CONN</t>
  </si>
  <si>
    <t>CORE</t>
  </si>
  <si>
    <t>COTY</t>
  </si>
  <si>
    <t>CRC</t>
  </si>
  <si>
    <t>CRM</t>
  </si>
  <si>
    <t>CROX</t>
  </si>
  <si>
    <t>CRTO</t>
  </si>
  <si>
    <t>CSTM</t>
  </si>
  <si>
    <t>CURO</t>
  </si>
  <si>
    <t>CVE</t>
  </si>
  <si>
    <t>CVI</t>
  </si>
  <si>
    <t>CVS</t>
  </si>
  <si>
    <t>CYD</t>
  </si>
  <si>
    <t>CZR</t>
  </si>
  <si>
    <t>D</t>
  </si>
  <si>
    <t>DAN</t>
  </si>
  <si>
    <t>DDAIF</t>
  </si>
  <si>
    <t>DDS</t>
  </si>
  <si>
    <t>DHI</t>
  </si>
  <si>
    <t>DISCA</t>
  </si>
  <si>
    <t>DK</t>
  </si>
  <si>
    <t>DS</t>
  </si>
  <si>
    <t>DSKE</t>
  </si>
  <si>
    <t>DYN</t>
  </si>
  <si>
    <t>EMR</t>
  </si>
  <si>
    <t>ENB</t>
  </si>
  <si>
    <t>ENPH</t>
  </si>
  <si>
    <t>ENSG</t>
  </si>
  <si>
    <t>ENVA</t>
  </si>
  <si>
    <t>EPD</t>
  </si>
  <si>
    <t>ET</t>
  </si>
  <si>
    <t>EVRI</t>
  </si>
  <si>
    <t>EXPE</t>
  </si>
  <si>
    <t>EXTN</t>
  </si>
  <si>
    <t>EZPW</t>
  </si>
  <si>
    <t>F</t>
  </si>
  <si>
    <t>FANUY</t>
  </si>
  <si>
    <t>FL</t>
  </si>
  <si>
    <t>FLOW</t>
  </si>
  <si>
    <t>FOSL</t>
  </si>
  <si>
    <t>FRGI</t>
  </si>
  <si>
    <t>FTSI</t>
  </si>
  <si>
    <t>GES</t>
  </si>
  <si>
    <t>GIII</t>
  </si>
  <si>
    <t>GILD</t>
  </si>
  <si>
    <t>GIS</t>
  </si>
  <si>
    <t>GM</t>
  </si>
  <si>
    <t>GPRK</t>
  </si>
  <si>
    <t>GPRO</t>
  </si>
  <si>
    <t>GRFS</t>
  </si>
  <si>
    <t>GRUB</t>
  </si>
  <si>
    <t>GSK</t>
  </si>
  <si>
    <t>GTN</t>
  </si>
  <si>
    <t>GWRE</t>
  </si>
  <si>
    <t>HBI</t>
  </si>
  <si>
    <t>HCC</t>
  </si>
  <si>
    <t>HEES</t>
  </si>
  <si>
    <t>HFC</t>
  </si>
  <si>
    <t>HOFT</t>
  </si>
  <si>
    <t>HOME</t>
  </si>
  <si>
    <t>HPQ</t>
  </si>
  <si>
    <t>BetaPro S&amp;P 500 -2x Daily Bear ETF</t>
  </si>
  <si>
    <t>HUN</t>
  </si>
  <si>
    <t>ICPT</t>
  </si>
  <si>
    <t>IFF</t>
  </si>
  <si>
    <t>ILMN</t>
  </si>
  <si>
    <t>IMBBY</t>
  </si>
  <si>
    <t>ING</t>
  </si>
  <si>
    <t>INGR</t>
  </si>
  <si>
    <t>ITGR</t>
  </si>
  <si>
    <t>IVC</t>
  </si>
  <si>
    <t>IVZ</t>
  </si>
  <si>
    <t>JCI</t>
  </si>
  <si>
    <t>JKS</t>
  </si>
  <si>
    <t>JLL</t>
  </si>
  <si>
    <t>K</t>
  </si>
  <si>
    <t>KBH</t>
  </si>
  <si>
    <t>KEN</t>
  </si>
  <si>
    <t>KFRC</t>
  </si>
  <si>
    <t>KFY</t>
  </si>
  <si>
    <t>KHC</t>
  </si>
  <si>
    <t>KMPR</t>
  </si>
  <si>
    <t>KO</t>
  </si>
  <si>
    <t>KRA</t>
  </si>
  <si>
    <t>KRC</t>
  </si>
  <si>
    <t>KSS</t>
  </si>
  <si>
    <t>LB</t>
  </si>
  <si>
    <t>LE</t>
  </si>
  <si>
    <t>LEN</t>
  </si>
  <si>
    <t>LKQ</t>
  </si>
  <si>
    <t>LL</t>
  </si>
  <si>
    <t>LTRPA</t>
  </si>
  <si>
    <t>LYV</t>
  </si>
  <si>
    <t>M</t>
  </si>
  <si>
    <t>MAC</t>
  </si>
  <si>
    <t>MAT</t>
  </si>
  <si>
    <t>MCD</t>
  </si>
  <si>
    <t>MCHP</t>
  </si>
  <si>
    <t>MCK</t>
  </si>
  <si>
    <t>MDC</t>
  </si>
  <si>
    <t>MDT</t>
  </si>
  <si>
    <t>MGI</t>
  </si>
  <si>
    <t>MGLN</t>
  </si>
  <si>
    <t>MGM</t>
  </si>
  <si>
    <t>MLM</t>
  </si>
  <si>
    <t>MMP</t>
  </si>
  <si>
    <t>MOD</t>
  </si>
  <si>
    <t>MOH</t>
  </si>
  <si>
    <t>MOV</t>
  </si>
  <si>
    <t>MRK</t>
  </si>
  <si>
    <t>MSFT</t>
  </si>
  <si>
    <t>MTCH</t>
  </si>
  <si>
    <t>MTOR</t>
  </si>
  <si>
    <t>MTRN</t>
  </si>
  <si>
    <t>MTRX</t>
  </si>
  <si>
    <t>MTW</t>
  </si>
  <si>
    <t>MUFG</t>
  </si>
  <si>
    <t>NAV</t>
  </si>
  <si>
    <t>NOG</t>
  </si>
  <si>
    <t>NOW</t>
  </si>
  <si>
    <t>NRG</t>
  </si>
  <si>
    <t>NSANY</t>
  </si>
  <si>
    <t>NSP</t>
  </si>
  <si>
    <t>NUAN</t>
  </si>
  <si>
    <t>NVS</t>
  </si>
  <si>
    <t>ODP</t>
  </si>
  <si>
    <t>OSTK</t>
  </si>
  <si>
    <t>PBF</t>
  </si>
  <si>
    <t>PBH</t>
  </si>
  <si>
    <t>PBI</t>
  </si>
  <si>
    <t>PBR</t>
  </si>
  <si>
    <t>PCG</t>
  </si>
  <si>
    <t>PDCO</t>
  </si>
  <si>
    <t>PENN</t>
  </si>
  <si>
    <t>PEP</t>
  </si>
  <si>
    <t>PFE</t>
  </si>
  <si>
    <t>PG</t>
  </si>
  <si>
    <t>PHG</t>
  </si>
  <si>
    <t>PHM</t>
  </si>
  <si>
    <t>PLUS</t>
  </si>
  <si>
    <t>PM</t>
  </si>
  <si>
    <t>PPC</t>
  </si>
  <si>
    <t>PPL</t>
  </si>
  <si>
    <t>QNST</t>
  </si>
  <si>
    <t>QSR</t>
  </si>
  <si>
    <t>RBGLY</t>
  </si>
  <si>
    <t>RCII</t>
  </si>
  <si>
    <t>RCM</t>
  </si>
  <si>
    <t>RDNT</t>
  </si>
  <si>
    <t>RES</t>
  </si>
  <si>
    <t>REVG</t>
  </si>
  <si>
    <t>RFP</t>
  </si>
  <si>
    <t>RH</t>
  </si>
  <si>
    <t>RHHBY</t>
  </si>
  <si>
    <t>RL</t>
  </si>
  <si>
    <t>RRC</t>
  </si>
  <si>
    <t>RUSHA</t>
  </si>
  <si>
    <t>SBUX</t>
  </si>
  <si>
    <t>SCHN</t>
  </si>
  <si>
    <t>SEM</t>
  </si>
  <si>
    <t>SGMS</t>
  </si>
  <si>
    <t>SKY</t>
  </si>
  <si>
    <t>SKYW</t>
  </si>
  <si>
    <t>SLG</t>
  </si>
  <si>
    <t>SMCI</t>
  </si>
  <si>
    <t>SOHU</t>
  </si>
  <si>
    <t>SPB</t>
  </si>
  <si>
    <t>SPTN</t>
  </si>
  <si>
    <t>SQM</t>
  </si>
  <si>
    <t>SRI</t>
  </si>
  <si>
    <t>SSP</t>
  </si>
  <si>
    <t>SYNA</t>
  </si>
  <si>
    <t>SYX</t>
  </si>
  <si>
    <t>T</t>
  </si>
  <si>
    <t>TACO</t>
  </si>
  <si>
    <t>TDOC</t>
  </si>
  <si>
    <t>TEF</t>
  </si>
  <si>
    <t>TEO</t>
  </si>
  <si>
    <t>TGI</t>
  </si>
  <si>
    <t>TGNA</t>
  </si>
  <si>
    <t>THC</t>
  </si>
  <si>
    <t>THO</t>
  </si>
  <si>
    <t>TISI</t>
  </si>
  <si>
    <t>TITN</t>
  </si>
  <si>
    <t>TMST</t>
  </si>
  <si>
    <t>TNDM</t>
  </si>
  <si>
    <t>TNET</t>
  </si>
  <si>
    <t>TOL</t>
  </si>
  <si>
    <t>TOT</t>
  </si>
  <si>
    <t>TPC</t>
  </si>
  <si>
    <t>TRGP</t>
  </si>
  <si>
    <t>TUSK</t>
  </si>
  <si>
    <t>UCTT</t>
  </si>
  <si>
    <t>UL</t>
  </si>
  <si>
    <t>ULH</t>
  </si>
  <si>
    <t>UNM</t>
  </si>
  <si>
    <t>URBN</t>
  </si>
  <si>
    <t>USCR</t>
  </si>
  <si>
    <t>VAC</t>
  </si>
  <si>
    <t>VEEV</t>
  </si>
  <si>
    <t>VHI</t>
  </si>
  <si>
    <t>VLO</t>
  </si>
  <si>
    <t>VPG</t>
  </si>
  <si>
    <t>VRS</t>
  </si>
  <si>
    <t>VSEC</t>
  </si>
  <si>
    <t>VVI</t>
  </si>
  <si>
    <t>WBK</t>
  </si>
  <si>
    <t>WELL</t>
  </si>
  <si>
    <t>WFC</t>
  </si>
  <si>
    <t>WGO</t>
  </si>
  <si>
    <t>WLK</t>
  </si>
  <si>
    <t>WNC</t>
  </si>
  <si>
    <t>WOW</t>
  </si>
  <si>
    <t>WTI</t>
  </si>
  <si>
    <t>X</t>
  </si>
  <si>
    <t>XNET</t>
  </si>
  <si>
    <t>XOM</t>
  </si>
  <si>
    <t>XPO</t>
  </si>
  <si>
    <t>YUMC</t>
  </si>
  <si>
    <t>ZUMZ</t>
  </si>
  <si>
    <t>GameStop Corp</t>
  </si>
  <si>
    <t>BB</t>
  </si>
  <si>
    <t>KOSS</t>
  </si>
  <si>
    <t>NOK</t>
  </si>
  <si>
    <t>TLRY</t>
  </si>
  <si>
    <t>PLTR</t>
  </si>
  <si>
    <t>BBBY</t>
  </si>
  <si>
    <t>ADA-CAD</t>
  </si>
  <si>
    <t>ALGO-CAD</t>
  </si>
  <si>
    <t>BCH-CAD</t>
  </si>
  <si>
    <t>BNB-CAD</t>
  </si>
  <si>
    <t>BTC-CAD</t>
  </si>
  <si>
    <t>DOGE-CAD</t>
  </si>
  <si>
    <t>EOS-CAD</t>
  </si>
  <si>
    <t>ETH-CAD</t>
  </si>
  <si>
    <t>LINK-CAD</t>
  </si>
  <si>
    <t>LTC-CAD</t>
  </si>
  <si>
    <t>MATIC-CAD</t>
  </si>
  <si>
    <t>VET-CAD</t>
  </si>
  <si>
    <t>XLM-CAD</t>
  </si>
  <si>
    <t>XMR-CAD</t>
  </si>
  <si>
    <t>XRP-CAD</t>
  </si>
  <si>
    <t>ZIL-CAD</t>
  </si>
  <si>
    <t>PMN.TO</t>
  </si>
  <si>
    <t>URL.CN</t>
  </si>
  <si>
    <t>ZLB.TO</t>
  </si>
  <si>
    <t>CGL.TO</t>
  </si>
  <si>
    <t>HSU.TO</t>
  </si>
  <si>
    <t>VCN.TO</t>
  </si>
  <si>
    <t>VDY.TO</t>
  </si>
  <si>
    <t>VFV.TO</t>
  </si>
  <si>
    <t>VSP.TO</t>
  </si>
  <si>
    <t>XAW.TO</t>
  </si>
  <si>
    <t>XEF.TO</t>
  </si>
  <si>
    <t>XIU.TO</t>
  </si>
  <si>
    <t>XUS.TO</t>
  </si>
  <si>
    <t>HTZGQ</t>
  </si>
  <si>
    <t>VEQT.TO</t>
  </si>
  <si>
    <t>VGRO.TO</t>
  </si>
  <si>
    <t>3-Jun-21</t>
  </si>
  <si>
    <t>Instrument Type</t>
  </si>
  <si>
    <t>Price</t>
  </si>
  <si>
    <t>Previous Close</t>
  </si>
  <si>
    <t>GL Percent</t>
  </si>
  <si>
    <t>USD</t>
  </si>
  <si>
    <t>EQUITY</t>
  </si>
  <si>
    <t>CRYPTOCURRENCY</t>
  </si>
  <si>
    <t>CAD</t>
  </si>
  <si>
    <t>ETF</t>
  </si>
  <si>
    <t>Asset Type</t>
  </si>
  <si>
    <t>All Assets</t>
  </si>
  <si>
    <t>4-Jun-21</t>
  </si>
  <si>
    <t>5-Jun-21</t>
  </si>
  <si>
    <t>Transfer XLM to Exodus</t>
  </si>
  <si>
    <t>Transfer ETH to Exodus</t>
  </si>
  <si>
    <t>6-Jun-21</t>
  </si>
  <si>
    <t>7-Jun-21</t>
  </si>
  <si>
    <t>8-Jun-21</t>
  </si>
  <si>
    <t>Account Balances</t>
  </si>
  <si>
    <t>Coinbase</t>
  </si>
  <si>
    <t>Quantity</t>
  </si>
  <si>
    <t>CoinSmart</t>
  </si>
  <si>
    <t>Interac transfers don't work</t>
  </si>
  <si>
    <t>BitBuy</t>
  </si>
  <si>
    <t>High fees on fiat</t>
  </si>
  <si>
    <t>NetCoins</t>
  </si>
  <si>
    <t>MATIC</t>
  </si>
  <si>
    <t>COMP</t>
  </si>
  <si>
    <t>GRT</t>
  </si>
  <si>
    <t>FORTH</t>
  </si>
  <si>
    <t>Interest for staked ADA</t>
  </si>
  <si>
    <t>Equity</t>
  </si>
  <si>
    <t>Buy GME</t>
  </si>
  <si>
    <t>Buy LINK</t>
  </si>
  <si>
    <t>Exodus</t>
  </si>
  <si>
    <t>Transfer to Metamask</t>
  </si>
  <si>
    <t>MATIC/ETHER LP</t>
  </si>
  <si>
    <t>MELP</t>
  </si>
  <si>
    <t>MATIC/ETH MELP</t>
  </si>
  <si>
    <t>Invest in MATIC/ETH LP</t>
  </si>
  <si>
    <t>Crypto portfolio book value:</t>
  </si>
  <si>
    <t>Crypto portfolio current value:</t>
  </si>
  <si>
    <t>G/L in $</t>
  </si>
  <si>
    <t>Buy ETH</t>
  </si>
  <si>
    <t>AMP</t>
  </si>
  <si>
    <t>Amp</t>
  </si>
  <si>
    <t>Invest in MATIC/ETH LP (https://etherscan.io/tx/0x8d19f5267cbf73829f2b607420bb31bf5ef9ef08fb353945cbcf64f2a4543b0e)</t>
  </si>
  <si>
    <t>Free CAD award</t>
  </si>
  <si>
    <t>Free XLM award</t>
  </si>
  <si>
    <t>Free MATIC award</t>
  </si>
  <si>
    <t>Free AMP award</t>
  </si>
  <si>
    <t>Free COMP award</t>
  </si>
  <si>
    <t>Free GRT award</t>
  </si>
  <si>
    <t>Free FORTH award</t>
  </si>
  <si>
    <t>Buy EOS</t>
  </si>
  <si>
    <t>Buy XRP</t>
  </si>
  <si>
    <t>Buy XLM</t>
  </si>
  <si>
    <t>Sell XRP</t>
  </si>
  <si>
    <t>Buy ADA</t>
  </si>
  <si>
    <t>Buy DOT</t>
  </si>
  <si>
    <t>Buy MATIC</t>
  </si>
  <si>
    <t>Buy AMP</t>
  </si>
  <si>
    <t>EALP</t>
  </si>
  <si>
    <t>ETH/AMP LP</t>
  </si>
  <si>
    <t>ETH/AMP EALP</t>
  </si>
  <si>
    <t>Invest in ETH/AMP LP (https://etherscan.io/tx/0x4593c581d2f092f50535106b292318fb98e4f26d0e7d3655d303527227643736)</t>
  </si>
  <si>
    <t>ERROR</t>
  </si>
  <si>
    <t>Free BOND award</t>
  </si>
  <si>
    <t>Transfer to Daedalus</t>
  </si>
  <si>
    <t>Mined TFUEL</t>
  </si>
  <si>
    <t>Interest for staked DOT</t>
  </si>
  <si>
    <t>Date entered</t>
  </si>
  <si>
    <t>Months in Position</t>
  </si>
  <si>
    <t>YTD Return</t>
  </si>
  <si>
    <t>APY</t>
  </si>
  <si>
    <t>ADA Staking</t>
  </si>
  <si>
    <t>ATOM Staking</t>
  </si>
  <si>
    <t>DOT Staking</t>
  </si>
  <si>
    <t>APY Calculations</t>
  </si>
  <si>
    <t>Transfer ETH to PDEX</t>
  </si>
  <si>
    <t>PDEX</t>
  </si>
  <si>
    <t>Polkadex</t>
  </si>
  <si>
    <t>Buy ATOM</t>
  </si>
  <si>
    <t>Transfer ATOM to Exodus</t>
  </si>
  <si>
    <t>Staking ATOM</t>
  </si>
  <si>
    <t/>
  </si>
  <si>
    <t>Sell ETH/AMP LP</t>
  </si>
  <si>
    <t>Sell MATIC/ETH LP</t>
  </si>
  <si>
    <t>INDEX</t>
  </si>
  <si>
    <t>4</t>
  </si>
  <si>
    <t>Free CLV award</t>
  </si>
  <si>
    <t>CLV</t>
  </si>
  <si>
    <t>BOND</t>
  </si>
  <si>
    <t>BarnBridge</t>
  </si>
  <si>
    <t>Ampleforth Governence Token</t>
  </si>
  <si>
    <t>The Graph</t>
  </si>
  <si>
    <t>Clover</t>
  </si>
  <si>
    <t>Cardano</t>
  </si>
  <si>
    <t>Compound</t>
  </si>
  <si>
    <t>Cosmos</t>
  </si>
  <si>
    <t>Polkadot</t>
  </si>
  <si>
    <t>Stellar</t>
  </si>
  <si>
    <t>Ethereum</t>
  </si>
  <si>
    <t>Chainlink</t>
  </si>
  <si>
    <t>Polygon</t>
  </si>
  <si>
    <t>Gwei Calculator</t>
  </si>
  <si>
    <t>Eth in CAD</t>
  </si>
  <si>
    <t>Gas Price</t>
  </si>
  <si>
    <t>Transfer AMP to Metamask</t>
  </si>
  <si>
    <t>Transfer MATIC to Metamask</t>
  </si>
  <si>
    <t>Buy USDT</t>
  </si>
  <si>
    <t>Transfer USDT to Metamask</t>
  </si>
  <si>
    <t>USDT</t>
  </si>
  <si>
    <t>Tether</t>
  </si>
  <si>
    <t>Sub-Type</t>
  </si>
  <si>
    <t>CIBC</t>
  </si>
  <si>
    <t>Credit CX</t>
  </si>
  <si>
    <t>Debit CX</t>
  </si>
  <si>
    <t>Deposit fiat</t>
  </si>
  <si>
    <t>TFUEL</t>
  </si>
  <si>
    <t>Coinsmart</t>
  </si>
  <si>
    <t>Purchase from CX</t>
  </si>
  <si>
    <t>Sell to CX</t>
  </si>
  <si>
    <t>Daedalus</t>
  </si>
  <si>
    <t>Bitbuy</t>
  </si>
  <si>
    <t>Netcoins</t>
  </si>
  <si>
    <t>Metamask</t>
  </si>
  <si>
    <t>Polkadot Web</t>
  </si>
  <si>
    <t>Polkadot Web (Stash)</t>
  </si>
  <si>
    <t>Theta Web</t>
  </si>
  <si>
    <t>Staking AMP</t>
  </si>
  <si>
    <t>Authorize zapper to access USDT</t>
  </si>
  <si>
    <t>Authorize cream to access USDT</t>
  </si>
  <si>
    <t>Free award</t>
  </si>
  <si>
    <t>Purchase from DEX</t>
  </si>
  <si>
    <t>Staking interest</t>
  </si>
  <si>
    <t>Purchase equity</t>
  </si>
  <si>
    <t>Sell to DX</t>
  </si>
  <si>
    <t>Transfer EOS to Exodus</t>
  </si>
  <si>
    <t>Debit broker</t>
  </si>
  <si>
    <t>Create controller wallet</t>
  </si>
  <si>
    <t>Create stash wallet</t>
  </si>
  <si>
    <t>Transfer ETH to Metamask</t>
  </si>
  <si>
    <t>Debit DEX</t>
  </si>
  <si>
    <t>Cream</t>
  </si>
  <si>
    <t>Stake USDT on CREAM</t>
  </si>
  <si>
    <t>Register coupland.eth</t>
  </si>
  <si>
    <t>Borrow interest</t>
  </si>
  <si>
    <t>Flexa Capacity</t>
  </si>
  <si>
    <t>Stake AMP on Flexa Capacity</t>
  </si>
  <si>
    <t>Stake my MATIC</t>
  </si>
  <si>
    <t>Polygon Web Wallet</t>
  </si>
  <si>
    <t>Transfer LINK to Metamask</t>
  </si>
  <si>
    <t>Purchase ETH</t>
  </si>
  <si>
    <t>Authorize Compound to spend LINK</t>
  </si>
  <si>
    <t>Supply LINK on Compound</t>
  </si>
  <si>
    <t>Supply USDT on CREAM</t>
  </si>
  <si>
    <t>Kraken</t>
  </si>
  <si>
    <t>Transfer ETH to Kraken</t>
  </si>
  <si>
    <t>ETH2 Network</t>
  </si>
  <si>
    <t>Stake my ETH</t>
  </si>
  <si>
    <t># Update record</t>
  </si>
  <si>
    <t>Gain (Coins)</t>
  </si>
  <si>
    <t>Gain %</t>
  </si>
  <si>
    <t>Gain $</t>
  </si>
  <si>
    <t>Transfer ADA to CoinSmart</t>
  </si>
  <si>
    <t>Sell my ADA</t>
  </si>
  <si>
    <t>Borrow interest from 14-Aug to 26-Aug</t>
  </si>
  <si>
    <t>ADA Calculator</t>
  </si>
  <si>
    <t>Taxable Events</t>
  </si>
  <si>
    <t>Gains</t>
  </si>
  <si>
    <t>Buy HSD.TO</t>
  </si>
  <si>
    <t>Book Value</t>
  </si>
  <si>
    <t>FET</t>
  </si>
  <si>
    <t>Free FET award</t>
  </si>
  <si>
    <t>Fetch.ai</t>
  </si>
  <si>
    <t>Transfer FET to Metamask</t>
  </si>
  <si>
    <t>Interest for staked ETH</t>
  </si>
  <si>
    <t>Portfolio ATH</t>
  </si>
  <si>
    <t>To ATH</t>
  </si>
  <si>
    <t>Stake my FET</t>
  </si>
  <si>
    <t>Column1</t>
  </si>
  <si>
    <t>Unstake USDT</t>
  </si>
  <si>
    <t>Transfer USDT to Netcoins</t>
  </si>
  <si>
    <t>Sell my USDT</t>
  </si>
  <si>
    <t>Found my missing ETH</t>
  </si>
  <si>
    <t>Borrow interest from 27-Aug to 7-Sep</t>
  </si>
  <si>
    <t>Register davidchase.eth</t>
  </si>
  <si>
    <t>Move my AMP to Lightning Transformer</t>
  </si>
  <si>
    <t>Stake AMP on Lightning</t>
  </si>
  <si>
    <t>Flexa Lightning</t>
  </si>
  <si>
    <t>Buy ALGO</t>
  </si>
  <si>
    <t>Algorand</t>
  </si>
  <si>
    <t>Interest for staked ALGO</t>
  </si>
  <si>
    <t>XYO</t>
  </si>
  <si>
    <t>XY Oracle Network</t>
  </si>
  <si>
    <t>Buy XYO</t>
  </si>
  <si>
    <t>Day trading GME</t>
  </si>
  <si>
    <t>Current Shares</t>
  </si>
  <si>
    <t>Shares to Sell</t>
  </si>
  <si>
    <t>Sell Price</t>
  </si>
  <si>
    <t>Repurchase Price</t>
  </si>
  <si>
    <t>Repurchase Qty</t>
  </si>
  <si>
    <t>New Total</t>
  </si>
  <si>
    <t>Description</t>
  </si>
  <si>
    <t>Sell ADA</t>
  </si>
  <si>
    <t>Staking FET ERC20 token</t>
  </si>
  <si>
    <t>Sell EOS</t>
  </si>
  <si>
    <t>Sell ETH/AMP Liquidity</t>
  </si>
  <si>
    <t>Sell MATIC/ETH Liquidity</t>
  </si>
  <si>
    <t>CHZ</t>
  </si>
  <si>
    <t>Transfer PDEX to ETH</t>
  </si>
  <si>
    <t>Fund Polygon network</t>
  </si>
  <si>
    <t>Metamask Polygon</t>
  </si>
  <si>
    <t>Sell GME</t>
  </si>
  <si>
    <t>Unstake MATIC</t>
  </si>
  <si>
    <t>Staking interest for MATIC</t>
  </si>
  <si>
    <t>Unstake my USDT</t>
  </si>
  <si>
    <t>ETH Metamask</t>
  </si>
  <si>
    <t>Transfer USDT to ETH Metamask</t>
  </si>
  <si>
    <t>Unstake MATIC rewards</t>
  </si>
  <si>
    <t>Transfer MATIC to Metamask Polygon</t>
  </si>
  <si>
    <t>Unstake LINK</t>
  </si>
  <si>
    <t>Transfer ETH to ETH Metamask</t>
  </si>
  <si>
    <t>Borrow interest from LINK</t>
  </si>
  <si>
    <t>Taxable Gains</t>
  </si>
  <si>
    <t>Send Polygon ETH to my new wallet</t>
  </si>
  <si>
    <t>MATIC Metamask</t>
  </si>
  <si>
    <t>Send Polygon MATIC to my new wallet</t>
  </si>
  <si>
    <t>Transfer ETH from Coinbase to ETH Metamask</t>
  </si>
  <si>
    <t>Swap USDT to ETH</t>
  </si>
  <si>
    <t>Bridge ETH to Polygon</t>
  </si>
  <si>
    <t>Bridge all MATIC to Polygon</t>
  </si>
  <si>
    <t>Time</t>
  </si>
  <si>
    <t>I finish consolidating everything in my new wallet on Polygon.  I am starting with 2.33 WETH.  ETH is at $3961.22</t>
  </si>
  <si>
    <t>USDC</t>
  </si>
  <si>
    <t>Swap</t>
  </si>
  <si>
    <t xml:space="preserve">I start assuming 4 shares total, meaning each one is worth 0.58 ETH. </t>
  </si>
  <si>
    <t>I swap one share from ETH to USDC at $3,964.85.</t>
  </si>
  <si>
    <t>Purchase FET</t>
  </si>
  <si>
    <t>Swap ETH for EOS</t>
  </si>
  <si>
    <t>Swap XLM for EOS</t>
  </si>
  <si>
    <t>Swap ETH for ATOM</t>
  </si>
  <si>
    <t>Swap ETH for ADA</t>
  </si>
  <si>
    <t>Swap EOS for LINK</t>
  </si>
  <si>
    <t>Swap LINK to ETH</t>
  </si>
  <si>
    <t>Here are the rungs with my baseline at $3961.  I only have one share in USDC so I buy in at $3565.</t>
  </si>
  <si>
    <t>So I guess the way this will work is that at every threshhold I either buy or sell a share.  That then becomes the new baseline.  Rinse and repeat.</t>
  </si>
  <si>
    <t>Swap USDC to ETH</t>
  </si>
  <si>
    <t>Failed transaction</t>
  </si>
  <si>
    <t>This is the new baseline.</t>
  </si>
  <si>
    <t>We've dropped a threshold so I trade some USDC for ETH.  I get 0.055 more ETH total, a 2.35% increase.</t>
  </si>
  <si>
    <t>Var1</t>
  </si>
  <si>
    <t>Var2</t>
  </si>
  <si>
    <t>Var3</t>
  </si>
  <si>
    <t>Var4</t>
  </si>
  <si>
    <t>Var5</t>
  </si>
  <si>
    <t>Var6</t>
  </si>
  <si>
    <t>Var7</t>
  </si>
  <si>
    <t xml:space="preserve">For some reason the failed transaction cost me $10 in MATIC and the successful one cost $20.  A rush on the bank?  Still seems insanely high.  </t>
  </si>
  <si>
    <t>The end result is I paid $30 in MATIC for a $195 increase in ETH.</t>
  </si>
  <si>
    <t>My total ETH balance.</t>
  </si>
  <si>
    <t>Swap PDEX to ETH</t>
  </si>
  <si>
    <t>Buy USDC</t>
  </si>
  <si>
    <t>ETH price</t>
  </si>
  <si>
    <t>ETH balance</t>
  </si>
  <si>
    <t>USDC price</t>
  </si>
  <si>
    <t>USDC balance</t>
  </si>
  <si>
    <t>Total value in $</t>
  </si>
  <si>
    <t>Total value in ETH</t>
  </si>
  <si>
    <t>Approve ETH on QuickSwap</t>
  </si>
  <si>
    <t>Swap ETH for USDC</t>
  </si>
  <si>
    <t>I swap one share (0.6 ETH) from ETH to USDC at $3,871.</t>
  </si>
  <si>
    <t>I reset my alerts on Cryptocurrencyalerts</t>
  </si>
  <si>
    <t>My trading fund balance in ETH.</t>
  </si>
  <si>
    <t>My net trading fund growth in ETH.</t>
  </si>
  <si>
    <t>I have 1 share in USDC and 3 shares in ETH.</t>
  </si>
  <si>
    <t>Approve USDC on QuickSwap</t>
  </si>
  <si>
    <t>I have 0 shares in USDC and 4 shares in ETH.</t>
  </si>
  <si>
    <t>I swap 2211 USDC at 1.27 for 0.78 ETH at $3,547.36</t>
  </si>
  <si>
    <t>66.0000</t>
  </si>
  <si>
    <t>Swap USDC for ETH</t>
  </si>
  <si>
    <t>Swap USDT for ETH</t>
  </si>
  <si>
    <t>Swap LINK for ETH</t>
  </si>
  <si>
    <t>I add $500 in USDC from fiat.  This represents 0.129 ETH that have been added to my portfolio</t>
  </si>
  <si>
    <t>ETH added to account</t>
  </si>
  <si>
    <t>Growth in ETH</t>
  </si>
  <si>
    <t>Growth %</t>
  </si>
  <si>
    <t>Actionable delta</t>
  </si>
  <si>
    <t>Column2</t>
  </si>
  <si>
    <t>Column3</t>
  </si>
  <si>
    <t>Column4</t>
  </si>
  <si>
    <t>Swap ALGO for ETH</t>
  </si>
  <si>
    <t>Swap XYO for ETH</t>
  </si>
  <si>
    <t>I add 0.313 ETH to my balance.  This was from selling XYO and ALGO.</t>
  </si>
  <si>
    <t>I reset my iDelta down to 8%.  There have been too many times it's approached the 10% mark then backed off.</t>
  </si>
  <si>
    <t>I swap one share (0.68 ETH) from ETH at $4062 to 2172 USDC at $1.27.</t>
  </si>
  <si>
    <t>I have 2 shares in USDC and 2 shares in ETH.</t>
  </si>
  <si>
    <t>I swap one share (0.7 ETH) from ETH at $4411 to 2454 USDC at $126.</t>
  </si>
  <si>
    <t>Price has dropped overnight.  I buy one share of ETH.</t>
  </si>
  <si>
    <t>Price has risen since 7.  I sell one share of ETH.</t>
  </si>
  <si>
    <t>Opening $ value</t>
  </si>
  <si>
    <t>Opening ETH balance</t>
  </si>
  <si>
    <t>Loss to recover my tokens from smart contract</t>
  </si>
  <si>
    <t>Date begun</t>
  </si>
  <si>
    <t>Days since begun</t>
  </si>
  <si>
    <t>I add 2008.29 USDC to my balance.  This was by funding $2500 from Paytrie.  This is equivalent to 0.53011 ETH at the time.</t>
  </si>
  <si>
    <t>I add 2009.38 USDC to my balance.  This was by funding $2500 from Paytrie.  This is equivalent to 0.513752 ETH at the time.</t>
  </si>
  <si>
    <t>I do a reset on my shares by purchasing 1.077 more ETH.  This is because of the additional USDC I've purchased with fiat, and also because I have a hunch ETH will just keep rising.  I decide to reset my baseline here.</t>
  </si>
  <si>
    <t>BITO Swing trading</t>
  </si>
  <si>
    <t>Opening shares</t>
  </si>
  <si>
    <t>Annualized return</t>
  </si>
  <si>
    <t>Share price</t>
  </si>
  <si>
    <t>Total stacks</t>
  </si>
  <si>
    <t>Stack size in $</t>
  </si>
  <si>
    <t>Shares owned</t>
  </si>
  <si>
    <t xml:space="preserve">Cash </t>
  </si>
  <si>
    <t>Stack size in shares</t>
  </si>
  <si>
    <t>$ added to principal</t>
  </si>
  <si>
    <t>Growth in $</t>
  </si>
  <si>
    <t>Swap FET for ETH</t>
  </si>
  <si>
    <t>BITO</t>
  </si>
  <si>
    <t>Calculators</t>
  </si>
  <si>
    <t>Start</t>
  </si>
  <si>
    <t>Finish</t>
  </si>
  <si>
    <t>Spread</t>
  </si>
  <si>
    <t>Desired Spread</t>
  </si>
  <si>
    <t>Strike</t>
  </si>
  <si>
    <t>Days</t>
  </si>
  <si>
    <t>Annualized</t>
  </si>
  <si>
    <t>Buy price</t>
  </si>
  <si>
    <t>Shares</t>
  </si>
  <si>
    <t>Commission</t>
  </si>
  <si>
    <t>Buy BITO</t>
  </si>
  <si>
    <r>
      <t xml:space="preserve">This is the </t>
    </r>
    <r>
      <rPr>
        <sz val="10"/>
        <color rgb="FFFF0000"/>
        <rFont val="Segoe UI Light"/>
        <family val="2"/>
      </rPr>
      <t>BITO</t>
    </r>
    <r>
      <rPr>
        <sz val="10"/>
        <color theme="1"/>
        <rFont val="Segoe UI Light"/>
        <family val="2"/>
      </rPr>
      <t xml:space="preserve"> baseline.</t>
    </r>
  </si>
  <si>
    <r>
      <t xml:space="preserve">I set my </t>
    </r>
    <r>
      <rPr>
        <sz val="10"/>
        <color rgb="FFFF0000"/>
        <rFont val="Segoe UI Light"/>
        <family val="2"/>
      </rPr>
      <t>BITO</t>
    </r>
    <r>
      <rPr>
        <sz val="10"/>
        <color theme="1"/>
        <rFont val="Segoe UI Light"/>
        <family val="2"/>
      </rPr>
      <t xml:space="preserve"> limit trades.</t>
    </r>
  </si>
  <si>
    <r>
      <t xml:space="preserve">This is the </t>
    </r>
    <r>
      <rPr>
        <sz val="10"/>
        <color rgb="FF00B0F0"/>
        <rFont val="Segoe UI Light"/>
        <family val="2"/>
      </rPr>
      <t>ETH</t>
    </r>
    <r>
      <rPr>
        <sz val="10"/>
        <color theme="1"/>
        <rFont val="Segoe UI Light"/>
        <family val="2"/>
      </rPr>
      <t xml:space="preserve"> baseline.</t>
    </r>
  </si>
  <si>
    <t>Transfer coupland.eth</t>
  </si>
  <si>
    <r>
      <t xml:space="preserve">My </t>
    </r>
    <r>
      <rPr>
        <sz val="10"/>
        <color rgb="FFFF0000"/>
        <rFont val="Segoe UI Light"/>
        <family val="2"/>
      </rPr>
      <t>BITO</t>
    </r>
    <r>
      <rPr>
        <sz val="10"/>
        <color theme="1"/>
        <rFont val="Segoe UI Light"/>
        <family val="2"/>
      </rPr>
      <t xml:space="preserve"> sell order triggers.</t>
    </r>
  </si>
  <si>
    <t>Proshares Bitcoin ETF</t>
  </si>
  <si>
    <t>ETH Swing trading</t>
  </si>
  <si>
    <t>Date started</t>
  </si>
  <si>
    <t>Days since started</t>
  </si>
  <si>
    <t>Annualized returns</t>
  </si>
  <si>
    <t>Staking Rewards</t>
  </si>
  <si>
    <r>
      <t xml:space="preserve">I reset my </t>
    </r>
    <r>
      <rPr>
        <sz val="10"/>
        <color rgb="FF00B0F0"/>
        <rFont val="Segoe UI Light"/>
        <family val="2"/>
      </rPr>
      <t>ETH</t>
    </r>
    <r>
      <rPr>
        <sz val="10"/>
        <color theme="1"/>
        <rFont val="Segoe UI Light"/>
        <family val="2"/>
      </rPr>
      <t xml:space="preserve"> alerts.</t>
    </r>
  </si>
  <si>
    <r>
      <t xml:space="preserve">My </t>
    </r>
    <r>
      <rPr>
        <sz val="10"/>
        <color rgb="FFFF0000"/>
        <rFont val="Segoe UI Light"/>
        <family val="2"/>
      </rPr>
      <t>BITO</t>
    </r>
    <r>
      <rPr>
        <sz val="10"/>
        <color theme="1"/>
        <rFont val="Segoe UI Light"/>
        <family val="2"/>
      </rPr>
      <t xml:space="preserve"> buy order triggers.</t>
    </r>
  </si>
  <si>
    <t>Sell equity</t>
  </si>
  <si>
    <t>Sell BITO</t>
  </si>
  <si>
    <t>Transfer davidchase.eth</t>
  </si>
  <si>
    <t>Questrade RRSP</t>
  </si>
  <si>
    <t>Questrade TFSA</t>
  </si>
  <si>
    <t>BTCX.B</t>
  </si>
  <si>
    <t>Sell HSD.TO</t>
  </si>
  <si>
    <t>Approve Gelato for limit orders</t>
  </si>
  <si>
    <t>Create a limit order on QuickSwap</t>
  </si>
  <si>
    <t>Cancel second transaction</t>
  </si>
  <si>
    <t>Cancel first transaction</t>
  </si>
  <si>
    <t>Value in ETH</t>
  </si>
  <si>
    <t>Value in USDC</t>
  </si>
  <si>
    <t>CIBC RESP</t>
  </si>
  <si>
    <t>Credit broker</t>
  </si>
  <si>
    <t>CI Galaxy Bitoin</t>
  </si>
  <si>
    <t>Crypto Portfolio stats</t>
  </si>
  <si>
    <t>Crypto</t>
  </si>
  <si>
    <t>Buy amount</t>
  </si>
  <si>
    <t>Sell amount</t>
  </si>
  <si>
    <t>Trade Delta</t>
  </si>
  <si>
    <t>BTCX</t>
  </si>
  <si>
    <t>Buy BTCX</t>
  </si>
  <si>
    <t>Buy BTCX in RESP</t>
  </si>
  <si>
    <t>TBD</t>
  </si>
  <si>
    <t>Value in BITO</t>
  </si>
  <si>
    <t>Value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</si>
</sst>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dd/mmm/yy;@"/>
    <numFmt numFmtId="165" formatCode="&quot;$&quot;#,##0.0000"/>
    <numFmt numFmtId="166" formatCode="&quot;$&quot;#,##0.00"/>
    <numFmt numFmtId="167" formatCode="&quot;$&quot;#,##0"/>
    <numFmt numFmtId="168" formatCode="0000"/>
    <numFmt numFmtId="169" formatCode="0.0000"/>
    <numFmt numFmtId="170" formatCode="#,##0.00000000"/>
    <numFmt numFmtId="171" formatCode="[$-409]d/mmm/yy;@"/>
    <numFmt numFmtId="172" formatCode="0.0%;[Red]0.0%"/>
    <numFmt numFmtId="173" formatCode="0%;[Red]0%"/>
    <numFmt numFmtId="174" formatCode="[$-409]h:mm\ AM/PM;@"/>
    <numFmt numFmtId="175" formatCode="0.000"/>
    <numFmt numFmtId="176" formatCode="0.0%"/>
  </numFmts>
  <fonts count="158" x14ac:knownFonts="1"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1"/>
      <color theme="1"/>
      <name val="Calibri"/>
      <family val="2"/>
      <scheme val="minor"/>
    </font>
    <font>
      <sz val="10"/>
      <color rgb="FF000000"/>
      <name val="Segoe UI Light"/>
      <family val="2"/>
    </font>
    <font>
      <sz val="10"/>
      <name val="Segoe UI Light"/>
      <family val="2"/>
    </font>
    <font>
      <b/>
      <sz val="14"/>
      <color theme="1"/>
      <name val="Segoe UI Light"/>
      <family val="2"/>
    </font>
    <font>
      <sz val="8"/>
      <name val="Calibri"/>
      <family val="2"/>
      <scheme val="minor"/>
    </font>
    <font>
      <b/>
      <sz val="10"/>
      <color theme="1"/>
      <name val="Segoe UI Light"/>
      <family val="2"/>
    </font>
    <font>
      <sz val="10"/>
      <color rgb="FFFF0000"/>
      <name val="Segoe UI Light"/>
      <family val="2"/>
    </font>
    <font>
      <sz val="10"/>
      <color rgb="FF00B050"/>
      <name val="Segoe UI Light"/>
      <family val="2"/>
    </font>
    <font>
      <b/>
      <sz val="10"/>
      <color theme="0"/>
      <name val="Segoe UI Light"/>
      <family val="2"/>
    </font>
    <font>
      <sz val="16"/>
      <color theme="1"/>
      <name val="Segoe UI Light"/>
      <family val="2"/>
    </font>
    <font>
      <i/>
      <sz val="10"/>
      <color theme="1"/>
      <name val="Segoe UI Light"/>
      <family val="2"/>
    </font>
    <font>
      <sz val="11"/>
      <color theme="1"/>
      <name val="Segoe UI Light"/>
      <family val="2"/>
    </font>
    <font>
      <b/>
      <i/>
      <sz val="10"/>
      <color theme="1"/>
      <name val="Segoe UI Light"/>
      <family val="2"/>
    </font>
    <font>
      <b/>
      <sz val="11"/>
      <color theme="0"/>
      <name val="Segoe UI Light"/>
      <family val="2"/>
    </font>
    <font>
      <sz val="10"/>
      <color rgb="FF00B0F0"/>
      <name val="Segoe UI Light"/>
      <family val="2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9" fontId="138" fillId="0" borderId="0" applyFont="0" applyFill="0" applyBorder="0" applyAlignment="0" applyProtection="0"/>
    <xf numFmtId="0" fontId="141" fillId="0" borderId="0" applyNumberFormat="0" applyFill="0" applyProtection="0">
      <alignment vertical="center"/>
    </xf>
    <xf numFmtId="44" fontId="138" fillId="0" borderId="0" applyFont="0" applyFill="0" applyBorder="0" applyAlignment="0" applyProtection="0"/>
    <xf numFmtId="0" fontId="138" fillId="0" borderId="0"/>
  </cellStyleXfs>
  <cellXfs count="601">
    <xf numFmtId="0" fontId="0" fillId="0" borderId="0" xfId="0"/>
    <xf numFmtId="0" fontId="137" fillId="0" borderId="0" xfId="0" applyFont="1" applyAlignment="1">
      <alignment vertical="center"/>
    </xf>
    <xf numFmtId="164" fontId="137" fillId="0" borderId="0" xfId="0" applyNumberFormat="1" applyFont="1" applyAlignment="1">
      <alignment vertical="center"/>
    </xf>
    <xf numFmtId="0" fontId="137" fillId="0" borderId="0" xfId="0" applyFont="1" applyAlignment="1">
      <alignment vertical="center" wrapText="1"/>
    </xf>
    <xf numFmtId="0" fontId="137" fillId="0" borderId="0" xfId="0" applyFont="1" applyAlignment="1">
      <alignment horizontal="center" vertical="center" wrapText="1"/>
    </xf>
    <xf numFmtId="0" fontId="137" fillId="0" borderId="0" xfId="0" applyFont="1" applyAlignment="1">
      <alignment horizontal="center" vertical="center"/>
    </xf>
    <xf numFmtId="165" fontId="137" fillId="0" borderId="0" xfId="0" applyNumberFormat="1" applyFont="1" applyAlignment="1">
      <alignment horizontal="center" vertical="center"/>
    </xf>
    <xf numFmtId="166" fontId="137" fillId="0" borderId="0" xfId="0" applyNumberFormat="1" applyFont="1" applyAlignment="1">
      <alignment horizontal="center" vertical="center"/>
    </xf>
    <xf numFmtId="167" fontId="137" fillId="0" borderId="0" xfId="0" applyNumberFormat="1" applyFont="1" applyAlignment="1">
      <alignment horizontal="center" vertical="center"/>
    </xf>
    <xf numFmtId="0" fontId="136" fillId="0" borderId="0" xfId="0" applyFont="1" applyAlignment="1">
      <alignment vertical="center" wrapText="1"/>
    </xf>
    <xf numFmtId="0" fontId="141" fillId="0" borderId="0" xfId="2" applyAlignment="1">
      <alignment vertical="center"/>
    </xf>
    <xf numFmtId="166" fontId="135" fillId="0" borderId="0" xfId="0" applyNumberFormat="1" applyFont="1" applyAlignment="1">
      <alignment horizontal="center" vertical="center"/>
    </xf>
    <xf numFmtId="0" fontId="135" fillId="0" borderId="0" xfId="0" applyFont="1" applyAlignment="1">
      <alignment horizontal="center" vertical="center" wrapText="1"/>
    </xf>
    <xf numFmtId="166" fontId="139" fillId="0" borderId="0" xfId="0" applyNumberFormat="1" applyFont="1" applyAlignment="1">
      <alignment horizontal="center" vertical="center"/>
    </xf>
    <xf numFmtId="4" fontId="137" fillId="0" borderId="0" xfId="0" applyNumberFormat="1" applyFont="1" applyAlignment="1">
      <alignment vertical="center"/>
    </xf>
    <xf numFmtId="4" fontId="135" fillId="0" borderId="0" xfId="0" applyNumberFormat="1" applyFont="1" applyAlignment="1">
      <alignment horizontal="center" vertical="center" wrapText="1"/>
    </xf>
    <xf numFmtId="170" fontId="135" fillId="0" borderId="0" xfId="0" applyNumberFormat="1" applyFont="1" applyAlignment="1">
      <alignment horizontal="center" vertical="center" wrapText="1"/>
    </xf>
    <xf numFmtId="170" fontId="139" fillId="0" borderId="0" xfId="0" applyNumberFormat="1" applyFont="1" applyAlignment="1">
      <alignment horizontal="center" vertical="center"/>
    </xf>
    <xf numFmtId="0" fontId="143" fillId="0" borderId="0" xfId="0" applyFont="1" applyBorder="1" applyAlignment="1">
      <alignment horizontal="center" vertical="center"/>
    </xf>
    <xf numFmtId="0" fontId="134" fillId="0" borderId="0" xfId="0" applyFont="1" applyAlignment="1">
      <alignment vertical="center"/>
    </xf>
    <xf numFmtId="164" fontId="143" fillId="0" borderId="0" xfId="0" applyNumberFormat="1" applyFont="1" applyBorder="1" applyAlignment="1">
      <alignment horizontal="center" vertical="center"/>
    </xf>
    <xf numFmtId="0" fontId="133" fillId="0" borderId="0" xfId="0" applyFont="1" applyAlignment="1">
      <alignment vertical="center"/>
    </xf>
    <xf numFmtId="0" fontId="133" fillId="0" borderId="0" xfId="0" applyFont="1" applyAlignment="1">
      <alignment horizontal="center" vertical="center"/>
    </xf>
    <xf numFmtId="169" fontId="133" fillId="0" borderId="0" xfId="0" applyNumberFormat="1" applyFont="1" applyAlignment="1">
      <alignment vertical="center"/>
    </xf>
    <xf numFmtId="169" fontId="133" fillId="0" borderId="0" xfId="0" applyNumberFormat="1" applyFont="1" applyAlignment="1">
      <alignment horizontal="center" vertical="center"/>
    </xf>
    <xf numFmtId="169" fontId="133" fillId="0" borderId="0" xfId="0" applyNumberFormat="1" applyFont="1" applyAlignment="1">
      <alignment vertical="center" wrapText="1"/>
    </xf>
    <xf numFmtId="168" fontId="133" fillId="0" borderId="0" xfId="0" applyNumberFormat="1" applyFont="1" applyAlignment="1">
      <alignment horizontal="center" vertical="center"/>
    </xf>
    <xf numFmtId="164" fontId="133" fillId="0" borderId="0" xfId="0" applyNumberFormat="1" applyFont="1" applyAlignment="1">
      <alignment vertical="center"/>
    </xf>
    <xf numFmtId="169" fontId="133" fillId="2" borderId="0" xfId="0" applyNumberFormat="1" applyFont="1" applyFill="1" applyAlignment="1">
      <alignment vertical="center"/>
    </xf>
    <xf numFmtId="164" fontId="133" fillId="0" borderId="0" xfId="0" applyNumberFormat="1" applyFont="1" applyFill="1" applyAlignment="1">
      <alignment vertical="center"/>
    </xf>
    <xf numFmtId="0" fontId="133" fillId="0" borderId="0" xfId="0" applyFont="1" applyAlignment="1">
      <alignment horizontal="center" vertical="center" wrapText="1"/>
    </xf>
    <xf numFmtId="0" fontId="132" fillId="0" borderId="0" xfId="0" applyFont="1" applyAlignment="1">
      <alignment vertical="center"/>
    </xf>
    <xf numFmtId="169" fontId="132" fillId="0" borderId="0" xfId="0" applyNumberFormat="1" applyFont="1" applyAlignment="1">
      <alignment vertical="center"/>
    </xf>
    <xf numFmtId="164" fontId="132" fillId="0" borderId="0" xfId="0" applyNumberFormat="1" applyFont="1" applyFill="1" applyAlignment="1">
      <alignment vertical="center"/>
    </xf>
    <xf numFmtId="169" fontId="132" fillId="0" borderId="0" xfId="0" applyNumberFormat="1" applyFont="1" applyAlignment="1">
      <alignment horizontal="center" vertical="center" wrapText="1"/>
    </xf>
    <xf numFmtId="0" fontId="132" fillId="0" borderId="0" xfId="0" applyFont="1" applyAlignment="1">
      <alignment horizontal="center" vertical="center" wrapText="1"/>
    </xf>
    <xf numFmtId="6" fontId="137" fillId="0" borderId="0" xfId="0" applyNumberFormat="1" applyFont="1" applyAlignment="1">
      <alignment horizontal="center" vertical="center"/>
    </xf>
    <xf numFmtId="172" fontId="132" fillId="0" borderId="0" xfId="1" applyNumberFormat="1" applyFont="1" applyAlignment="1">
      <alignment horizontal="center" vertical="center"/>
    </xf>
    <xf numFmtId="169" fontId="140" fillId="0" borderId="0" xfId="0" applyNumberFormat="1" applyFont="1" applyAlignment="1">
      <alignment vertical="center"/>
    </xf>
    <xf numFmtId="0" fontId="131" fillId="0" borderId="0" xfId="0" applyFont="1" applyAlignment="1">
      <alignment horizontal="center" vertical="center"/>
    </xf>
    <xf numFmtId="0" fontId="131" fillId="0" borderId="0" xfId="0" applyFont="1" applyAlignment="1">
      <alignment vertical="center"/>
    </xf>
    <xf numFmtId="169" fontId="131" fillId="0" borderId="0" xfId="0" applyNumberFormat="1" applyFont="1" applyAlignment="1">
      <alignment vertical="center"/>
    </xf>
    <xf numFmtId="164" fontId="131" fillId="0" borderId="0" xfId="0" applyNumberFormat="1" applyFont="1" applyFill="1" applyAlignment="1">
      <alignment vertical="center"/>
    </xf>
    <xf numFmtId="164" fontId="131" fillId="0" borderId="0" xfId="0" applyNumberFormat="1" applyFont="1" applyAlignment="1">
      <alignment vertical="center"/>
    </xf>
    <xf numFmtId="169" fontId="131" fillId="0" borderId="1" xfId="0" applyNumberFormat="1" applyFont="1" applyBorder="1" applyAlignment="1">
      <alignment horizontal="center" vertical="center"/>
    </xf>
    <xf numFmtId="166" fontId="131" fillId="2" borderId="1" xfId="0" applyNumberFormat="1" applyFont="1" applyFill="1" applyBorder="1" applyAlignment="1">
      <alignment horizontal="center" vertical="center"/>
    </xf>
    <xf numFmtId="8" fontId="131" fillId="0" borderId="0" xfId="0" applyNumberFormat="1" applyFont="1" applyAlignment="1">
      <alignment horizontal="center" vertical="center"/>
    </xf>
    <xf numFmtId="8" fontId="131" fillId="2" borderId="0" xfId="0" applyNumberFormat="1" applyFont="1" applyFill="1" applyAlignment="1">
      <alignment horizontal="center" vertical="center"/>
    </xf>
    <xf numFmtId="10" fontId="131" fillId="2" borderId="0" xfId="1" applyNumberFormat="1" applyFont="1" applyFill="1" applyAlignment="1">
      <alignment horizontal="center" vertical="center"/>
    </xf>
    <xf numFmtId="0" fontId="130" fillId="0" borderId="0" xfId="0" applyFont="1" applyAlignment="1">
      <alignment vertical="center"/>
    </xf>
    <xf numFmtId="0" fontId="129" fillId="0" borderId="0" xfId="0" applyFont="1" applyAlignment="1">
      <alignment vertical="center"/>
    </xf>
    <xf numFmtId="169" fontId="129" fillId="0" borderId="0" xfId="0" applyNumberFormat="1" applyFont="1" applyAlignment="1">
      <alignment vertical="center"/>
    </xf>
    <xf numFmtId="0" fontId="128" fillId="0" borderId="0" xfId="0" applyFont="1" applyAlignment="1">
      <alignment vertical="center"/>
    </xf>
    <xf numFmtId="0" fontId="127" fillId="0" borderId="0" xfId="0" applyNumberFormat="1" applyFont="1" applyAlignment="1">
      <alignment vertical="center"/>
    </xf>
    <xf numFmtId="0" fontId="127" fillId="0" borderId="0" xfId="0" applyFont="1" applyAlignment="1">
      <alignment vertical="center"/>
    </xf>
    <xf numFmtId="0" fontId="126" fillId="0" borderId="0" xfId="0" applyFont="1" applyAlignment="1">
      <alignment horizontal="center" vertical="center" wrapText="1"/>
    </xf>
    <xf numFmtId="0" fontId="125" fillId="0" borderId="0" xfId="0" applyFont="1" applyAlignment="1">
      <alignment horizontal="center" vertical="center" wrapText="1"/>
    </xf>
    <xf numFmtId="0" fontId="124" fillId="0" borderId="0" xfId="0" applyFont="1" applyAlignment="1">
      <alignment vertical="center"/>
    </xf>
    <xf numFmtId="0" fontId="124" fillId="0" borderId="0" xfId="0" applyNumberFormat="1" applyFont="1" applyAlignment="1">
      <alignment vertical="center"/>
    </xf>
    <xf numFmtId="171" fontId="128" fillId="0" borderId="0" xfId="0" applyNumberFormat="1" applyFont="1" applyAlignment="1">
      <alignment horizontal="center" vertical="center"/>
    </xf>
    <xf numFmtId="164" fontId="12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22" fillId="0" borderId="0" xfId="0" applyFont="1" applyAlignment="1">
      <alignment vertical="center"/>
    </xf>
    <xf numFmtId="169" fontId="122" fillId="0" borderId="0" xfId="0" applyNumberFormat="1" applyFont="1" applyAlignment="1">
      <alignment vertical="center"/>
    </xf>
    <xf numFmtId="0" fontId="122" fillId="0" borderId="0" xfId="0" applyFont="1" applyAlignment="1">
      <alignment horizontal="center" vertical="center" wrapText="1"/>
    </xf>
    <xf numFmtId="0" fontId="122" fillId="0" borderId="0" xfId="0" applyFont="1" applyAlignment="1">
      <alignment vertical="center" wrapText="1"/>
    </xf>
    <xf numFmtId="0" fontId="139" fillId="0" borderId="0" xfId="0" applyFont="1" applyAlignment="1">
      <alignment vertical="center"/>
    </xf>
    <xf numFmtId="171" fontId="122" fillId="0" borderId="0" xfId="0" applyNumberFormat="1" applyFont="1" applyAlignment="1">
      <alignment vertical="center"/>
    </xf>
    <xf numFmtId="0" fontId="121" fillId="0" borderId="0" xfId="0" applyFont="1" applyAlignment="1">
      <alignment vertical="center"/>
    </xf>
    <xf numFmtId="171" fontId="120" fillId="0" borderId="0" xfId="0" applyNumberFormat="1" applyFont="1" applyAlignment="1">
      <alignment vertical="center"/>
    </xf>
    <xf numFmtId="0" fontId="119" fillId="0" borderId="0" xfId="0" applyFont="1" applyAlignment="1">
      <alignment vertical="center"/>
    </xf>
    <xf numFmtId="0" fontId="119" fillId="0" borderId="0" xfId="0" applyFont="1" applyAlignment="1">
      <alignment horizontal="center" vertical="center"/>
    </xf>
    <xf numFmtId="0" fontId="119" fillId="0" borderId="0" xfId="0" applyFont="1" applyAlignment="1">
      <alignment horizontal="left" vertical="center"/>
    </xf>
    <xf numFmtId="0" fontId="131" fillId="0" borderId="0" xfId="0" applyFont="1" applyAlignment="1">
      <alignment horizontal="left" vertical="center"/>
    </xf>
    <xf numFmtId="169" fontId="118" fillId="0" borderId="0" xfId="0" applyNumberFormat="1" applyFont="1" applyAlignment="1">
      <alignment vertical="center"/>
    </xf>
    <xf numFmtId="0" fontId="118" fillId="0" borderId="0" xfId="0" applyFont="1" applyAlignment="1">
      <alignment horizontal="center" vertical="center" wrapText="1"/>
    </xf>
    <xf numFmtId="0" fontId="117" fillId="0" borderId="0" xfId="0" applyFont="1" applyAlignment="1">
      <alignment vertical="center"/>
    </xf>
    <xf numFmtId="169" fontId="116" fillId="0" borderId="0" xfId="0" applyNumberFormat="1" applyFont="1" applyAlignment="1">
      <alignment vertical="center"/>
    </xf>
    <xf numFmtId="0" fontId="115" fillId="0" borderId="0" xfId="0" applyFont="1" applyAlignment="1">
      <alignment vertical="center"/>
    </xf>
    <xf numFmtId="169" fontId="115" fillId="0" borderId="0" xfId="0" applyNumberFormat="1" applyFont="1" applyAlignment="1">
      <alignment vertical="center"/>
    </xf>
    <xf numFmtId="169" fontId="115" fillId="0" borderId="0" xfId="0" applyNumberFormat="1" applyFont="1" applyAlignment="1">
      <alignment horizontal="center" vertical="center"/>
    </xf>
    <xf numFmtId="0" fontId="115" fillId="0" borderId="0" xfId="0" applyFont="1" applyAlignment="1">
      <alignment horizontal="left" vertical="center"/>
    </xf>
    <xf numFmtId="0" fontId="114" fillId="0" borderId="0" xfId="0" applyFont="1" applyAlignment="1">
      <alignment vertical="center"/>
    </xf>
    <xf numFmtId="0" fontId="113" fillId="0" borderId="0" xfId="0" applyFont="1" applyAlignment="1">
      <alignment vertical="center"/>
    </xf>
    <xf numFmtId="0" fontId="112" fillId="0" borderId="0" xfId="0" applyFont="1" applyAlignment="1">
      <alignment vertical="center"/>
    </xf>
    <xf numFmtId="169" fontId="112" fillId="0" borderId="0" xfId="0" applyNumberFormat="1" applyFont="1" applyAlignment="1">
      <alignment vertical="center"/>
    </xf>
    <xf numFmtId="164" fontId="112" fillId="0" borderId="0" xfId="0" applyNumberFormat="1" applyFont="1" applyFill="1" applyAlignment="1">
      <alignment vertical="center"/>
    </xf>
    <xf numFmtId="6" fontId="140" fillId="0" borderId="0" xfId="0" applyNumberFormat="1" applyFont="1" applyAlignment="1">
      <alignment horizontal="center" vertical="center"/>
    </xf>
    <xf numFmtId="0" fontId="111" fillId="0" borderId="0" xfId="0" applyFont="1" applyAlignment="1">
      <alignment vertical="center" wrapText="1"/>
    </xf>
    <xf numFmtId="0" fontId="110" fillId="0" borderId="0" xfId="0" applyFont="1" applyAlignment="1">
      <alignment vertical="center"/>
    </xf>
    <xf numFmtId="169" fontId="110" fillId="0" borderId="0" xfId="0" applyNumberFormat="1" applyFont="1" applyAlignment="1">
      <alignment vertical="center"/>
    </xf>
    <xf numFmtId="169" fontId="110" fillId="0" borderId="0" xfId="0" applyNumberFormat="1" applyFont="1" applyAlignment="1">
      <alignment horizontal="center" vertical="center"/>
    </xf>
    <xf numFmtId="164" fontId="110" fillId="0" borderId="0" xfId="0" applyNumberFormat="1" applyFont="1" applyFill="1" applyAlignment="1">
      <alignment vertical="center"/>
    </xf>
    <xf numFmtId="164" fontId="110" fillId="0" borderId="0" xfId="0" applyNumberFormat="1" applyFont="1" applyAlignment="1">
      <alignment vertical="center"/>
    </xf>
    <xf numFmtId="169" fontId="110" fillId="2" borderId="0" xfId="0" applyNumberFormat="1" applyFont="1" applyFill="1" applyAlignment="1">
      <alignment vertical="center"/>
    </xf>
    <xf numFmtId="166" fontId="110" fillId="0" borderId="0" xfId="0" applyNumberFormat="1" applyFont="1" applyAlignment="1">
      <alignment vertical="center"/>
    </xf>
    <xf numFmtId="167" fontId="137" fillId="0" borderId="0" xfId="0" applyNumberFormat="1" applyFont="1" applyBorder="1" applyAlignment="1">
      <alignment horizontal="center" vertical="center"/>
    </xf>
    <xf numFmtId="6" fontId="110" fillId="0" borderId="0" xfId="0" applyNumberFormat="1" applyFont="1" applyBorder="1" applyAlignment="1">
      <alignment horizontal="center" vertical="center"/>
    </xf>
    <xf numFmtId="172" fontId="110" fillId="0" borderId="0" xfId="1" applyNumberFormat="1" applyFont="1" applyBorder="1" applyAlignment="1">
      <alignment horizontal="center" vertical="center"/>
    </xf>
    <xf numFmtId="0" fontId="109" fillId="0" borderId="0" xfId="0" applyFont="1" applyAlignment="1">
      <alignment vertical="center"/>
    </xf>
    <xf numFmtId="0" fontId="108" fillId="0" borderId="0" xfId="0" applyFont="1" applyAlignment="1">
      <alignment vertical="center"/>
    </xf>
    <xf numFmtId="169" fontId="108" fillId="0" borderId="0" xfId="0" applyNumberFormat="1" applyFont="1" applyAlignment="1">
      <alignment vertical="center"/>
    </xf>
    <xf numFmtId="0" fontId="107" fillId="0" borderId="0" xfId="0" applyFont="1" applyAlignment="1">
      <alignment vertical="center"/>
    </xf>
    <xf numFmtId="0" fontId="107" fillId="0" borderId="0" xfId="0" applyFont="1" applyAlignment="1">
      <alignment horizontal="center" vertical="center" wrapText="1"/>
    </xf>
    <xf numFmtId="169" fontId="107" fillId="0" borderId="0" xfId="0" applyNumberFormat="1" applyFont="1" applyAlignment="1">
      <alignment vertical="center"/>
    </xf>
    <xf numFmtId="169" fontId="137" fillId="0" borderId="0" xfId="0" applyNumberFormat="1" applyFont="1" applyAlignment="1">
      <alignment vertical="center"/>
    </xf>
    <xf numFmtId="0" fontId="106" fillId="0" borderId="0" xfId="0" applyFont="1" applyAlignment="1">
      <alignment vertical="center"/>
    </xf>
    <xf numFmtId="169" fontId="105" fillId="0" borderId="0" xfId="0" applyNumberFormat="1" applyFont="1" applyAlignment="1">
      <alignment vertical="center"/>
    </xf>
    <xf numFmtId="169" fontId="104" fillId="0" borderId="0" xfId="0" applyNumberFormat="1" applyFont="1" applyAlignment="1">
      <alignment vertical="center"/>
    </xf>
    <xf numFmtId="0" fontId="104" fillId="0" borderId="0" xfId="0" applyFont="1" applyAlignment="1">
      <alignment vertical="center"/>
    </xf>
    <xf numFmtId="169" fontId="103" fillId="0" borderId="0" xfId="0" applyNumberFormat="1" applyFont="1" applyAlignment="1">
      <alignment vertical="center"/>
    </xf>
    <xf numFmtId="169" fontId="102" fillId="0" borderId="0" xfId="0" applyNumberFormat="1" applyFont="1" applyAlignment="1">
      <alignment vertical="center"/>
    </xf>
    <xf numFmtId="0" fontId="102" fillId="0" borderId="0" xfId="0" applyFont="1" applyAlignment="1">
      <alignment vertical="center"/>
    </xf>
    <xf numFmtId="0" fontId="101" fillId="0" borderId="0" xfId="0" applyFont="1" applyAlignment="1">
      <alignment vertical="center"/>
    </xf>
    <xf numFmtId="169" fontId="101" fillId="0" borderId="0" xfId="0" applyNumberFormat="1" applyFont="1" applyAlignment="1">
      <alignment vertical="center"/>
    </xf>
    <xf numFmtId="0" fontId="100" fillId="0" borderId="0" xfId="0" applyFont="1" applyAlignment="1">
      <alignment vertical="center"/>
    </xf>
    <xf numFmtId="169" fontId="100" fillId="0" borderId="0" xfId="0" applyNumberFormat="1" applyFont="1" applyAlignment="1">
      <alignment vertical="center"/>
    </xf>
    <xf numFmtId="0" fontId="99" fillId="0" borderId="0" xfId="0" applyFont="1" applyAlignment="1">
      <alignment vertical="center"/>
    </xf>
    <xf numFmtId="0" fontId="98" fillId="0" borderId="0" xfId="0" applyFont="1" applyAlignment="1">
      <alignment vertical="center"/>
    </xf>
    <xf numFmtId="0" fontId="97" fillId="0" borderId="0" xfId="0" applyFont="1" applyAlignment="1">
      <alignment vertical="center"/>
    </xf>
    <xf numFmtId="169" fontId="97" fillId="0" borderId="0" xfId="0" applyNumberFormat="1" applyFont="1" applyAlignment="1">
      <alignment vertical="center"/>
    </xf>
    <xf numFmtId="169" fontId="96" fillId="0" borderId="0" xfId="0" applyNumberFormat="1" applyFont="1" applyAlignment="1">
      <alignment vertical="center"/>
    </xf>
    <xf numFmtId="0" fontId="95" fillId="0" borderId="0" xfId="0" applyFont="1" applyAlignment="1">
      <alignment vertical="center"/>
    </xf>
    <xf numFmtId="0" fontId="95" fillId="0" borderId="0" xfId="0" applyFont="1" applyAlignment="1">
      <alignment vertical="center" wrapText="1"/>
    </xf>
    <xf numFmtId="169" fontId="95" fillId="0" borderId="0" xfId="0" applyNumberFormat="1" applyFont="1" applyAlignment="1">
      <alignment horizontal="center" vertical="center" wrapText="1"/>
    </xf>
    <xf numFmtId="0" fontId="95" fillId="0" borderId="0" xfId="0" applyFont="1" applyAlignment="1">
      <alignment horizontal="left" vertical="center" wrapText="1"/>
    </xf>
    <xf numFmtId="0" fontId="95" fillId="0" borderId="0" xfId="0" applyFont="1" applyAlignment="1">
      <alignment horizontal="center" vertical="center" wrapText="1"/>
    </xf>
    <xf numFmtId="164" fontId="131" fillId="0" borderId="0" xfId="0" applyNumberFormat="1" applyFont="1" applyAlignment="1">
      <alignment horizontal="center" vertical="center"/>
    </xf>
    <xf numFmtId="2" fontId="131" fillId="0" borderId="0" xfId="0" applyNumberFormat="1" applyFont="1" applyAlignment="1">
      <alignment horizontal="center" vertical="center"/>
    </xf>
    <xf numFmtId="10" fontId="131" fillId="0" borderId="0" xfId="1" applyNumberFormat="1" applyFont="1" applyAlignment="1">
      <alignment horizontal="center" vertical="center"/>
    </xf>
    <xf numFmtId="0" fontId="141" fillId="0" borderId="0" xfId="2">
      <alignment vertical="center"/>
    </xf>
    <xf numFmtId="164" fontId="141" fillId="0" borderId="0" xfId="2" applyNumberFormat="1">
      <alignment vertical="center"/>
    </xf>
    <xf numFmtId="0" fontId="94" fillId="0" borderId="0" xfId="0" applyFont="1" applyAlignment="1">
      <alignment vertical="center"/>
    </xf>
    <xf numFmtId="169" fontId="94" fillId="0" borderId="0" xfId="0" applyNumberFormat="1" applyFont="1" applyAlignment="1">
      <alignment vertical="center"/>
    </xf>
    <xf numFmtId="0" fontId="94" fillId="0" borderId="0" xfId="0" applyFont="1" applyAlignment="1">
      <alignment horizontal="center" vertical="center" wrapText="1"/>
    </xf>
    <xf numFmtId="0" fontId="93" fillId="0" borderId="0" xfId="0" applyFont="1" applyAlignment="1">
      <alignment vertical="center"/>
    </xf>
    <xf numFmtId="0" fontId="92" fillId="0" borderId="0" xfId="0" applyFont="1" applyAlignment="1">
      <alignment vertical="center"/>
    </xf>
    <xf numFmtId="169" fontId="90" fillId="0" borderId="0" xfId="0" applyNumberFormat="1" applyFont="1" applyAlignment="1">
      <alignment vertical="center"/>
    </xf>
    <xf numFmtId="166" fontId="137" fillId="2" borderId="0" xfId="0" applyNumberFormat="1" applyFont="1" applyFill="1" applyAlignment="1">
      <alignment horizontal="center" vertical="center"/>
    </xf>
    <xf numFmtId="165" fontId="137" fillId="2" borderId="0" xfId="0" applyNumberFormat="1" applyFont="1" applyFill="1" applyAlignment="1">
      <alignment horizontal="center" vertical="center"/>
    </xf>
    <xf numFmtId="166" fontId="91" fillId="2" borderId="0" xfId="0" applyNumberFormat="1" applyFont="1" applyFill="1" applyAlignment="1">
      <alignment horizontal="center" vertical="center"/>
    </xf>
    <xf numFmtId="166" fontId="118" fillId="2" borderId="0" xfId="0" applyNumberFormat="1" applyFont="1" applyFill="1" applyAlignment="1">
      <alignment horizontal="center" vertical="center"/>
    </xf>
    <xf numFmtId="0" fontId="89" fillId="0" borderId="0" xfId="0" applyFont="1" applyAlignment="1">
      <alignment vertical="center"/>
    </xf>
    <xf numFmtId="164" fontId="89" fillId="0" borderId="0" xfId="0" applyNumberFormat="1" applyFont="1" applyFill="1" applyAlignment="1">
      <alignment vertical="center"/>
    </xf>
    <xf numFmtId="169" fontId="89" fillId="0" borderId="0" xfId="0" applyNumberFormat="1" applyFont="1" applyAlignment="1">
      <alignment vertical="center"/>
    </xf>
    <xf numFmtId="164" fontId="89" fillId="0" borderId="0" xfId="0" applyNumberFormat="1" applyFont="1" applyAlignment="1">
      <alignment vertical="center"/>
    </xf>
    <xf numFmtId="169" fontId="89" fillId="0" borderId="0" xfId="0" applyNumberFormat="1" applyFont="1" applyAlignment="1">
      <alignment horizontal="center" vertical="center"/>
    </xf>
    <xf numFmtId="169" fontId="89" fillId="2" borderId="0" xfId="0" applyNumberFormat="1" applyFont="1" applyFill="1" applyAlignment="1">
      <alignment vertical="center"/>
    </xf>
    <xf numFmtId="166" fontId="89" fillId="0" borderId="0" xfId="0" applyNumberFormat="1" applyFont="1" applyAlignment="1">
      <alignment vertical="center"/>
    </xf>
    <xf numFmtId="0" fontId="89" fillId="0" borderId="0" xfId="0" applyFont="1" applyAlignment="1">
      <alignment horizontal="center" vertical="center" wrapText="1"/>
    </xf>
    <xf numFmtId="0" fontId="88" fillId="0" borderId="0" xfId="0" applyFont="1" applyAlignment="1">
      <alignment vertical="center"/>
    </xf>
    <xf numFmtId="167" fontId="131" fillId="0" borderId="0" xfId="0" applyNumberFormat="1" applyFont="1" applyAlignment="1">
      <alignment horizontal="center" vertical="center"/>
    </xf>
    <xf numFmtId="166" fontId="131" fillId="0" borderId="0" xfId="0" applyNumberFormat="1" applyFont="1" applyAlignment="1">
      <alignment vertical="center"/>
    </xf>
    <xf numFmtId="169" fontId="88" fillId="0" borderId="0" xfId="0" applyNumberFormat="1" applyFont="1" applyAlignment="1">
      <alignment vertical="center"/>
    </xf>
    <xf numFmtId="0" fontId="87" fillId="0" borderId="0" xfId="0" applyFont="1" applyAlignment="1">
      <alignment vertical="center"/>
    </xf>
    <xf numFmtId="169" fontId="87" fillId="0" borderId="0" xfId="0" applyNumberFormat="1" applyFont="1" applyAlignment="1">
      <alignment vertical="center"/>
    </xf>
    <xf numFmtId="0" fontId="87" fillId="0" borderId="0" xfId="0" applyFont="1" applyAlignment="1">
      <alignment horizontal="center" vertical="center" wrapText="1"/>
    </xf>
    <xf numFmtId="0" fontId="86" fillId="0" borderId="0" xfId="0" applyFont="1" applyAlignment="1">
      <alignment vertical="center"/>
    </xf>
    <xf numFmtId="169" fontId="86" fillId="0" borderId="0" xfId="0" applyNumberFormat="1" applyFont="1" applyAlignment="1">
      <alignment vertical="center"/>
    </xf>
    <xf numFmtId="0" fontId="85" fillId="0" borderId="0" xfId="0" applyFont="1" applyAlignment="1">
      <alignment vertical="center"/>
    </xf>
    <xf numFmtId="164" fontId="85" fillId="0" borderId="0" xfId="0" applyNumberFormat="1" applyFont="1" applyFill="1" applyAlignment="1">
      <alignment vertical="center"/>
    </xf>
    <xf numFmtId="164" fontId="84" fillId="0" borderId="0" xfId="0" applyNumberFormat="1" applyFont="1" applyAlignment="1">
      <alignment vertical="center"/>
    </xf>
    <xf numFmtId="169" fontId="84" fillId="0" borderId="0" xfId="0" applyNumberFormat="1" applyFont="1" applyAlignment="1">
      <alignment vertical="center"/>
    </xf>
    <xf numFmtId="169" fontId="84" fillId="0" borderId="0" xfId="0" applyNumberFormat="1" applyFont="1" applyAlignment="1">
      <alignment horizontal="center" vertical="center"/>
    </xf>
    <xf numFmtId="0" fontId="84" fillId="0" borderId="0" xfId="0" applyFont="1" applyAlignment="1">
      <alignment vertical="center"/>
    </xf>
    <xf numFmtId="0" fontId="83" fillId="0" borderId="0" xfId="0" applyFont="1" applyAlignment="1">
      <alignment vertical="center"/>
    </xf>
    <xf numFmtId="164" fontId="83" fillId="0" borderId="0" xfId="0" applyNumberFormat="1" applyFont="1" applyAlignment="1">
      <alignment vertical="center"/>
    </xf>
    <xf numFmtId="169" fontId="83" fillId="0" borderId="0" xfId="0" applyNumberFormat="1" applyFont="1" applyAlignment="1">
      <alignment vertical="center"/>
    </xf>
    <xf numFmtId="169" fontId="83" fillId="0" borderId="0" xfId="0" applyNumberFormat="1" applyFont="1" applyAlignment="1">
      <alignment horizontal="center" vertical="center"/>
    </xf>
    <xf numFmtId="169" fontId="83" fillId="2" borderId="0" xfId="0" applyNumberFormat="1" applyFont="1" applyFill="1" applyAlignment="1">
      <alignment vertical="center"/>
    </xf>
    <xf numFmtId="164" fontId="82" fillId="0" borderId="0" xfId="0" applyNumberFormat="1" applyFont="1" applyAlignment="1">
      <alignment vertical="center"/>
    </xf>
    <xf numFmtId="169" fontId="82" fillId="0" borderId="0" xfId="0" applyNumberFormat="1" applyFont="1" applyAlignment="1">
      <alignment vertical="center"/>
    </xf>
    <xf numFmtId="169" fontId="82" fillId="0" borderId="0" xfId="0" applyNumberFormat="1" applyFont="1" applyAlignment="1">
      <alignment horizontal="center" vertical="center"/>
    </xf>
    <xf numFmtId="164" fontId="82" fillId="0" borderId="0" xfId="0" applyNumberFormat="1" applyFont="1" applyFill="1" applyAlignment="1">
      <alignment vertical="center"/>
    </xf>
    <xf numFmtId="164" fontId="81" fillId="0" borderId="0" xfId="0" applyNumberFormat="1" applyFont="1" applyAlignment="1">
      <alignment vertical="center"/>
    </xf>
    <xf numFmtId="169" fontId="81" fillId="0" borderId="0" xfId="0" applyNumberFormat="1" applyFont="1" applyAlignment="1">
      <alignment vertical="center"/>
    </xf>
    <xf numFmtId="169" fontId="81" fillId="0" borderId="0" xfId="0" applyNumberFormat="1" applyFont="1" applyAlignment="1">
      <alignment horizontal="center" vertical="center"/>
    </xf>
    <xf numFmtId="164" fontId="81" fillId="0" borderId="0" xfId="0" applyNumberFormat="1" applyFont="1" applyFill="1" applyAlignment="1">
      <alignment vertical="center"/>
    </xf>
    <xf numFmtId="164" fontId="80" fillId="0" borderId="0" xfId="0" applyNumberFormat="1" applyFont="1" applyAlignment="1">
      <alignment vertical="center"/>
    </xf>
    <xf numFmtId="169" fontId="80" fillId="0" borderId="0" xfId="0" applyNumberFormat="1" applyFont="1" applyAlignment="1">
      <alignment vertical="center"/>
    </xf>
    <xf numFmtId="169" fontId="80" fillId="0" borderId="0" xfId="0" applyNumberFormat="1" applyFont="1" applyAlignment="1">
      <alignment horizontal="center" vertical="center"/>
    </xf>
    <xf numFmtId="0" fontId="80" fillId="0" borderId="0" xfId="0" applyFont="1" applyAlignment="1">
      <alignment vertical="center"/>
    </xf>
    <xf numFmtId="164" fontId="85" fillId="2" borderId="0" xfId="0" applyNumberFormat="1" applyFont="1" applyFill="1" applyAlignment="1">
      <alignment vertical="center"/>
    </xf>
    <xf numFmtId="164" fontId="84" fillId="0" borderId="0" xfId="0" applyNumberFormat="1" applyFont="1" applyFill="1" applyAlignment="1">
      <alignment vertical="center"/>
    </xf>
    <xf numFmtId="166" fontId="137" fillId="0" borderId="0" xfId="0" applyNumberFormat="1" applyFont="1" applyFill="1" applyAlignment="1">
      <alignment horizontal="center" vertical="center"/>
    </xf>
    <xf numFmtId="0" fontId="79" fillId="0" borderId="0" xfId="0" applyFont="1" applyAlignment="1">
      <alignment vertical="center"/>
    </xf>
    <xf numFmtId="164" fontId="79" fillId="0" borderId="0" xfId="0" applyNumberFormat="1" applyFont="1" applyFill="1" applyAlignment="1">
      <alignment vertical="center"/>
    </xf>
    <xf numFmtId="169" fontId="79" fillId="0" borderId="0" xfId="0" applyNumberFormat="1" applyFont="1" applyAlignment="1">
      <alignment vertical="center"/>
    </xf>
    <xf numFmtId="0" fontId="78" fillId="0" borderId="0" xfId="0" applyFont="1" applyAlignment="1">
      <alignment vertical="center"/>
    </xf>
    <xf numFmtId="164" fontId="78" fillId="0" borderId="0" xfId="0" applyNumberFormat="1" applyFont="1" applyFill="1" applyAlignment="1">
      <alignment vertical="center"/>
    </xf>
    <xf numFmtId="169" fontId="78" fillId="0" borderId="0" xfId="0" applyNumberFormat="1" applyFont="1" applyAlignment="1">
      <alignment vertical="center"/>
    </xf>
    <xf numFmtId="0" fontId="77" fillId="0" borderId="0" xfId="0" applyFont="1" applyAlignment="1">
      <alignment vertical="center"/>
    </xf>
    <xf numFmtId="169" fontId="77" fillId="0" borderId="0" xfId="0" applyNumberFormat="1" applyFont="1" applyAlignment="1">
      <alignment vertical="center"/>
    </xf>
    <xf numFmtId="164" fontId="77" fillId="0" borderId="0" xfId="0" applyNumberFormat="1" applyFont="1" applyFill="1" applyAlignment="1">
      <alignment vertical="center"/>
    </xf>
    <xf numFmtId="164" fontId="76" fillId="0" borderId="0" xfId="0" applyNumberFormat="1" applyFont="1" applyFill="1" applyAlignment="1">
      <alignment vertical="center"/>
    </xf>
    <xf numFmtId="0" fontId="76" fillId="0" borderId="0" xfId="0" applyFont="1" applyAlignment="1">
      <alignment vertical="center"/>
    </xf>
    <xf numFmtId="0" fontId="75" fillId="0" borderId="0" xfId="0" applyFont="1" applyAlignment="1">
      <alignment vertical="center"/>
    </xf>
    <xf numFmtId="169" fontId="75" fillId="0" borderId="0" xfId="0" applyNumberFormat="1" applyFont="1" applyAlignment="1">
      <alignment vertical="center"/>
    </xf>
    <xf numFmtId="164" fontId="75" fillId="0" borderId="0" xfId="0" applyNumberFormat="1" applyFont="1" applyFill="1" applyAlignment="1">
      <alignment vertical="center"/>
    </xf>
    <xf numFmtId="0" fontId="74" fillId="0" borderId="0" xfId="0" applyFont="1" applyAlignment="1">
      <alignment vertical="center"/>
    </xf>
    <xf numFmtId="164" fontId="74" fillId="0" borderId="0" xfId="0" applyNumberFormat="1" applyFont="1" applyFill="1" applyAlignment="1">
      <alignment vertical="center"/>
    </xf>
    <xf numFmtId="169" fontId="74" fillId="0" borderId="0" xfId="0" applyNumberFormat="1" applyFont="1" applyAlignment="1">
      <alignment vertical="center"/>
    </xf>
    <xf numFmtId="0" fontId="73" fillId="0" borderId="0" xfId="0" applyFont="1" applyAlignment="1">
      <alignment vertical="center"/>
    </xf>
    <xf numFmtId="164" fontId="73" fillId="0" borderId="0" xfId="0" applyNumberFormat="1" applyFont="1" applyFill="1" applyAlignment="1">
      <alignment vertical="center"/>
    </xf>
    <xf numFmtId="169" fontId="73" fillId="0" borderId="0" xfId="0" applyNumberFormat="1" applyFont="1" applyAlignment="1">
      <alignment vertical="center"/>
    </xf>
    <xf numFmtId="0" fontId="72" fillId="0" borderId="0" xfId="0" applyFont="1" applyAlignment="1">
      <alignment vertical="center"/>
    </xf>
    <xf numFmtId="169" fontId="72" fillId="0" borderId="0" xfId="0" applyNumberFormat="1" applyFont="1" applyAlignment="1">
      <alignment vertical="center"/>
    </xf>
    <xf numFmtId="164" fontId="72" fillId="0" borderId="0" xfId="0" applyNumberFormat="1" applyFont="1" applyFill="1" applyAlignment="1">
      <alignment vertical="center"/>
    </xf>
    <xf numFmtId="169" fontId="133" fillId="0" borderId="0" xfId="0" applyNumberFormat="1" applyFont="1" applyFill="1" applyAlignment="1">
      <alignment vertical="center"/>
    </xf>
    <xf numFmtId="0" fontId="71" fillId="0" borderId="0" xfId="0" applyFont="1" applyAlignment="1">
      <alignment vertical="center"/>
    </xf>
    <xf numFmtId="169" fontId="71" fillId="0" borderId="0" xfId="0" applyNumberFormat="1" applyFont="1" applyAlignment="1">
      <alignment vertical="center"/>
    </xf>
    <xf numFmtId="164" fontId="71" fillId="0" borderId="0" xfId="0" applyNumberFormat="1" applyFont="1" applyFill="1" applyAlignment="1">
      <alignment vertical="center"/>
    </xf>
    <xf numFmtId="10" fontId="131" fillId="0" borderId="0" xfId="1" applyNumberFormat="1" applyFont="1" applyAlignment="1">
      <alignment vertical="center"/>
    </xf>
    <xf numFmtId="164" fontId="70" fillId="0" borderId="0" xfId="0" applyNumberFormat="1" applyFont="1" applyBorder="1" applyAlignment="1">
      <alignment vertical="center"/>
    </xf>
    <xf numFmtId="0" fontId="70" fillId="0" borderId="0" xfId="0" applyFont="1" applyAlignment="1">
      <alignment vertical="center"/>
    </xf>
    <xf numFmtId="164" fontId="70" fillId="0" borderId="0" xfId="0" applyNumberFormat="1" applyFont="1" applyFill="1" applyAlignment="1">
      <alignment vertical="center"/>
    </xf>
    <xf numFmtId="0" fontId="70" fillId="0" borderId="0" xfId="0" applyFont="1" applyAlignment="1">
      <alignment horizontal="center" vertical="center"/>
    </xf>
    <xf numFmtId="169" fontId="70" fillId="0" borderId="0" xfId="0" applyNumberFormat="1" applyFont="1" applyAlignment="1">
      <alignment vertical="center"/>
    </xf>
    <xf numFmtId="0" fontId="70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164" fontId="69" fillId="0" borderId="0" xfId="0" applyNumberFormat="1" applyFont="1" applyAlignment="1">
      <alignment vertical="center"/>
    </xf>
    <xf numFmtId="164" fontId="68" fillId="0" borderId="0" xfId="0" applyNumberFormat="1" applyFont="1" applyFill="1" applyAlignment="1">
      <alignment vertical="center"/>
    </xf>
    <xf numFmtId="0" fontId="67" fillId="0" borderId="0" xfId="0" applyFont="1" applyAlignment="1">
      <alignment vertical="center"/>
    </xf>
    <xf numFmtId="164" fontId="67" fillId="0" borderId="0" xfId="0" applyNumberFormat="1" applyFont="1" applyFill="1" applyAlignment="1">
      <alignment vertical="center"/>
    </xf>
    <xf numFmtId="169" fontId="67" fillId="0" borderId="0" xfId="0" applyNumberFormat="1" applyFont="1" applyAlignment="1">
      <alignment vertical="center"/>
    </xf>
    <xf numFmtId="0" fontId="66" fillId="0" borderId="0" xfId="0" applyFont="1" applyAlignment="1">
      <alignment vertical="center"/>
    </xf>
    <xf numFmtId="169" fontId="66" fillId="0" borderId="0" xfId="0" applyNumberFormat="1" applyFont="1" applyAlignment="1">
      <alignment vertical="center"/>
    </xf>
    <xf numFmtId="164" fontId="66" fillId="0" borderId="0" xfId="0" applyNumberFormat="1" applyFont="1" applyFill="1" applyAlignment="1">
      <alignment vertical="center"/>
    </xf>
    <xf numFmtId="0" fontId="66" fillId="0" borderId="0" xfId="0" applyFont="1" applyAlignment="1">
      <alignment horizontal="center" vertical="center" wrapText="1"/>
    </xf>
    <xf numFmtId="0" fontId="65" fillId="0" borderId="0" xfId="0" applyFont="1" applyAlignment="1">
      <alignment vertical="center"/>
    </xf>
    <xf numFmtId="173" fontId="110" fillId="0" borderId="0" xfId="1" applyNumberFormat="1" applyFont="1" applyBorder="1" applyAlignment="1">
      <alignment horizontal="center" vertical="center"/>
    </xf>
    <xf numFmtId="164" fontId="65" fillId="0" borderId="0" xfId="0" applyNumberFormat="1" applyFont="1" applyFill="1" applyAlignment="1">
      <alignment vertical="center"/>
    </xf>
    <xf numFmtId="0" fontId="64" fillId="0" borderId="0" xfId="0" applyFont="1" applyAlignment="1">
      <alignment vertical="center"/>
    </xf>
    <xf numFmtId="164" fontId="64" fillId="0" borderId="0" xfId="0" applyNumberFormat="1" applyFont="1" applyFill="1" applyAlignment="1">
      <alignment vertical="center"/>
    </xf>
    <xf numFmtId="169" fontId="64" fillId="0" borderId="0" xfId="0" applyNumberFormat="1" applyFont="1" applyAlignment="1">
      <alignment vertical="center"/>
    </xf>
    <xf numFmtId="0" fontId="63" fillId="0" borderId="0" xfId="0" applyFont="1" applyAlignment="1">
      <alignment vertical="center"/>
    </xf>
    <xf numFmtId="164" fontId="63" fillId="0" borderId="0" xfId="0" applyNumberFormat="1" applyFont="1" applyFill="1" applyAlignment="1">
      <alignment vertical="center"/>
    </xf>
    <xf numFmtId="169" fontId="62" fillId="0" borderId="0" xfId="0" applyNumberFormat="1" applyFont="1" applyAlignment="1">
      <alignment vertical="center"/>
    </xf>
    <xf numFmtId="164" fontId="62" fillId="0" borderId="0" xfId="0" applyNumberFormat="1" applyFont="1" applyFill="1" applyAlignment="1">
      <alignment vertical="center"/>
    </xf>
    <xf numFmtId="0" fontId="61" fillId="0" borderId="0" xfId="0" applyFont="1" applyAlignment="1">
      <alignment vertical="center"/>
    </xf>
    <xf numFmtId="164" fontId="61" fillId="0" borderId="0" xfId="0" applyNumberFormat="1" applyFont="1" applyFill="1" applyAlignment="1">
      <alignment vertical="center"/>
    </xf>
    <xf numFmtId="169" fontId="61" fillId="0" borderId="0" xfId="0" applyNumberFormat="1" applyFont="1" applyAlignment="1">
      <alignment vertical="center"/>
    </xf>
    <xf numFmtId="164" fontId="60" fillId="0" borderId="0" xfId="0" applyNumberFormat="1" applyFont="1" applyFill="1" applyAlignment="1">
      <alignment vertical="center"/>
    </xf>
    <xf numFmtId="169" fontId="60" fillId="0" borderId="0" xfId="0" applyNumberFormat="1" applyFont="1" applyAlignment="1">
      <alignment vertical="center"/>
    </xf>
    <xf numFmtId="0" fontId="60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164" fontId="59" fillId="0" borderId="0" xfId="0" applyNumberFormat="1" applyFont="1" applyFill="1" applyAlignment="1">
      <alignment vertical="center"/>
    </xf>
    <xf numFmtId="0" fontId="58" fillId="0" borderId="0" xfId="0" applyFont="1" applyAlignment="1">
      <alignment vertical="center"/>
    </xf>
    <xf numFmtId="169" fontId="58" fillId="0" borderId="0" xfId="0" applyNumberFormat="1" applyFont="1" applyAlignment="1">
      <alignment vertical="center"/>
    </xf>
    <xf numFmtId="164" fontId="58" fillId="0" borderId="0" xfId="0" applyNumberFormat="1" applyFont="1" applyFill="1" applyAlignment="1">
      <alignment vertical="center"/>
    </xf>
    <xf numFmtId="0" fontId="57" fillId="0" borderId="0" xfId="0" applyFont="1" applyAlignment="1">
      <alignment vertical="center"/>
    </xf>
    <xf numFmtId="164" fontId="57" fillId="0" borderId="0" xfId="0" applyNumberFormat="1" applyFont="1" applyFill="1" applyAlignment="1">
      <alignment vertical="center"/>
    </xf>
    <xf numFmtId="169" fontId="57" fillId="0" borderId="0" xfId="0" applyNumberFormat="1" applyFont="1" applyAlignment="1">
      <alignment vertical="center"/>
    </xf>
    <xf numFmtId="0" fontId="56" fillId="0" borderId="0" xfId="0" applyFont="1" applyAlignment="1">
      <alignment vertical="center"/>
    </xf>
    <xf numFmtId="169" fontId="56" fillId="0" borderId="0" xfId="0" applyNumberFormat="1" applyFont="1" applyAlignment="1">
      <alignment vertical="center"/>
    </xf>
    <xf numFmtId="164" fontId="56" fillId="0" borderId="0" xfId="0" applyNumberFormat="1" applyFont="1" applyFill="1" applyAlignment="1">
      <alignment vertical="center"/>
    </xf>
    <xf numFmtId="0" fontId="55" fillId="0" borderId="0" xfId="0" applyFont="1" applyAlignment="1">
      <alignment vertical="center"/>
    </xf>
    <xf numFmtId="169" fontId="55" fillId="0" borderId="0" xfId="0" applyNumberFormat="1" applyFont="1" applyAlignment="1">
      <alignment vertical="center"/>
    </xf>
    <xf numFmtId="164" fontId="55" fillId="0" borderId="0" xfId="0" applyNumberFormat="1" applyFont="1" applyFill="1" applyAlignment="1">
      <alignment vertical="center"/>
    </xf>
    <xf numFmtId="0" fontId="54" fillId="0" borderId="0" xfId="0" applyFont="1" applyAlignment="1">
      <alignment vertical="center"/>
    </xf>
    <xf numFmtId="164" fontId="54" fillId="0" borderId="0" xfId="0" applyNumberFormat="1" applyFont="1" applyFill="1" applyAlignment="1">
      <alignment vertical="center"/>
    </xf>
    <xf numFmtId="169" fontId="54" fillId="0" borderId="0" xfId="0" applyNumberFormat="1" applyFont="1" applyAlignment="1">
      <alignment vertical="center"/>
    </xf>
    <xf numFmtId="0" fontId="53" fillId="0" borderId="0" xfId="0" applyFont="1" applyAlignment="1">
      <alignment vertical="center"/>
    </xf>
    <xf numFmtId="169" fontId="53" fillId="0" borderId="0" xfId="0" applyNumberFormat="1" applyFont="1" applyAlignment="1">
      <alignment vertical="center"/>
    </xf>
    <xf numFmtId="164" fontId="53" fillId="0" borderId="0" xfId="0" applyNumberFormat="1" applyFont="1" applyFill="1" applyAlignment="1">
      <alignment vertical="center"/>
    </xf>
    <xf numFmtId="0" fontId="52" fillId="0" borderId="0" xfId="0" applyFont="1" applyAlignment="1">
      <alignment vertical="center"/>
    </xf>
    <xf numFmtId="169" fontId="52" fillId="0" borderId="0" xfId="0" applyNumberFormat="1" applyFont="1" applyAlignment="1">
      <alignment vertical="center"/>
    </xf>
    <xf numFmtId="164" fontId="52" fillId="0" borderId="0" xfId="0" applyNumberFormat="1" applyFont="1" applyFill="1" applyAlignment="1">
      <alignment vertical="center"/>
    </xf>
    <xf numFmtId="0" fontId="52" fillId="0" borderId="0" xfId="0" applyFont="1" applyAlignment="1">
      <alignment horizontal="center" vertical="center" wrapText="1"/>
    </xf>
    <xf numFmtId="169" fontId="51" fillId="0" borderId="0" xfId="0" applyNumberFormat="1" applyFont="1" applyAlignment="1">
      <alignment vertical="center"/>
    </xf>
    <xf numFmtId="0" fontId="50" fillId="0" borderId="0" xfId="0" applyFont="1" applyAlignment="1">
      <alignment vertical="center"/>
    </xf>
    <xf numFmtId="169" fontId="50" fillId="0" borderId="0" xfId="0" applyNumberFormat="1" applyFont="1" applyAlignment="1">
      <alignment vertical="center"/>
    </xf>
    <xf numFmtId="164" fontId="50" fillId="0" borderId="0" xfId="0" applyNumberFormat="1" applyFont="1" applyFill="1" applyAlignment="1">
      <alignment vertical="center"/>
    </xf>
    <xf numFmtId="0" fontId="50" fillId="0" borderId="0" xfId="0" applyFont="1" applyAlignment="1">
      <alignment horizontal="center" vertical="center" wrapText="1"/>
    </xf>
    <xf numFmtId="166" fontId="131" fillId="0" borderId="0" xfId="0" applyNumberFormat="1" applyFont="1" applyAlignment="1">
      <alignment horizontal="center" vertical="center"/>
    </xf>
    <xf numFmtId="167" fontId="50" fillId="0" borderId="0" xfId="0" applyNumberFormat="1" applyFont="1" applyAlignment="1">
      <alignment vertical="center"/>
    </xf>
    <xf numFmtId="0" fontId="49" fillId="0" borderId="0" xfId="0" applyFont="1" applyAlignment="1">
      <alignment vertical="center"/>
    </xf>
    <xf numFmtId="169" fontId="49" fillId="0" borderId="0" xfId="0" applyNumberFormat="1" applyFont="1" applyAlignment="1">
      <alignment vertical="center"/>
    </xf>
    <xf numFmtId="164" fontId="49" fillId="0" borderId="0" xfId="0" applyNumberFormat="1" applyFont="1" applyFill="1" applyAlignment="1">
      <alignment vertical="center"/>
    </xf>
    <xf numFmtId="0" fontId="48" fillId="0" borderId="0" xfId="0" applyFont="1" applyAlignment="1">
      <alignment vertical="center"/>
    </xf>
    <xf numFmtId="169" fontId="48" fillId="0" borderId="0" xfId="0" applyNumberFormat="1" applyFont="1" applyAlignment="1">
      <alignment vertical="center"/>
    </xf>
    <xf numFmtId="164" fontId="48" fillId="0" borderId="0" xfId="0" applyNumberFormat="1" applyFont="1" applyFill="1" applyAlignment="1">
      <alignment vertical="center"/>
    </xf>
    <xf numFmtId="0" fontId="47" fillId="0" borderId="0" xfId="0" applyFont="1" applyAlignment="1">
      <alignment vertical="center"/>
    </xf>
    <xf numFmtId="169" fontId="47" fillId="0" borderId="0" xfId="0" applyNumberFormat="1" applyFont="1" applyAlignment="1">
      <alignment vertical="center"/>
    </xf>
    <xf numFmtId="164" fontId="47" fillId="0" borderId="0" xfId="0" applyNumberFormat="1" applyFont="1" applyFill="1" applyAlignment="1">
      <alignment vertical="center"/>
    </xf>
    <xf numFmtId="164" fontId="47" fillId="0" borderId="0" xfId="0" applyNumberFormat="1" applyFont="1" applyBorder="1" applyAlignment="1">
      <alignment vertical="center"/>
    </xf>
    <xf numFmtId="167" fontId="47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9" fontId="46" fillId="0" borderId="0" xfId="0" applyNumberFormat="1" applyFont="1" applyAlignment="1">
      <alignment vertical="center"/>
    </xf>
    <xf numFmtId="164" fontId="46" fillId="0" borderId="0" xfId="0" applyNumberFormat="1" applyFont="1" applyFill="1" applyAlignment="1">
      <alignment vertical="center"/>
    </xf>
    <xf numFmtId="0" fontId="45" fillId="0" borderId="0" xfId="0" applyFont="1" applyAlignment="1">
      <alignment vertical="center"/>
    </xf>
    <xf numFmtId="169" fontId="45" fillId="0" borderId="0" xfId="0" applyNumberFormat="1" applyFont="1" applyAlignment="1">
      <alignment vertical="center"/>
    </xf>
    <xf numFmtId="164" fontId="45" fillId="0" borderId="0" xfId="0" applyNumberFormat="1" applyFont="1" applyFill="1" applyAlignment="1">
      <alignment vertical="center"/>
    </xf>
    <xf numFmtId="169" fontId="44" fillId="0" borderId="0" xfId="0" applyNumberFormat="1" applyFont="1" applyAlignment="1">
      <alignment vertical="center"/>
    </xf>
    <xf numFmtId="164" fontId="44" fillId="0" borderId="0" xfId="0" applyNumberFormat="1" applyFont="1" applyFill="1" applyAlignment="1">
      <alignment vertical="center"/>
    </xf>
    <xf numFmtId="164" fontId="43" fillId="0" borderId="0" xfId="0" applyNumberFormat="1" applyFont="1" applyFill="1" applyAlignment="1">
      <alignment vertical="center"/>
    </xf>
    <xf numFmtId="0" fontId="42" fillId="0" borderId="0" xfId="0" applyFont="1" applyAlignment="1">
      <alignment vertical="center"/>
    </xf>
    <xf numFmtId="164" fontId="42" fillId="0" borderId="0" xfId="0" applyNumberFormat="1" applyFont="1" applyFill="1" applyAlignment="1">
      <alignment vertical="center"/>
    </xf>
    <xf numFmtId="169" fontId="42" fillId="0" borderId="0" xfId="0" applyNumberFormat="1" applyFont="1" applyAlignment="1">
      <alignment vertical="center"/>
    </xf>
    <xf numFmtId="1" fontId="131" fillId="0" borderId="0" xfId="0" applyNumberFormat="1" applyFont="1" applyAlignment="1">
      <alignment horizontal="center" vertical="center"/>
    </xf>
    <xf numFmtId="0" fontId="41" fillId="0" borderId="0" xfId="0" applyFont="1" applyAlignment="1">
      <alignment vertical="center"/>
    </xf>
    <xf numFmtId="169" fontId="41" fillId="0" borderId="0" xfId="0" applyNumberFormat="1" applyFont="1" applyAlignment="1">
      <alignment vertical="center"/>
    </xf>
    <xf numFmtId="164" fontId="41" fillId="0" borderId="0" xfId="0" applyNumberFormat="1" applyFont="1" applyFill="1" applyAlignment="1">
      <alignment vertical="center"/>
    </xf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vertical="center"/>
    </xf>
    <xf numFmtId="169" fontId="40" fillId="0" borderId="0" xfId="0" applyNumberFormat="1" applyFont="1" applyAlignment="1">
      <alignment vertical="center"/>
    </xf>
    <xf numFmtId="164" fontId="40" fillId="0" borderId="0" xfId="0" applyNumberFormat="1" applyFont="1" applyFill="1" applyAlignment="1">
      <alignment vertical="center"/>
    </xf>
    <xf numFmtId="0" fontId="39" fillId="0" borderId="0" xfId="0" applyFont="1" applyAlignment="1">
      <alignment vertical="center"/>
    </xf>
    <xf numFmtId="169" fontId="39" fillId="0" borderId="0" xfId="0" applyNumberFormat="1" applyFont="1" applyAlignment="1">
      <alignment vertical="center"/>
    </xf>
    <xf numFmtId="164" fontId="39" fillId="0" borderId="0" xfId="0" applyNumberFormat="1" applyFont="1" applyFill="1" applyAlignment="1">
      <alignment vertical="center"/>
    </xf>
    <xf numFmtId="0" fontId="38" fillId="0" borderId="0" xfId="0" applyFont="1" applyAlignment="1">
      <alignment vertical="center"/>
    </xf>
    <xf numFmtId="169" fontId="38" fillId="0" borderId="0" xfId="0" applyNumberFormat="1" applyFont="1" applyAlignment="1">
      <alignment vertical="center"/>
    </xf>
    <xf numFmtId="164" fontId="38" fillId="0" borderId="0" xfId="0" applyNumberFormat="1" applyFont="1" applyFill="1" applyAlignment="1">
      <alignment vertical="center"/>
    </xf>
    <xf numFmtId="0" fontId="38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169" fontId="37" fillId="0" borderId="0" xfId="0" applyNumberFormat="1" applyFont="1" applyAlignment="1">
      <alignment vertical="center"/>
    </xf>
    <xf numFmtId="164" fontId="37" fillId="0" borderId="0" xfId="0" applyNumberFormat="1" applyFont="1" applyFill="1" applyAlignment="1">
      <alignment vertical="center"/>
    </xf>
    <xf numFmtId="164" fontId="37" fillId="0" borderId="0" xfId="0" applyNumberFormat="1" applyFont="1" applyBorder="1" applyAlignment="1">
      <alignment vertical="center"/>
    </xf>
    <xf numFmtId="167" fontId="37" fillId="0" borderId="0" xfId="0" applyNumberFormat="1" applyFont="1" applyAlignment="1">
      <alignment horizontal="center" vertical="center"/>
    </xf>
    <xf numFmtId="167" fontId="37" fillId="0" borderId="0" xfId="0" applyNumberFormat="1" applyFont="1" applyAlignment="1">
      <alignment vertical="center"/>
    </xf>
    <xf numFmtId="164" fontId="37" fillId="0" borderId="0" xfId="0" applyNumberFormat="1" applyFont="1" applyAlignment="1">
      <alignment horizontal="center" vertical="center"/>
    </xf>
    <xf numFmtId="174" fontId="37" fillId="0" borderId="0" xfId="0" applyNumberFormat="1" applyFont="1" applyAlignment="1">
      <alignment horizontal="center" vertical="center"/>
    </xf>
    <xf numFmtId="0" fontId="37" fillId="0" borderId="0" xfId="0" applyFont="1" applyAlignment="1">
      <alignment vertical="center" wrapText="1"/>
    </xf>
    <xf numFmtId="0" fontId="37" fillId="0" borderId="0" xfId="0" applyNumberFormat="1" applyFont="1" applyAlignment="1">
      <alignment horizontal="center" vertical="center"/>
    </xf>
    <xf numFmtId="0" fontId="37" fillId="0" borderId="0" xfId="0" quotePrefix="1" applyNumberFormat="1" applyFont="1" applyAlignment="1">
      <alignment horizontal="center" vertical="center"/>
    </xf>
    <xf numFmtId="165" fontId="55" fillId="2" borderId="0" xfId="0" applyNumberFormat="1" applyFont="1" applyFill="1" applyAlignment="1">
      <alignment horizontal="center" vertical="center"/>
    </xf>
    <xf numFmtId="0" fontId="36" fillId="0" borderId="0" xfId="0" applyFont="1" applyAlignment="1">
      <alignment vertical="center"/>
    </xf>
    <xf numFmtId="169" fontId="36" fillId="0" borderId="0" xfId="0" applyNumberFormat="1" applyFont="1" applyAlignment="1">
      <alignment vertical="center"/>
    </xf>
    <xf numFmtId="164" fontId="36" fillId="0" borderId="0" xfId="0" applyNumberFormat="1" applyFont="1" applyFill="1" applyAlignment="1">
      <alignment vertical="center"/>
    </xf>
    <xf numFmtId="169" fontId="35" fillId="0" borderId="0" xfId="0" applyNumberFormat="1" applyFont="1" applyAlignment="1">
      <alignment vertical="center"/>
    </xf>
    <xf numFmtId="164" fontId="35" fillId="0" borderId="0" xfId="0" applyNumberFormat="1" applyFont="1" applyFill="1" applyAlignment="1">
      <alignment vertical="center"/>
    </xf>
    <xf numFmtId="164" fontId="35" fillId="0" borderId="0" xfId="0" applyNumberFormat="1" applyFont="1" applyAlignment="1">
      <alignment horizontal="center" vertical="center"/>
    </xf>
    <xf numFmtId="174" fontId="35" fillId="0" borderId="0" xfId="0" applyNumberFormat="1" applyFont="1" applyAlignment="1">
      <alignment horizontal="center" vertical="center"/>
    </xf>
    <xf numFmtId="169" fontId="35" fillId="0" borderId="0" xfId="0" applyNumberFormat="1" applyFont="1" applyBorder="1" applyAlignment="1">
      <alignment vertical="center" wrapText="1"/>
    </xf>
    <xf numFmtId="0" fontId="35" fillId="0" borderId="0" xfId="0" applyFont="1" applyAlignment="1">
      <alignment vertical="center" wrapText="1"/>
    </xf>
    <xf numFmtId="0" fontId="131" fillId="2" borderId="0" xfId="0" applyFont="1" applyFill="1" applyAlignment="1">
      <alignment horizontal="center" vertical="center"/>
    </xf>
    <xf numFmtId="169" fontId="131" fillId="0" borderId="0" xfId="0" applyNumberFormat="1" applyFont="1" applyAlignment="1">
      <alignment horizontal="center" vertical="center"/>
    </xf>
    <xf numFmtId="0" fontId="35" fillId="0" borderId="2" xfId="0" applyNumberFormat="1" applyFont="1" applyBorder="1" applyAlignment="1">
      <alignment horizontal="center" vertical="center"/>
    </xf>
    <xf numFmtId="166" fontId="35" fillId="0" borderId="2" xfId="0" applyNumberFormat="1" applyFont="1" applyBorder="1" applyAlignment="1">
      <alignment horizontal="center" vertical="center"/>
    </xf>
    <xf numFmtId="167" fontId="35" fillId="0" borderId="2" xfId="0" applyNumberFormat="1" applyFont="1" applyBorder="1" applyAlignment="1">
      <alignment horizontal="center" vertical="center"/>
    </xf>
    <xf numFmtId="167" fontId="144" fillId="0" borderId="2" xfId="0" applyNumberFormat="1" applyFont="1" applyBorder="1" applyAlignment="1">
      <alignment horizontal="center" vertical="center"/>
    </xf>
    <xf numFmtId="167" fontId="145" fillId="0" borderId="2" xfId="0" applyNumberFormat="1" applyFont="1" applyBorder="1" applyAlignment="1">
      <alignment horizontal="center" vertical="center"/>
    </xf>
    <xf numFmtId="175" fontId="35" fillId="0" borderId="2" xfId="0" applyNumberFormat="1" applyFont="1" applyBorder="1" applyAlignment="1">
      <alignment horizontal="center" vertical="center"/>
    </xf>
    <xf numFmtId="10" fontId="35" fillId="0" borderId="2" xfId="1" applyNumberFormat="1" applyFont="1" applyBorder="1" applyAlignment="1">
      <alignment horizontal="center" vertical="center"/>
    </xf>
    <xf numFmtId="0" fontId="34" fillId="0" borderId="0" xfId="0" applyFont="1" applyAlignment="1">
      <alignment vertical="center"/>
    </xf>
    <xf numFmtId="169" fontId="34" fillId="0" borderId="0" xfId="0" applyNumberFormat="1" applyFont="1" applyAlignment="1">
      <alignment vertical="center"/>
    </xf>
    <xf numFmtId="164" fontId="34" fillId="0" borderId="0" xfId="0" applyNumberFormat="1" applyFont="1" applyFill="1" applyAlignment="1">
      <alignment vertical="center"/>
    </xf>
    <xf numFmtId="169" fontId="33" fillId="0" borderId="0" xfId="0" applyNumberFormat="1" applyFont="1" applyAlignment="1">
      <alignment vertical="center"/>
    </xf>
    <xf numFmtId="164" fontId="33" fillId="0" borderId="0" xfId="0" applyNumberFormat="1" applyFont="1" applyFill="1" applyAlignment="1">
      <alignment vertical="center"/>
    </xf>
    <xf numFmtId="164" fontId="33" fillId="0" borderId="0" xfId="0" applyNumberFormat="1" applyFont="1" applyAlignment="1">
      <alignment horizontal="center" vertical="center"/>
    </xf>
    <xf numFmtId="174" fontId="33" fillId="0" borderId="0" xfId="0" applyNumberFormat="1" applyFont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3" fillId="0" borderId="0" xfId="0" applyNumberFormat="1" applyFont="1" applyAlignment="1">
      <alignment horizontal="center" vertical="center"/>
    </xf>
    <xf numFmtId="0" fontId="33" fillId="0" borderId="0" xfId="0" applyNumberFormat="1" applyFont="1" applyBorder="1" applyAlignment="1">
      <alignment horizontal="center" vertical="center"/>
    </xf>
    <xf numFmtId="0" fontId="144" fillId="0" borderId="0" xfId="0" applyNumberFormat="1" applyFont="1" applyBorder="1" applyAlignment="1">
      <alignment horizontal="center" vertical="center"/>
    </xf>
    <xf numFmtId="0" fontId="145" fillId="0" borderId="0" xfId="0" applyNumberFormat="1" applyFont="1" applyBorder="1" applyAlignment="1">
      <alignment horizontal="center" vertical="center"/>
    </xf>
    <xf numFmtId="0" fontId="140" fillId="0" borderId="0" xfId="0" applyNumberFormat="1" applyFont="1" applyBorder="1" applyAlignment="1">
      <alignment horizontal="center" vertical="center"/>
    </xf>
    <xf numFmtId="169" fontId="32" fillId="0" borderId="0" xfId="0" applyNumberFormat="1" applyFont="1" applyAlignment="1">
      <alignment vertical="center"/>
    </xf>
    <xf numFmtId="169" fontId="31" fillId="0" borderId="0" xfId="0" applyNumberFormat="1" applyFont="1" applyAlignment="1">
      <alignment vertical="center"/>
    </xf>
    <xf numFmtId="164" fontId="31" fillId="0" borderId="0" xfId="0" applyNumberFormat="1" applyFont="1" applyFill="1" applyAlignment="1">
      <alignment vertical="center"/>
    </xf>
    <xf numFmtId="164" fontId="31" fillId="0" borderId="0" xfId="0" applyNumberFormat="1" applyFont="1" applyAlignment="1">
      <alignment horizontal="center" vertical="center"/>
    </xf>
    <xf numFmtId="174" fontId="31" fillId="0" borderId="0" xfId="0" applyNumberFormat="1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1" fillId="0" borderId="0" xfId="0" applyNumberFormat="1" applyFont="1" applyBorder="1" applyAlignment="1">
      <alignment horizontal="center" vertical="center"/>
    </xf>
    <xf numFmtId="0" fontId="131" fillId="0" borderId="0" xfId="0" applyNumberFormat="1" applyFont="1" applyAlignment="1">
      <alignment horizontal="center" vertical="center"/>
    </xf>
    <xf numFmtId="164" fontId="30" fillId="0" borderId="0" xfId="0" applyNumberFormat="1" applyFont="1" applyAlignment="1">
      <alignment vertical="center"/>
    </xf>
    <xf numFmtId="0" fontId="30" fillId="0" borderId="0" xfId="0" applyFont="1" applyAlignment="1">
      <alignment vertical="center" wrapText="1"/>
    </xf>
    <xf numFmtId="9" fontId="131" fillId="0" borderId="0" xfId="1" applyFont="1" applyAlignment="1">
      <alignment horizontal="center" vertical="center"/>
    </xf>
    <xf numFmtId="167" fontId="35" fillId="0" borderId="2" xfId="0" applyNumberFormat="1" applyFont="1" applyBorder="1" applyAlignment="1">
      <alignment vertical="center"/>
    </xf>
    <xf numFmtId="167" fontId="0" fillId="0" borderId="0" xfId="0" applyNumberFormat="1" applyAlignment="1">
      <alignment vertical="center"/>
    </xf>
    <xf numFmtId="0" fontId="29" fillId="0" borderId="0" xfId="0" applyFont="1" applyAlignment="1">
      <alignment vertical="center"/>
    </xf>
    <xf numFmtId="164" fontId="29" fillId="0" borderId="0" xfId="0" applyNumberFormat="1" applyFont="1" applyFill="1" applyAlignment="1">
      <alignment vertical="center"/>
    </xf>
    <xf numFmtId="169" fontId="29" fillId="0" borderId="0" xfId="0" applyNumberFormat="1" applyFont="1" applyAlignment="1">
      <alignment vertical="center"/>
    </xf>
    <xf numFmtId="169" fontId="28" fillId="0" borderId="0" xfId="0" applyNumberFormat="1" applyFont="1" applyAlignment="1">
      <alignment vertical="center"/>
    </xf>
    <xf numFmtId="164" fontId="28" fillId="0" borderId="0" xfId="0" applyNumberFormat="1" applyFont="1" applyFill="1" applyAlignment="1">
      <alignment vertical="center"/>
    </xf>
    <xf numFmtId="0" fontId="27" fillId="0" borderId="0" xfId="0" applyFont="1" applyAlignment="1">
      <alignment vertical="center"/>
    </xf>
    <xf numFmtId="169" fontId="27" fillId="0" borderId="0" xfId="0" applyNumberFormat="1" applyFont="1" applyAlignment="1">
      <alignment vertical="center"/>
    </xf>
    <xf numFmtId="164" fontId="27" fillId="0" borderId="0" xfId="0" applyNumberFormat="1" applyFont="1" applyFill="1" applyAlignment="1">
      <alignment vertical="center"/>
    </xf>
    <xf numFmtId="164" fontId="27" fillId="0" borderId="0" xfId="0" applyNumberFormat="1" applyFont="1" applyAlignment="1">
      <alignment horizontal="center" vertical="center"/>
    </xf>
    <xf numFmtId="17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7" fillId="0" borderId="0" xfId="0" applyNumberFormat="1" applyFont="1" applyBorder="1" applyAlignment="1">
      <alignment horizontal="center" vertical="center"/>
    </xf>
    <xf numFmtId="164" fontId="26" fillId="0" borderId="0" xfId="0" applyNumberFormat="1" applyFont="1" applyAlignment="1">
      <alignment horizontal="center" vertical="center"/>
    </xf>
    <xf numFmtId="174" fontId="26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6" fillId="0" borderId="0" xfId="0" applyNumberFormat="1" applyFont="1" applyBorder="1" applyAlignment="1">
      <alignment horizontal="center" vertical="center"/>
    </xf>
    <xf numFmtId="0" fontId="26" fillId="0" borderId="0" xfId="1" applyNumberFormat="1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169" fontId="25" fillId="0" borderId="0" xfId="0" applyNumberFormat="1" applyFont="1" applyAlignment="1">
      <alignment vertical="center"/>
    </xf>
    <xf numFmtId="164" fontId="25" fillId="0" borderId="0" xfId="0" applyNumberFormat="1" applyFont="1" applyFill="1" applyAlignment="1">
      <alignment vertical="center"/>
    </xf>
    <xf numFmtId="164" fontId="25" fillId="0" borderId="0" xfId="0" applyNumberFormat="1" applyFont="1" applyAlignment="1">
      <alignment horizontal="center" vertical="center"/>
    </xf>
    <xf numFmtId="174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0" fontId="25" fillId="0" borderId="0" xfId="0" applyNumberFormat="1" applyFont="1" applyBorder="1" applyAlignment="1">
      <alignment horizontal="center" vertical="center"/>
    </xf>
    <xf numFmtId="0" fontId="25" fillId="0" borderId="0" xfId="0" applyNumberFormat="1" applyFont="1" applyAlignment="1">
      <alignment horizontal="center" vertical="center"/>
    </xf>
    <xf numFmtId="169" fontId="25" fillId="0" borderId="0" xfId="0" applyNumberFormat="1" applyFont="1" applyBorder="1" applyAlignment="1">
      <alignment vertical="center" wrapText="1"/>
    </xf>
    <xf numFmtId="169" fontId="24" fillId="0" borderId="0" xfId="0" applyNumberFormat="1" applyFont="1" applyBorder="1" applyAlignment="1">
      <alignment vertical="center" wrapText="1"/>
    </xf>
    <xf numFmtId="0" fontId="23" fillId="0" borderId="0" xfId="0" applyFont="1" applyAlignment="1">
      <alignment vertical="center"/>
    </xf>
    <xf numFmtId="169" fontId="23" fillId="0" borderId="0" xfId="0" applyNumberFormat="1" applyFont="1" applyAlignment="1">
      <alignment vertical="center"/>
    </xf>
    <xf numFmtId="164" fontId="23" fillId="0" borderId="0" xfId="0" applyNumberFormat="1" applyFont="1" applyFill="1" applyAlignment="1">
      <alignment vertical="center"/>
    </xf>
    <xf numFmtId="164" fontId="23" fillId="0" borderId="0" xfId="0" applyNumberFormat="1" applyFont="1" applyAlignment="1">
      <alignment horizontal="center" vertical="center"/>
    </xf>
    <xf numFmtId="174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vertical="center" wrapText="1"/>
    </xf>
    <xf numFmtId="0" fontId="23" fillId="0" borderId="0" xfId="0" applyNumberFormat="1" applyFont="1" applyAlignment="1">
      <alignment horizontal="center" vertical="center"/>
    </xf>
    <xf numFmtId="175" fontId="35" fillId="0" borderId="0" xfId="0" applyNumberFormat="1" applyFont="1" applyBorder="1" applyAlignment="1">
      <alignment horizontal="center" vertical="center"/>
    </xf>
    <xf numFmtId="0" fontId="35" fillId="0" borderId="2" xfId="1" applyNumberFormat="1" applyFont="1" applyBorder="1" applyAlignment="1">
      <alignment horizontal="center" vertical="center"/>
    </xf>
    <xf numFmtId="10" fontId="140" fillId="0" borderId="0" xfId="1" applyNumberFormat="1" applyFont="1" applyBorder="1" applyAlignment="1">
      <alignment horizontal="center" vertical="center"/>
    </xf>
    <xf numFmtId="166" fontId="140" fillId="0" borderId="0" xfId="0" applyNumberFormat="1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169" fontId="22" fillId="0" borderId="0" xfId="0" applyNumberFormat="1" applyFont="1" applyAlignment="1">
      <alignment vertical="center"/>
    </xf>
    <xf numFmtId="164" fontId="22" fillId="0" borderId="0" xfId="0" applyNumberFormat="1" applyFont="1" applyFill="1" applyAlignment="1">
      <alignment vertical="center"/>
    </xf>
    <xf numFmtId="0" fontId="21" fillId="0" borderId="0" xfId="0" applyFont="1" applyAlignment="1">
      <alignment vertical="center"/>
    </xf>
    <xf numFmtId="164" fontId="21" fillId="0" borderId="0" xfId="0" applyNumberFormat="1" applyFont="1" applyFill="1" applyAlignment="1">
      <alignment vertical="center"/>
    </xf>
    <xf numFmtId="169" fontId="21" fillId="0" borderId="0" xfId="0" applyNumberFormat="1" applyFont="1" applyAlignment="1">
      <alignment vertical="center"/>
    </xf>
    <xf numFmtId="169" fontId="20" fillId="0" borderId="0" xfId="0" applyNumberFormat="1" applyFont="1" applyAlignment="1">
      <alignment vertical="center"/>
    </xf>
    <xf numFmtId="164" fontId="20" fillId="0" borderId="0" xfId="0" applyNumberFormat="1" applyFont="1" applyFill="1" applyAlignment="1">
      <alignment vertical="center"/>
    </xf>
    <xf numFmtId="164" fontId="20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169" fontId="19" fillId="0" borderId="0" xfId="0" applyNumberFormat="1" applyFont="1" applyAlignment="1">
      <alignment vertical="center"/>
    </xf>
    <xf numFmtId="164" fontId="19" fillId="0" borderId="0" xfId="0" applyNumberFormat="1" applyFont="1" applyFill="1" applyAlignment="1">
      <alignment vertical="center"/>
    </xf>
    <xf numFmtId="164" fontId="19" fillId="0" borderId="0" xfId="0" applyNumberFormat="1" applyFont="1" applyAlignment="1">
      <alignment horizontal="center" vertical="center"/>
    </xf>
    <xf numFmtId="174" fontId="19" fillId="0" borderId="0" xfId="0" applyNumberFormat="1" applyFont="1" applyAlignment="1">
      <alignment horizontal="center" vertical="center"/>
    </xf>
    <xf numFmtId="0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center"/>
    </xf>
    <xf numFmtId="164" fontId="18" fillId="0" borderId="0" xfId="0" applyNumberFormat="1" applyFont="1" applyFill="1" applyAlignment="1">
      <alignment vertical="center"/>
    </xf>
    <xf numFmtId="169" fontId="18" fillId="0" borderId="0" xfId="0" applyNumberFormat="1" applyFont="1" applyAlignment="1">
      <alignment vertical="center"/>
    </xf>
    <xf numFmtId="0" fontId="17" fillId="0" borderId="0" xfId="0" applyFont="1" applyAlignment="1">
      <alignment vertical="center" wrapText="1"/>
    </xf>
    <xf numFmtId="15" fontId="131" fillId="0" borderId="0" xfId="0" applyNumberFormat="1" applyFont="1" applyAlignment="1">
      <alignment horizontal="center" vertical="center"/>
    </xf>
    <xf numFmtId="176" fontId="131" fillId="0" borderId="0" xfId="1" applyNumberFormat="1" applyFont="1" applyAlignment="1">
      <alignment horizontal="center" vertical="center"/>
    </xf>
    <xf numFmtId="0" fontId="16" fillId="0" borderId="0" xfId="0" applyFont="1" applyAlignment="1">
      <alignment vertical="center"/>
    </xf>
    <xf numFmtId="169" fontId="16" fillId="0" borderId="0" xfId="0" applyNumberFormat="1" applyFont="1" applyAlignment="1">
      <alignment vertical="center"/>
    </xf>
    <xf numFmtId="164" fontId="16" fillId="0" borderId="0" xfId="0" applyNumberFormat="1" applyFont="1" applyFill="1" applyAlignment="1">
      <alignment vertical="center"/>
    </xf>
    <xf numFmtId="164" fontId="16" fillId="0" borderId="0" xfId="0" applyNumberFormat="1" applyFont="1" applyAlignment="1">
      <alignment horizontal="center" vertical="center"/>
    </xf>
    <xf numFmtId="174" fontId="16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17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5" fillId="0" borderId="0" xfId="0" applyNumberFormat="1" applyFont="1" applyAlignment="1">
      <alignment horizontal="center" vertical="center"/>
    </xf>
    <xf numFmtId="0" fontId="131" fillId="0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169" fontId="14" fillId="0" borderId="0" xfId="0" applyNumberFormat="1" applyFont="1" applyAlignment="1">
      <alignment vertical="center"/>
    </xf>
    <xf numFmtId="164" fontId="14" fillId="0" borderId="0" xfId="0" applyNumberFormat="1" applyFont="1" applyFill="1" applyAlignment="1">
      <alignment vertical="center"/>
    </xf>
    <xf numFmtId="17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NumberFormat="1" applyFont="1" applyAlignment="1">
      <alignment horizontal="center" vertical="center"/>
    </xf>
    <xf numFmtId="175" fontId="131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169" fontId="13" fillId="0" borderId="0" xfId="0" applyNumberFormat="1" applyFont="1" applyAlignment="1">
      <alignment vertical="center"/>
    </xf>
    <xf numFmtId="164" fontId="13" fillId="0" borderId="0" xfId="0" applyNumberFormat="1" applyFont="1" applyFill="1" applyAlignment="1">
      <alignment vertical="center"/>
    </xf>
    <xf numFmtId="164" fontId="13" fillId="0" borderId="0" xfId="0" applyNumberFormat="1" applyFont="1" applyAlignment="1">
      <alignment horizontal="center" vertical="center"/>
    </xf>
    <xf numFmtId="17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3" fillId="0" borderId="0" xfId="0" applyNumberFormat="1" applyFont="1" applyAlignment="1">
      <alignment horizontal="center" vertical="center"/>
    </xf>
    <xf numFmtId="169" fontId="12" fillId="0" borderId="0" xfId="0" applyNumberFormat="1" applyFont="1" applyAlignment="1">
      <alignment vertical="center"/>
    </xf>
    <xf numFmtId="164" fontId="12" fillId="0" borderId="0" xfId="0" applyNumberFormat="1" applyFont="1" applyAlignment="1">
      <alignment horizontal="center" vertical="center"/>
    </xf>
    <xf numFmtId="174" fontId="12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6" fontId="131" fillId="0" borderId="0" xfId="0" applyNumberFormat="1" applyFont="1" applyAlignment="1">
      <alignment horizontal="center" vertical="center"/>
    </xf>
    <xf numFmtId="9" fontId="131" fillId="0" borderId="0" xfId="0" applyNumberFormat="1" applyFont="1" applyAlignment="1">
      <alignment horizontal="center" vertical="center"/>
    </xf>
    <xf numFmtId="169" fontId="11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69" fontId="10" fillId="0" borderId="0" xfId="0" applyNumberFormat="1" applyFont="1" applyAlignment="1">
      <alignment vertical="center"/>
    </xf>
    <xf numFmtId="164" fontId="10" fillId="0" borderId="0" xfId="0" applyNumberFormat="1" applyFont="1" applyFill="1" applyAlignment="1">
      <alignment vertical="center"/>
    </xf>
    <xf numFmtId="0" fontId="147" fillId="0" borderId="0" xfId="0" applyFont="1" applyAlignment="1">
      <alignment vertical="center"/>
    </xf>
    <xf numFmtId="0" fontId="148" fillId="0" borderId="0" xfId="0" applyFont="1" applyAlignment="1">
      <alignment horizontal="center" vertical="center"/>
    </xf>
    <xf numFmtId="0" fontId="10" fillId="0" borderId="0" xfId="4" applyFont="1"/>
    <xf numFmtId="0" fontId="149" fillId="0" borderId="0" xfId="0" applyFont="1" applyAlignment="1">
      <alignment vertical="center"/>
    </xf>
    <xf numFmtId="166" fontId="10" fillId="0" borderId="0" xfId="0" applyNumberFormat="1" applyFont="1" applyAlignment="1">
      <alignment horizontal="center" vertical="center"/>
    </xf>
    <xf numFmtId="167" fontId="150" fillId="0" borderId="0" xfId="0" applyNumberFormat="1" applyFont="1" applyAlignment="1">
      <alignment horizontal="right" vertical="center"/>
    </xf>
    <xf numFmtId="0" fontId="10" fillId="0" borderId="0" xfId="4" applyFont="1" applyAlignment="1">
      <alignment vertical="center"/>
    </xf>
    <xf numFmtId="171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149" fillId="0" borderId="0" xfId="4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17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NumberFormat="1" applyFont="1" applyAlignment="1">
      <alignment horizontal="center" vertical="center"/>
    </xf>
    <xf numFmtId="166" fontId="144" fillId="0" borderId="2" xfId="0" applyNumberFormat="1" applyFont="1" applyBorder="1" applyAlignment="1">
      <alignment horizontal="center" vertical="center"/>
    </xf>
    <xf numFmtId="166" fontId="145" fillId="0" borderId="2" xfId="0" applyNumberFormat="1" applyFont="1" applyBorder="1" applyAlignment="1">
      <alignment horizontal="center" vertical="center"/>
    </xf>
    <xf numFmtId="166" fontId="10" fillId="0" borderId="6" xfId="3" applyNumberFormat="1" applyFont="1" applyBorder="1" applyAlignment="1">
      <alignment horizontal="center" vertical="center"/>
    </xf>
    <xf numFmtId="10" fontId="10" fillId="0" borderId="3" xfId="1" applyNumberFormat="1" applyFont="1" applyBorder="1" applyAlignment="1">
      <alignment horizontal="center" vertical="center"/>
    </xf>
    <xf numFmtId="166" fontId="10" fillId="2" borderId="7" xfId="3" applyNumberFormat="1" applyFont="1" applyFill="1" applyBorder="1" applyAlignment="1">
      <alignment horizontal="center" vertical="center"/>
    </xf>
    <xf numFmtId="166" fontId="10" fillId="0" borderId="6" xfId="4" applyNumberFormat="1" applyFont="1" applyBorder="1" applyAlignment="1">
      <alignment horizontal="center" vertical="center"/>
    </xf>
    <xf numFmtId="166" fontId="10" fillId="0" borderId="3" xfId="4" applyNumberFormat="1" applyFont="1" applyBorder="1" applyAlignment="1">
      <alignment horizontal="center" vertical="center"/>
    </xf>
    <xf numFmtId="10" fontId="10" fillId="2" borderId="7" xfId="4" applyNumberFormat="1" applyFont="1" applyFill="1" applyBorder="1" applyAlignment="1">
      <alignment horizontal="center" vertical="center"/>
    </xf>
    <xf numFmtId="6" fontId="10" fillId="0" borderId="3" xfId="4" applyNumberFormat="1" applyFont="1" applyBorder="1" applyAlignment="1">
      <alignment horizontal="center" vertical="center"/>
    </xf>
    <xf numFmtId="38" fontId="10" fillId="2" borderId="3" xfId="4" applyNumberFormat="1" applyFont="1" applyFill="1" applyBorder="1" applyAlignment="1">
      <alignment horizontal="center" vertical="center"/>
    </xf>
    <xf numFmtId="166" fontId="10" fillId="0" borderId="7" xfId="4" applyNumberFormat="1" applyFont="1" applyBorder="1" applyAlignment="1">
      <alignment horizontal="center" vertical="center"/>
    </xf>
    <xf numFmtId="176" fontId="10" fillId="0" borderId="6" xfId="1" applyNumberFormat="1" applyFont="1" applyBorder="1" applyAlignment="1">
      <alignment horizontal="center" vertical="center"/>
    </xf>
    <xf numFmtId="0" fontId="10" fillId="0" borderId="3" xfId="4" applyFont="1" applyBorder="1" applyAlignment="1">
      <alignment horizontal="center" vertical="center"/>
    </xf>
    <xf numFmtId="176" fontId="10" fillId="2" borderId="7" xfId="1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46" fillId="3" borderId="4" xfId="4" applyFont="1" applyFill="1" applyBorder="1" applyAlignment="1">
      <alignment horizontal="center" vertical="center"/>
    </xf>
    <xf numFmtId="0" fontId="146" fillId="3" borderId="1" xfId="4" applyFont="1" applyFill="1" applyBorder="1" applyAlignment="1">
      <alignment horizontal="center" vertical="center"/>
    </xf>
    <xf numFmtId="0" fontId="146" fillId="3" borderId="5" xfId="4" applyFont="1" applyFill="1" applyBorder="1" applyAlignment="1">
      <alignment horizontal="center" vertical="center"/>
    </xf>
    <xf numFmtId="0" fontId="146" fillId="3" borderId="1" xfId="4" applyFont="1" applyFill="1" applyBorder="1" applyAlignment="1">
      <alignment horizontal="center" vertical="center" wrapText="1"/>
    </xf>
    <xf numFmtId="0" fontId="151" fillId="3" borderId="1" xfId="4" applyFont="1" applyFill="1" applyBorder="1" applyAlignment="1">
      <alignment horizontal="center" vertical="center"/>
    </xf>
    <xf numFmtId="0" fontId="145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169" fontId="9" fillId="0" borderId="0" xfId="0" applyNumberFormat="1" applyFont="1" applyAlignment="1">
      <alignment vertical="center"/>
    </xf>
    <xf numFmtId="164" fontId="9" fillId="0" borderId="0" xfId="0" applyNumberFormat="1" applyFont="1" applyFill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17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NumberFormat="1" applyFont="1" applyAlignment="1">
      <alignment horizontal="center" vertical="center"/>
    </xf>
    <xf numFmtId="6" fontId="144" fillId="0" borderId="0" xfId="0" applyNumberFormat="1" applyFont="1" applyAlignment="1">
      <alignment horizontal="center" vertical="center"/>
    </xf>
    <xf numFmtId="6" fontId="145" fillId="0" borderId="0" xfId="0" applyNumberFormat="1" applyFont="1" applyAlignment="1">
      <alignment horizontal="center" vertical="center"/>
    </xf>
    <xf numFmtId="167" fontId="35" fillId="0" borderId="0" xfId="0" applyNumberFormat="1" applyFont="1" applyBorder="1" applyAlignment="1">
      <alignment horizontal="center" vertical="center"/>
    </xf>
    <xf numFmtId="166" fontId="35" fillId="0" borderId="0" xfId="0" applyNumberFormat="1" applyFont="1" applyBorder="1" applyAlignment="1">
      <alignment horizontal="center" vertical="center"/>
    </xf>
    <xf numFmtId="0" fontId="25" fillId="0" borderId="2" xfId="0" applyNumberFormat="1" applyFont="1" applyBorder="1" applyAlignment="1">
      <alignment horizontal="center" vertical="center"/>
    </xf>
    <xf numFmtId="167" fontId="144" fillId="0" borderId="0" xfId="0" applyNumberFormat="1" applyFont="1" applyBorder="1" applyAlignment="1">
      <alignment horizontal="center" vertical="center"/>
    </xf>
    <xf numFmtId="166" fontId="144" fillId="0" borderId="0" xfId="0" applyNumberFormat="1" applyFont="1" applyBorder="1" applyAlignment="1">
      <alignment horizontal="center" vertical="center"/>
    </xf>
    <xf numFmtId="167" fontId="145" fillId="0" borderId="0" xfId="0" applyNumberFormat="1" applyFont="1" applyBorder="1" applyAlignment="1">
      <alignment horizontal="center" vertical="center"/>
    </xf>
    <xf numFmtId="166" fontId="145" fillId="0" borderId="0" xfId="0" applyNumberFormat="1" applyFont="1" applyBorder="1" applyAlignment="1">
      <alignment horizontal="center" vertical="center"/>
    </xf>
    <xf numFmtId="0" fontId="37" fillId="0" borderId="0" xfId="0" applyNumberFormat="1" applyFont="1" applyBorder="1" applyAlignment="1">
      <alignment horizontal="center" vertical="center"/>
    </xf>
    <xf numFmtId="0" fontId="19" fillId="0" borderId="0" xfId="0" applyNumberFormat="1" applyFont="1" applyBorder="1" applyAlignment="1">
      <alignment horizontal="center" vertical="center"/>
    </xf>
    <xf numFmtId="0" fontId="131" fillId="0" borderId="0" xfId="0" applyNumberFormat="1" applyFont="1" applyBorder="1" applyAlignment="1">
      <alignment horizontal="center" vertical="center"/>
    </xf>
    <xf numFmtId="0" fontId="23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/>
    </xf>
    <xf numFmtId="8" fontId="144" fillId="0" borderId="0" xfId="0" applyNumberFormat="1" applyFont="1" applyBorder="1" applyAlignment="1">
      <alignment horizontal="center" vertical="center"/>
    </xf>
    <xf numFmtId="169" fontId="133" fillId="0" borderId="0" xfId="0" applyNumberFormat="1" applyFont="1" applyBorder="1" applyAlignment="1">
      <alignment vertical="center"/>
    </xf>
    <xf numFmtId="0" fontId="9" fillId="0" borderId="2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76" fontId="131" fillId="0" borderId="0" xfId="0" applyNumberFormat="1" applyFont="1" applyAlignment="1">
      <alignment horizontal="center" vertical="center"/>
    </xf>
    <xf numFmtId="8" fontId="9" fillId="0" borderId="0" xfId="0" applyNumberFormat="1" applyFont="1" applyAlignment="1">
      <alignment horizontal="center" vertical="center"/>
    </xf>
    <xf numFmtId="8" fontId="9" fillId="0" borderId="2" xfId="0" applyNumberFormat="1" applyFont="1" applyBorder="1" applyAlignment="1">
      <alignment horizontal="center" vertical="center"/>
    </xf>
    <xf numFmtId="1" fontId="137" fillId="0" borderId="0" xfId="0" applyNumberFormat="1" applyFont="1" applyAlignment="1">
      <alignment horizontal="center" vertical="center"/>
    </xf>
    <xf numFmtId="9" fontId="137" fillId="0" borderId="0" xfId="1" applyFont="1" applyAlignment="1">
      <alignment horizontal="center" vertical="center"/>
    </xf>
    <xf numFmtId="0" fontId="143" fillId="0" borderId="3" xfId="0" applyFont="1" applyBorder="1" applyAlignment="1">
      <alignment vertical="center" wrapText="1"/>
    </xf>
    <xf numFmtId="0" fontId="143" fillId="0" borderId="3" xfId="0" applyFont="1" applyBorder="1" applyAlignment="1">
      <alignment horizontal="center" vertical="center" wrapText="1"/>
    </xf>
    <xf numFmtId="15" fontId="137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7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NumberFormat="1" applyFont="1" applyAlignment="1">
      <alignment horizontal="center" vertical="center"/>
    </xf>
    <xf numFmtId="8" fontId="8" fillId="0" borderId="0" xfId="0" applyNumberFormat="1" applyFont="1" applyAlignment="1">
      <alignment horizontal="center" vertical="center"/>
    </xf>
    <xf numFmtId="166" fontId="145" fillId="0" borderId="0" xfId="0" applyNumberFormat="1" applyFont="1" applyAlignment="1">
      <alignment horizontal="center" vertical="center"/>
    </xf>
    <xf numFmtId="169" fontId="8" fillId="0" borderId="0" xfId="0" applyNumberFormat="1" applyFont="1" applyAlignment="1">
      <alignment vertical="center"/>
    </xf>
    <xf numFmtId="164" fontId="8" fillId="0" borderId="0" xfId="0" applyNumberFormat="1" applyFont="1" applyFill="1" applyAlignment="1">
      <alignment vertical="center"/>
    </xf>
    <xf numFmtId="169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169" fontId="5" fillId="0" borderId="0" xfId="0" applyNumberFormat="1" applyFont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174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6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74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144" fillId="0" borderId="8" xfId="0" applyNumberFormat="1" applyFont="1" applyBorder="1" applyAlignment="1">
      <alignment horizontal="center" vertical="center"/>
    </xf>
    <xf numFmtId="0" fontId="145" fillId="0" borderId="8" xfId="0" applyNumberFormat="1" applyFont="1" applyBorder="1" applyAlignment="1">
      <alignment horizontal="center" vertical="center"/>
    </xf>
    <xf numFmtId="8" fontId="153" fillId="4" borderId="10" xfId="0" applyNumberFormat="1" applyFont="1" applyFill="1" applyBorder="1" applyAlignment="1">
      <alignment horizontal="center" vertical="center"/>
    </xf>
    <xf numFmtId="8" fontId="153" fillId="5" borderId="9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9" fontId="3" fillId="0" borderId="0" xfId="0" applyNumberFormat="1" applyFont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7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4" fillId="3" borderId="0" xfId="0" applyFont="1" applyFill="1"/>
    <xf numFmtId="0" fontId="155" fillId="3" borderId="0" xfId="0" applyFont="1" applyFill="1" applyAlignment="1">
      <alignment horizontal="left" vertical="center"/>
    </xf>
    <xf numFmtId="8" fontId="153" fillId="3" borderId="0" xfId="0" applyNumberFormat="1" applyFont="1" applyFill="1" applyBorder="1" applyAlignment="1">
      <alignment horizontal="center" vertical="center"/>
    </xf>
    <xf numFmtId="0" fontId="153" fillId="3" borderId="0" xfId="0" applyFont="1" applyFill="1"/>
    <xf numFmtId="0" fontId="155" fillId="3" borderId="0" xfId="0" applyFont="1" applyFill="1" applyAlignment="1">
      <alignment vertical="center"/>
    </xf>
    <xf numFmtId="0" fontId="157" fillId="3" borderId="0" xfId="0" applyFont="1" applyFill="1"/>
    <xf numFmtId="8" fontId="153" fillId="3" borderId="11" xfId="0" applyNumberFormat="1" applyFont="1" applyFill="1" applyBorder="1" applyAlignment="1">
      <alignment horizontal="center" vertical="center"/>
    </xf>
    <xf numFmtId="0" fontId="154" fillId="3" borderId="0" xfId="0" applyFont="1" applyFill="1" applyAlignment="1">
      <alignment horizontal="center"/>
    </xf>
    <xf numFmtId="0" fontId="153" fillId="3" borderId="0" xfId="0" applyFont="1" applyFill="1" applyAlignment="1">
      <alignment horizontal="center" vertical="center"/>
    </xf>
    <xf numFmtId="9" fontId="153" fillId="3" borderId="0" xfId="0" applyNumberFormat="1" applyFont="1" applyFill="1" applyAlignment="1">
      <alignment horizontal="center" vertical="center"/>
    </xf>
    <xf numFmtId="0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17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153" fillId="3" borderId="0" xfId="0" applyNumberFormat="1" applyFont="1" applyFill="1" applyAlignment="1">
      <alignment horizontal="center" vertical="center"/>
    </xf>
    <xf numFmtId="169" fontId="2" fillId="0" borderId="0" xfId="0" applyNumberFormat="1" applyFont="1" applyAlignment="1">
      <alignment vertical="center"/>
    </xf>
    <xf numFmtId="8" fontId="156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9" fontId="1" fillId="0" borderId="0" xfId="0" applyNumberFormat="1" applyFont="1" applyAlignment="1">
      <alignment vertical="center"/>
    </xf>
    <xf numFmtId="169" fontId="1" fillId="0" borderId="0" xfId="0" applyNumberFormat="1" applyFont="1" applyAlignment="1">
      <alignment horizontal="center" vertical="center"/>
    </xf>
    <xf numFmtId="164" fontId="1" fillId="0" borderId="0" xfId="0" applyNumberFormat="1" applyFont="1" applyFill="1" applyAlignment="1">
      <alignment vertical="center"/>
    </xf>
    <xf numFmtId="8" fontId="131" fillId="0" borderId="0" xfId="0" applyNumberFormat="1" applyFont="1" applyFill="1" applyAlignment="1">
      <alignment horizontal="center" vertical="center"/>
    </xf>
  </cellXfs>
  <cellStyles count="5">
    <cellStyle name="Currency" xfId="3" builtinId="4"/>
    <cellStyle name="Heading 1" xfId="2" builtinId="16" customBuiltin="1"/>
    <cellStyle name="Normal" xfId="0" builtinId="0"/>
    <cellStyle name="Normal 2" xfId="4" xr:uid="{81E0D174-AC8E-464D-9E3C-0B236930E633}"/>
    <cellStyle name="Percent" xfId="1" builtinId="5"/>
  </cellStyles>
  <dxfs count="29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167" formatCode="&quot;$&quot;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72" formatCode="0.0%;[Red]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4" formatCode="[$-409]dd/mmm/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9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9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9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9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family val="2"/>
        <scheme val="none"/>
      </font>
      <numFmt numFmtId="170" formatCode="#,##0.000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family val="2"/>
        <scheme val="none"/>
      </font>
      <numFmt numFmtId="166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6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6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6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6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7" formatCode="&quot;$&quot;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7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7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7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7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7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7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4" formatCode="[$-409]dd/mmm/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4" formatCode="[$-409]dd/mmm/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6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9" formatCode="0.00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4" formatCode="[$-409]dd/mmm/yy;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2" formatCode="&quot;$&quot;#,##0.00_);[Red]\(&quot;$&quot;#,##0.00\)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2" formatCode="&quot;$&quot;#,##0.00_);[Red]\(&quot;$&quot;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2" formatCode="&quot;$&quot;#,##0.00_);[Red]\(&quot;$&quot;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174" formatCode="[$-409]h:mm\ AM/PM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164" formatCode="[$-409]dd/mmm/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9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4" formatCode="[$-409]dd/mmm/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4" formatCode="[$-409]dd/mmm/yy;@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4" formatCode="[$-409]dd/mmm/yy;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6" formatCode="&quot;$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9" formatCode="0.0000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9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9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9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4" formatCode="[$-409]dd/mmm/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8" formatCode="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72" formatCode="0.0%;[Red]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5" formatCode="&quot;$&quot;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 Light"/>
        <family val="2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5" formatCode="&quot;$&quot;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numFmt numFmtId="164" formatCode="[$-409]dd/mmm/yy;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</font>
      <border>
        <top style="thin">
          <color auto="1"/>
        </top>
      </border>
    </dxf>
    <dxf>
      <font>
        <b/>
        <i val="0"/>
      </font>
      <border>
        <bottom style="thin">
          <color auto="1"/>
        </bottom>
      </border>
    </dxf>
    <dxf>
      <border>
        <horizontal style="hair">
          <color auto="1"/>
        </horizontal>
      </border>
    </dxf>
  </dxfs>
  <tableStyles count="1" defaultTableStyle="TableStyleMedium2" defaultPivotStyle="PivotStyleLight16">
    <tableStyle name="Simple" pivot="0" count="3" xr9:uid="{0E5597DB-14B7-4420-9DF2-B5A616521CF7}">
      <tableStyleElement type="wholeTable" dxfId="294"/>
      <tableStyleElement type="headerRow" dxfId="293"/>
      <tableStyleElement type="totalRow" dxfId="29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4</xdr:row>
      <xdr:rowOff>47625</xdr:rowOff>
    </xdr:from>
    <xdr:to>
      <xdr:col>6</xdr:col>
      <xdr:colOff>476251</xdr:colOff>
      <xdr:row>6</xdr:row>
      <xdr:rowOff>38100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C5A4D38-B90D-4CCD-BB9B-AB2054FA9BEE}"/>
            </a:ext>
          </a:extLst>
        </xdr:cNvPr>
        <xdr:cNvCxnSpPr/>
      </xdr:nvCxnSpPr>
      <xdr:spPr>
        <a:xfrm>
          <a:off x="2705100" y="1076325"/>
          <a:ext cx="1" cy="209550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10</xdr:row>
      <xdr:rowOff>76200</xdr:rowOff>
    </xdr:from>
    <xdr:to>
      <xdr:col>6</xdr:col>
      <xdr:colOff>504826</xdr:colOff>
      <xdr:row>12</xdr:row>
      <xdr:rowOff>47625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8DBA7F3-B9D2-4B83-B950-5C5453D73BD6}"/>
            </a:ext>
          </a:extLst>
        </xdr:cNvPr>
        <xdr:cNvCxnSpPr/>
      </xdr:nvCxnSpPr>
      <xdr:spPr>
        <a:xfrm>
          <a:off x="2733675" y="2276475"/>
          <a:ext cx="1" cy="209550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16</xdr:row>
      <xdr:rowOff>76200</xdr:rowOff>
    </xdr:from>
    <xdr:to>
      <xdr:col>6</xdr:col>
      <xdr:colOff>504826</xdr:colOff>
      <xdr:row>18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B56807E-894F-4775-8897-9E1EA98B2FCA}"/>
            </a:ext>
          </a:extLst>
        </xdr:cNvPr>
        <xdr:cNvCxnSpPr/>
      </xdr:nvCxnSpPr>
      <xdr:spPr>
        <a:xfrm>
          <a:off x="2828925" y="2276475"/>
          <a:ext cx="1" cy="209550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B87618F6-8CCD-4D38-AA72-9AB05D018DA6}" autoFormatId="16" applyNumberFormats="0" applyBorderFormats="0" applyFontFormats="0" applyPatternFormats="0" applyAlignmentFormats="0" applyWidthHeightFormats="0">
  <queryTableRefresh nextId="7">
    <queryTableFields count="6">
      <queryTableField id="1" name="Symbol" tableColumnId="1"/>
      <queryTableField id="2" name="Instrument Type" tableColumnId="2"/>
      <queryTableField id="3" name="Currency" tableColumnId="3"/>
      <queryTableField id="4" name="Price" tableColumnId="4"/>
      <queryTableField id="5" name="Previous Close" tableColumnId="5"/>
      <queryTableField id="6" name="GL Percen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adjustColumnWidth="0" connectionId="1" xr16:uid="{00000000-0016-0000-0500-000000000000}" autoFormatId="16" applyNumberFormats="0" applyBorderFormats="0" applyFontFormats="0" applyPatternFormats="0" applyAlignmentFormats="0" applyWidthHeightFormats="0">
  <queryTableRefresh nextId="11" unboundColumnsRight="4">
    <queryTableFields count="10">
      <queryTableField id="1" name="Symbol" tableColumnId="1"/>
      <queryTableField id="2" name="Instrument Type" tableColumnId="2"/>
      <queryTableField id="3" name="Currency" tableColumnId="3"/>
      <queryTableField id="4" name="Price" tableColumnId="4"/>
      <queryTableField id="5" name="Previous Close" tableColumnId="5"/>
      <queryTableField id="6" name="GL Percent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C32C3C-D0F9-4701-8CA9-354A48F94006}" name="tbCryptoBalances" displayName="tbCryptoBalances" ref="B3:K27" totalsRowCount="1" headerRowDxfId="291" dataDxfId="290" totalsRowDxfId="289">
  <autoFilter ref="B3:K26" xr:uid="{01459388-E3E9-414C-AD04-BE95CEBEDCAB}">
    <filterColumn colId="5">
      <customFilters>
        <customFilter operator="greaterThan" val="100"/>
      </customFilters>
    </filterColumn>
  </autoFilter>
  <sortState xmlns:xlrd2="http://schemas.microsoft.com/office/spreadsheetml/2017/richdata2" ref="B5:K15">
    <sortCondition descending="1" ref="G3:G26"/>
  </sortState>
  <tableColumns count="10">
    <tableColumn id="1" xr3:uid="{8E430792-9F96-4804-93F2-BFB07419B2D6}" name="Asset" totalsRowLabel="Total" dataDxfId="288" totalsRowDxfId="22"/>
    <tableColumn id="12" xr3:uid="{C6E3FD5A-A8A3-4BFF-A9AB-692E3470B3D2}" name="Symbol" dataDxfId="287" totalsRowDxfId="21"/>
    <tableColumn id="10" xr3:uid="{2540E8A5-03B9-4A64-BD50-776919CC5557}" name="Asset Type" dataDxfId="286" totalsRowDxfId="20"/>
    <tableColumn id="2" xr3:uid="{E82021E9-CF6A-4DE3-A371-7275D77CCE71}" name="Qty" dataDxfId="285" totalsRowDxfId="19">
      <calculatedColumnFormula>ROUND(SUMIFS(tbTransactions[Qty],tbTransactions[Symbol],tbCryptoBalances[[#This Row],[Symbol]]),8)</calculatedColumnFormula>
    </tableColumn>
    <tableColumn id="3" xr3:uid="{B12556AC-4D9C-438A-A2D1-FBFC7C98FF22}" name="Curr. Price" dataDxfId="284" totalsRowDxfId="18"/>
    <tableColumn id="5" xr3:uid="{A3D912D7-7C31-4023-BDAE-5D54B4FB0CF7}" name="Current Value" totalsRowFunction="sum" dataDxfId="283" totalsRowDxfId="17">
      <calculatedColumnFormula>tbCryptoBalances[[#This Row],[Qty]]*tbCryptoBalances[[#This Row],[Curr. Price]]</calculatedColumnFormula>
    </tableColumn>
    <tableColumn id="4" xr3:uid="{063F0811-E029-4298-9782-92FFFE2295A3}" name="Average Cost" dataDxfId="282" totalsRowDxfId="16">
      <calculatedColumnFormula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calculatedColumnFormula>
    </tableColumn>
    <tableColumn id="6" xr3:uid="{07A14E42-5F97-47BE-A700-3864055438CC}" name="Approx Book Value" totalsRowFunction="sum" dataDxfId="281" totalsRowDxfId="15">
      <calculatedColumnFormula>tbCryptoBalances[[#This Row],[Average Cost]]*tbCryptoBalances[[#This Row],[Qty]]</calculatedColumnFormula>
    </tableColumn>
    <tableColumn id="7" xr3:uid="{16E7F02C-680C-4EF0-AD7F-9BB9A2D58D0E}" name="G/L $" totalsRowFunction="custom" dataDxfId="280" totalsRowDxfId="14">
      <calculatedColumnFormula>tbCryptoBalances[[#This Row],[Current Value]]-tbCryptoBalances[[#This Row],[Approx Book Value]]</calculatedColumnFormula>
      <totalsRowFormula>tbCryptoBalances[[#Totals],[Current Value]]-tbCryptoBalances[[#Totals],[Approx Book Value]]</totalsRowFormula>
    </tableColumn>
    <tableColumn id="8" xr3:uid="{ACB34584-4AA9-4639-86D7-BFDB0B795B75}" name="G/L %" totalsRowFunction="custom" dataDxfId="279" totalsRowDxfId="13">
      <calculatedColumnFormula>IF(tbCryptoBalances[[#This Row],[Approx Book Value]]&gt;0,tbCryptoBalances[[#This Row],[G/L $]]/tbCryptoBalances[[#This Row],[Approx Book Value]],1)</calculatedColumnFormula>
      <totalsRowFormula>tbCryptoBalances[[#Totals],[G/L $]]/tbCryptoBalances[[#Totals],[Approx Book Value]]</totalsRowFormula>
    </tableColumn>
  </tableColumns>
  <tableStyleInfo name="Simp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E3A9B-11CC-49DA-84DD-2EA36B0886A2}" name="qryMyQuotes" displayName="qryMyQuotes" ref="A1:F8" tableType="queryTable" totalsRowShown="0">
  <autoFilter ref="A1:F8" xr:uid="{102E3A9B-11CC-49DA-84DD-2EA36B0886A2}"/>
  <tableColumns count="6">
    <tableColumn id="1" xr3:uid="{9A49E6AB-C59A-465B-B3BC-4E027D2596D8}" uniqueName="1" name="Symbol" queryTableFieldId="1" dataDxfId="2"/>
    <tableColumn id="2" xr3:uid="{E25291F5-A71E-4887-AF78-1E454CD15917}" uniqueName="2" name="Instrument Type" queryTableFieldId="2" dataDxfId="1"/>
    <tableColumn id="3" xr3:uid="{2B988F6A-0233-4173-9C83-D5984F8393A2}" uniqueName="3" name="Currency" queryTableFieldId="3" dataDxfId="0"/>
    <tableColumn id="4" xr3:uid="{D7792401-2A46-44B9-9576-9CDEA23E9F12}" uniqueName="4" name="Price" queryTableFieldId="4"/>
    <tableColumn id="5" xr3:uid="{6356953B-A72D-4E92-B01D-84BA75CE47B1}" uniqueName="5" name="Previous Close" queryTableFieldId="5"/>
    <tableColumn id="6" xr3:uid="{8F1BC253-6A59-4E23-B4B5-11EAE3DD7AE2}" uniqueName="6" name="GL Percent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F372C-E9FE-4FED-8567-A93DD14ED98B}" name="tbTransactions" displayName="tbTransactions" ref="C2:M830" totalsRowCount="1" headerRowDxfId="278" dataDxfId="277" totalsRowDxfId="276">
  <autoFilter ref="C2:M829" xr:uid="{C5D53AB9-2787-49E0-8C66-6609FD57D6A4}"/>
  <sortState xmlns:xlrd2="http://schemas.microsoft.com/office/spreadsheetml/2017/richdata2" ref="C3:M829">
    <sortCondition ref="D2:D829"/>
  </sortState>
  <tableColumns count="11">
    <tableColumn id="1" xr3:uid="{6DBE9C8E-F51A-4517-8DD2-61EC66056E51}" name="TX" dataDxfId="275" totalsRowDxfId="33"/>
    <tableColumn id="11" xr3:uid="{CD67327E-FDCB-4049-AC1E-C91E70C0A666}" name="Date" totalsRowLabel="Total" dataDxfId="274" totalsRowDxfId="32"/>
    <tableColumn id="4" xr3:uid="{A14B8301-6D7F-41FA-B368-FC453EE81A85}" name="Qty" totalsRowLabel="66.0000" dataDxfId="273" totalsRowDxfId="31"/>
    <tableColumn id="5" xr3:uid="{03FC9CB9-33E4-4FA1-9F80-6AA3684F36AB}" name="Unit Cost" dataDxfId="272" totalsRowDxfId="30"/>
    <tableColumn id="3" xr3:uid="{2D836D11-F7E2-4E79-9B3B-3CBB34A19759}" name="Exchange Rate" dataDxfId="271" totalsRowDxfId="29"/>
    <tableColumn id="6" xr3:uid="{7D12B0C0-3467-4D51-A151-501FE97F2D2A}" name="Total" totalsRowFunction="sum" dataDxfId="270" totalsRowDxfId="28"/>
    <tableColumn id="10" xr3:uid="{516D1B13-4DF7-45D0-AC1D-6B33E3BCEB4E}" name="Account" dataDxfId="269" totalsRowDxfId="27"/>
    <tableColumn id="14" xr3:uid="{AA1A5AFE-0685-4053-9481-E89A3CA019C3}" name="Symbol" dataDxfId="268" totalsRowDxfId="26"/>
    <tableColumn id="2" xr3:uid="{1E72D990-C238-47B0-833D-A2B47E53E8CE}" name="Type" dataDxfId="267" totalsRowDxfId="25">
      <calculatedColumnFormula>IF(tbTransactions[[#This Row],[Sub-Type]]="Transfer","Neutral",IF(tbTransactions[[#This Row],[Qty]]&lt;0,"Debit",IF(tbTransactions[[#This Row],[Qty]]&gt;0,"Credit","Neutral")))</calculatedColumnFormula>
    </tableColumn>
    <tableColumn id="7" xr3:uid="{A345E007-B256-42ED-90E8-B55E679790CB}" name="Sub-Type" dataDxfId="266" totalsRowDxfId="24"/>
    <tableColumn id="12" xr3:uid="{1A9CC2B6-19F4-4E9C-94E5-59CB1F14EB0A}" name="Comments" dataDxfId="265" totalsRowDxfId="23"/>
  </tableColumns>
  <tableStyleInfo name="Simp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DC00F0-8776-446F-B0BB-5186EADD6226}" name="Table6" displayName="Table6" ref="B2:K76" totalsRowShown="0" headerRowDxfId="264" dataDxfId="263">
  <autoFilter ref="B2:K76" xr:uid="{D9DC00F0-8776-446F-B0BB-5186EADD6226}"/>
  <sortState xmlns:xlrd2="http://schemas.microsoft.com/office/spreadsheetml/2017/richdata2" ref="B3:K65">
    <sortCondition ref="B2:B65"/>
  </sortState>
  <tableColumns count="10">
    <tableColumn id="1" xr3:uid="{7B03F99C-1F6C-4B9B-8198-510023E63815}" name="Date" dataDxfId="262"/>
    <tableColumn id="2" xr3:uid="{6E5335BD-2CD9-45B3-9F0C-6127C06E8DB2}" name="Time" dataDxfId="261"/>
    <tableColumn id="3" xr3:uid="{5714CA11-935D-4D3B-8761-2001E509D6D8}" name="Comments" dataDxfId="260"/>
    <tableColumn id="4" xr3:uid="{BA9AFE13-DA10-4144-8905-3E6DF0EAE132}" name="Var1" dataDxfId="259"/>
    <tableColumn id="5" xr3:uid="{661A305E-8179-4D8E-9F9C-6EA0D1C6D0DB}" name="Var2" dataDxfId="258">
      <calculatedColumnFormula>E3*0.7</calculatedColumnFormula>
    </tableColumn>
    <tableColumn id="6" xr3:uid="{B5964D3F-A04E-4257-B3FE-1BFE24A960EF}" name="Var3" dataDxfId="257">
      <calculatedColumnFormula>E3*0.8</calculatedColumnFormula>
    </tableColumn>
    <tableColumn id="7" xr3:uid="{35A16148-69CB-4AFB-98BF-FBE429D7BE0F}" name="Var4" dataDxfId="256">
      <calculatedColumnFormula>E3*0.9</calculatedColumnFormula>
    </tableColumn>
    <tableColumn id="8" xr3:uid="{DA8C994F-2D69-4B62-B05B-D59049025684}" name="Var5" dataDxfId="255">
      <calculatedColumnFormula>E3*1.1</calculatedColumnFormula>
    </tableColumn>
    <tableColumn id="9" xr3:uid="{D2FD937F-68D3-402A-A991-866669CCC69A}" name="Var6" dataDxfId="254">
      <calculatedColumnFormula>E3*1.2</calculatedColumnFormula>
    </tableColumn>
    <tableColumn id="10" xr3:uid="{F93A099B-B99F-43F2-A2D2-D8E4F0FD968B}" name="Var7" dataDxfId="253">
      <calculatedColumnFormula>E3*1.3</calculatedColumnFormula>
    </tableColumn>
  </tableColumns>
  <tableStyleInfo name="Simp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A6C425C-0DE2-430C-88CB-61582242430D}" name="tbExchangeCalculator" displayName="tbExchangeCalculator" ref="B7:E8" totalsRowShown="0" headerRowDxfId="252" dataDxfId="251">
  <autoFilter ref="B7:E8" xr:uid="{68DA7380-0C0C-494D-894B-A48EF993F10E}"/>
  <tableColumns count="4">
    <tableColumn id="1" xr3:uid="{E66D12C1-E2EA-44F9-983A-04D69160824F}" name="Price1" dataDxfId="250"/>
    <tableColumn id="2" xr3:uid="{2308AB85-2195-48D1-86F7-EC8C1F112EBE}" name="Price2" dataDxfId="249"/>
    <tableColumn id="3" xr3:uid="{DB45F2B7-793D-4C3B-BA81-E9B32B910260}" name="Fees" dataDxfId="248">
      <calculatedColumnFormula>B8-C8</calculatedColumnFormula>
    </tableColumn>
    <tableColumn id="4" xr3:uid="{B192FC77-F323-4D0B-917A-7AD791AA094B}" name="Fee %" dataDxfId="247">
      <calculatedColumnFormula>D8/B8</calculatedColumnFormula>
    </tableColumn>
  </tableColumns>
  <tableStyleInfo name="Simp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410B753-1D6C-4CF7-AFFF-24CD1401803E}" name="tbPriceCalculator" displayName="tbPriceCalculator" ref="B3:D4" totalsRowShown="0">
  <autoFilter ref="B3:D4" xr:uid="{4410B753-1D6C-4CF7-AFFF-24CD1401803E}">
    <filterColumn colId="0" hiddenButton="1"/>
    <filterColumn colId="1" hiddenButton="1"/>
    <filterColumn colId="2" hiddenButton="1"/>
  </autoFilter>
  <tableColumns count="3">
    <tableColumn id="1" xr3:uid="{1EC6B790-E256-4894-B732-96E0A6D26894}" name="Symbol" dataDxfId="246"/>
    <tableColumn id="2" xr3:uid="{0209E590-E77E-4A4A-997B-684B45CAB6F8}" name="Amount" dataDxfId="245"/>
    <tableColumn id="3" xr3:uid="{37725E13-7AA6-4D84-ABEB-F86396A000A8}" name="Value" dataDxfId="244">
      <calculatedColumnFormula>_xlfn.XLOOKUP(tbPriceCalculator[[#This Row],[Symbol]],qryAssets[Symbol],qryAssets[Price])*tbPriceCalculator[[#This Row],[Amount]]</calculatedColumnFormula>
    </tableColumn>
  </tableColumns>
  <tableStyleInfo name="Simp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C3C597-4793-4275-8CFA-0DC3F19116C7}" name="tbAccountBalances" displayName="tbAccountBalances" ref="B11:E25" totalsRowShown="0">
  <autoFilter ref="B11:E25" xr:uid="{0EC3C597-4793-4275-8CFA-0DC3F19116C7}"/>
  <tableColumns count="4">
    <tableColumn id="1" xr3:uid="{F5187AD0-B7B9-437D-AABF-2C561450DC1C}" name="Exchange" dataDxfId="243"/>
    <tableColumn id="2" xr3:uid="{FAE659B8-9A79-4A03-B26B-5A770AA91430}" name="Currency" dataDxfId="242"/>
    <tableColumn id="3" xr3:uid="{067CAEB6-B56D-41E3-95A5-CADDD11CD716}" name="Quantity" dataDxfId="241"/>
    <tableColumn id="4" xr3:uid="{388BD0F8-159C-49DB-8553-65F39E4CDA02}" name="Comments" dataDxfId="240"/>
  </tableColumns>
  <tableStyleInfo name="Simp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BC3342-F57D-46E7-A802-AE8F50B05280}" name="tbApyCalculations" displayName="tbApyCalculations" ref="B28:F33" totalsRowShown="0">
  <autoFilter ref="B28:F33" xr:uid="{76BC3342-F57D-46E7-A802-AE8F50B05280}"/>
  <tableColumns count="5">
    <tableColumn id="1" xr3:uid="{A9CE8002-35D5-4891-9E7F-C5F24A4D1749}" name="Asset" dataDxfId="239"/>
    <tableColumn id="2" xr3:uid="{24E73DEF-919C-4B12-B909-3CFD819BAC79}" name="Date entered" dataDxfId="238"/>
    <tableColumn id="3" xr3:uid="{787D3800-002D-4757-A094-90F252A09A11}" name="Months in Position" dataDxfId="237">
      <calculatedColumnFormula>(TODAY()-C29)/30</calculatedColumnFormula>
    </tableColumn>
    <tableColumn id="4" xr3:uid="{D1A08004-AD67-48F5-917D-A46778166503}" name="YTD Return" dataDxfId="236"/>
    <tableColumn id="5" xr3:uid="{B194F515-CAD7-4EFA-9ADD-143B07659961}" name="APY" dataDxfId="235">
      <calculatedColumnFormula>E29*12</calculatedColumnFormula>
    </tableColumn>
  </tableColumns>
  <tableStyleInfo name="Simp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CCA991-438D-4A66-9B43-C619C200299A}" name="tbCapitalGains" displayName="tbCapitalGains" ref="B43:G50" totalsRowCount="1" headerRowDxfId="234" dataDxfId="233">
  <autoFilter ref="B43:G49" xr:uid="{2ACCA991-438D-4A66-9B43-C619C200299A}"/>
  <tableColumns count="6">
    <tableColumn id="1" xr3:uid="{324730D2-2CC1-41CE-8770-6E8F3FAD860B}" name="Date" totalsRowLabel="Total" dataDxfId="232" totalsRowDxfId="231"/>
    <tableColumn id="2" xr3:uid="{71CD6E3D-4F30-44C6-8A51-C84A1BC6256F}" name="Amount" dataDxfId="230" totalsRowDxfId="229"/>
    <tableColumn id="3" xr3:uid="{62DE60B8-2086-41BC-AC48-1DCE53CE9C5E}" name="Book Value" dataDxfId="228" totalsRowDxfId="227">
      <calculatedColumnFormula>4661*1.88</calculatedColumnFormula>
    </tableColumn>
    <tableColumn id="4" xr3:uid="{944243C7-BD87-475B-8B73-F0A588B6B9B4}" name="Gains" totalsRowFunction="sum" dataDxfId="226" totalsRowDxfId="225">
      <calculatedColumnFormula>C44-D44</calculatedColumnFormula>
    </tableColumn>
    <tableColumn id="6" xr3:uid="{A7358A27-3F06-485C-86D2-CB552B09238F}" name="Taxable Gains" dataDxfId="224" totalsRowDxfId="223">
      <calculatedColumnFormula>tbCapitalGains[[#This Row],[Gains]]/2</calculatedColumnFormula>
    </tableColumn>
    <tableColumn id="5" xr3:uid="{490A8BCA-534B-4197-B7CD-25D41B37523E}" name="Description" dataDxfId="222" totalsRowDxfId="221"/>
  </tableColumns>
  <tableStyleInfo name="Simp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7E8BC-C244-47DB-814D-D130B2B9853A}" name="Table4" displayName="Table4" ref="B53:G54" totalsRowShown="0" headerRowDxfId="220" dataDxfId="219">
  <autoFilter ref="B53:G54" xr:uid="{F9F7E8BC-C244-47DB-814D-D130B2B9853A}"/>
  <tableColumns count="6">
    <tableColumn id="1" xr3:uid="{553E73DF-A42C-4A8C-B2DB-ADBC6ADD7014}" name="Current Shares" dataDxfId="218"/>
    <tableColumn id="2" xr3:uid="{D8FF129A-E542-4354-87C3-746CC712632A}" name="Shares to Sell" dataDxfId="217"/>
    <tableColumn id="3" xr3:uid="{407500CD-92A5-4781-A4B1-FA3886C90D63}" name="Sell Price" dataDxfId="216"/>
    <tableColumn id="4" xr3:uid="{EDEC1761-588D-4D99-BB44-457F4DCDC1C4}" name="Repurchase Price" dataDxfId="215"/>
    <tableColumn id="5" xr3:uid="{B9E8F2BD-2EF0-4F3C-AC58-D32062186A45}" name="Repurchase Qty" dataDxfId="214">
      <calculatedColumnFormula>D54*C54/E54</calculatedColumnFormula>
    </tableColumn>
    <tableColumn id="6" xr3:uid="{0D923534-CE4D-40C0-AE4E-A1B5D17E4D72}" name="New Total" dataDxfId="213">
      <calculatedColumnFormula>B54-C54+F54</calculatedColumnFormula>
    </tableColumn>
  </tableColumns>
  <tableStyleInfo name="Simpl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70CC958-76DF-4380-9225-ED37107A5E0E}" name="tbStakingRewards" displayName="tbStakingRewards" ref="B85:F91" totalsRowCount="1" headerRowDxfId="212" dataDxfId="210" headerRowBorderDxfId="211">
  <autoFilter ref="B85:F90" xr:uid="{470CC958-76DF-4380-9225-ED37107A5E0E}"/>
  <tableColumns count="5">
    <tableColumn id="1" xr3:uid="{EF8B08B1-2AA3-4B2D-8097-11F1266EA0BA}" name="Asset" totalsRowLabel="Total" dataDxfId="209" totalsRowDxfId="208"/>
    <tableColumn id="2" xr3:uid="{5F762D42-9467-414B-8F1A-A7B20F052F4F}" name="Symbol" dataDxfId="207" totalsRowDxfId="206"/>
    <tableColumn id="3" xr3:uid="{AF1C277D-F1D0-45CE-9438-CAFEC7A192F6}" name="Gain (Coins)" dataDxfId="205" totalsRowDxfId="204">
      <calculatedColumnFormula>SUMIFS(tbTransactions[Qty],tbTransactions[Symbol],tbStakingRewards[[#This Row],[Symbol]],tbTransactions[Sub-Type],"Staking interest")+SUMIFS(tbTransactions[Qty],tbTransactions[Symbol],tbStakingRewards[[#This Row],[Symbol]],tbTransactions[Sub-Type],"Borrow interest")</calculatedColumnFormula>
    </tableColumn>
    <tableColumn id="4" xr3:uid="{667300B1-5938-474A-ABD3-74890F4E93E4}" name="Gain %" dataDxfId="203" totalsRowDxfId="202">
      <calculatedColumnFormula>tbStakingRewards[[#This Row],[Gain (Coins)]]/(_xlfn.XLOOKUP(tbStakingRewards[[#This Row],[Symbol]],tbCryptoBalances[Symbol],tbCryptoBalances[Qty])-tbStakingRewards[[#This Row],[Gain (Coins)]])</calculatedColumnFormula>
    </tableColumn>
    <tableColumn id="5" xr3:uid="{EC7A253D-A3F2-41DF-B2EE-9CC680845CFF}" name="Gain $" totalsRowFunction="sum" dataDxfId="201" totalsRowDxfId="200">
      <calculatedColumnFormula>tbStakingRewards[[#This Row],[Gain (Coins)]]*_xlfn.XLOOKUP(tbStakingRewards[[#This Row],[Symbol]],tbCryptoBalances[Symbol],tbCryptoBalances[Curr. Price])</calculatedColumnFormula>
    </tableColumn>
  </tableColumns>
  <tableStyleInfo name="Simpl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7FAD5D8-593F-4578-8ABD-4BA5C17439BD}" name="tbAssetHistory" displayName="tbAssetHistory" ref="A1:G359" totalsRowShown="0" headerRowDxfId="199" dataDxfId="198">
  <autoFilter ref="A1:G359" xr:uid="{6322BF4D-159C-4B48-B5E0-0AFB476972EF}"/>
  <tableColumns count="7">
    <tableColumn id="1" xr3:uid="{CB13C791-4B2A-4F16-923E-C548C94839BE}" name="Symbol" dataDxfId="197"/>
    <tableColumn id="2" xr3:uid="{7AB9DC42-4DEE-46BD-89DD-5667592B704D}" name="3-Jun-21" dataDxfId="196"/>
    <tableColumn id="3" xr3:uid="{94F331F1-64D9-41A9-AD58-C8A1A1D7D418}" name="4-Jun-21" dataDxfId="195"/>
    <tableColumn id="4" xr3:uid="{10CC89D3-9E2B-4BC3-AD18-96C03E2BBDDF}" name="5-Jun-21" dataDxfId="194"/>
    <tableColumn id="5" xr3:uid="{34EA961A-D05B-43EC-97A3-F1EF19796EC3}" name="6-Jun-21" dataDxfId="193"/>
    <tableColumn id="6" xr3:uid="{FD094613-3D5E-4520-A570-24904DF3239B}" name="7-Jun-21" dataDxfId="192"/>
    <tableColumn id="7" xr3:uid="{9BA6D010-9613-413C-9498-5BB74AB46A8C}" name="8-Jun-21" dataDxfId="191"/>
  </tableColumns>
  <tableStyleInfo name="Simple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C6E633-A85A-4BA5-B2FF-5A6216C879A2}" name="qryAssets" displayName="qryAssets" ref="A1:J360" tableType="queryTable" totalsRowShown="0" headerRowDxfId="190" dataDxfId="189">
  <autoFilter ref="A1:J360" xr:uid="{D8C6E633-A85A-4BA5-B2FF-5A6216C879A2}"/>
  <tableColumns count="10">
    <tableColumn id="1" xr3:uid="{C863CF80-6CF3-4C34-9126-C5A364B3951A}" uniqueName="1" name="Symbol" queryTableFieldId="1" dataDxfId="12"/>
    <tableColumn id="2" xr3:uid="{0544D923-1F74-4F69-BDDB-80FD3BEC9D60}" uniqueName="2" name="Instrument Type" queryTableFieldId="2" dataDxfId="11"/>
    <tableColumn id="3" xr3:uid="{D0CC7487-D38E-4B57-B248-D6BD39DA76F7}" uniqueName="3" name="Currency" queryTableFieldId="3" dataDxfId="10"/>
    <tableColumn id="4" xr3:uid="{133E597D-5D59-4E35-B7D6-7BDA65011873}" uniqueName="4" name="Price" queryTableFieldId="4" dataDxfId="9"/>
    <tableColumn id="5" xr3:uid="{043B79D4-3737-4444-8855-8AC72430014F}" uniqueName="5" name="Previous Close" queryTableFieldId="5" dataDxfId="8"/>
    <tableColumn id="6" xr3:uid="{30B3BC21-AB71-4AA5-A05C-EBAD95DDFFE8}" uniqueName="6" name="GL Percent" queryTableFieldId="6" dataDxfId="7"/>
    <tableColumn id="7" xr3:uid="{A2BC6E04-66D3-45A3-A6D8-1A879F4DA8A3}" uniqueName="7" name="Column1" queryTableFieldId="7" dataDxfId="6">
      <calculatedColumnFormula>E2*(1-iDelta*2)</calculatedColumnFormula>
    </tableColumn>
    <tableColumn id="8" xr3:uid="{30CC2782-ADA9-4C5E-B5E2-BF7D81BE4D59}" uniqueName="8" name="Column2" queryTableFieldId="8" dataDxfId="5">
      <calculatedColumnFormula>E2*(1-iDelta*1)</calculatedColumnFormula>
    </tableColumn>
    <tableColumn id="9" xr3:uid="{94C93D15-DBC3-4E7E-AE95-C018A0BB4ECF}" uniqueName="9" name="Column3" queryTableFieldId="9" dataDxfId="4">
      <calculatedColumnFormula>E2*(1+iDelta*1)</calculatedColumnFormula>
    </tableColumn>
    <tableColumn id="10" xr3:uid="{3380C90A-74F9-41ED-8429-E0ED0E9D8E53}" uniqueName="10" name="Column4" queryTableFieldId="10" dataDxfId="3">
      <calculatedColumnFormula>E2*(1+iDelta*2)</calculatedColumnFormula>
    </tableColumn>
  </tableColumns>
  <tableStyleInfo name="Simple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FAE83F-3477-4F47-9D83-EDCB13BF6B62}" name="tbCoins8" displayName="tbCoins8" ref="B2:D184" headerRowDxfId="188" dataDxfId="187">
  <autoFilter ref="B2:D184" xr:uid="{01459388-E3E9-414C-AD04-BE95CEBEDCAB}"/>
  <sortState xmlns:xlrd2="http://schemas.microsoft.com/office/spreadsheetml/2017/richdata2" ref="B3:D184">
    <sortCondition ref="B2:B184"/>
  </sortState>
  <tableColumns count="3">
    <tableColumn id="3" xr3:uid="{C50D43B6-5C22-42B4-8FA8-8C15F725EA6F}" name="Ticker1" dataDxfId="186" totalsRowDxfId="185">
      <calculatedColumnFormula>LEFT(#REF!,FIND(":",#REF!)-1)</calculatedColumnFormula>
    </tableColumn>
    <tableColumn id="2" xr3:uid="{955A5738-3BC6-4280-BB2D-D0FF52C6EC70}" name="Ticker2" dataDxfId="184">
      <calculatedColumnFormula>RIGHT(#REF!,LEN(#REF!)-FIND(":",#REF!))</calculatedColumnFormula>
    </tableColumn>
    <tableColumn id="4" xr3:uid="{0A97B2CE-79B7-4096-B1A2-E2D445543EF1}" name="Current" dataDxfId="183">
      <calculatedColumnFormula>_xlfn.XLOOKUP(tbCoins8[[#This Row],[Ticker1]],#REF!,#REF!)/_xlfn.XLOOKUP(tbCoins8[[#This Row],[Ticker2]],#REF!,#REF!)</calculatedColumnFormula>
    </tableColumn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7980E5-7946-4C1A-B163-B09BA6DB01E9}">
  <we:reference id="wa104381695" version="1.0.10.0" store="en-US" storeType="OMEX"/>
  <we:alternateReferences>
    <we:reference id="wa104381695" version="1.0.1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_xldudf_CS_TIME</we:customFunctionIds>
        <we:customFunctionIds>_xldudf_CS_ATH</we:customFunctionIds>
        <we:customFunctionIds>_xldudf_CS_ENDPOINTS</we:customFunctionIds>
        <we:customFunctionIds>_xldudf_CS_EXCHANGES</we:customFunctionIds>
        <we:customFunctionIds>_xldudf_CS_EXRATE</we:customFunctionIds>
        <we:customFunctionIds>_xldudf_CS_OHLCV</we:customFunctionIds>
        <we:customFunctionIds>_xldudf_CS_ORDERBOOKS</we:customFunctionIds>
        <we:customFunctionIds>_xldudf_CS_PARAMETERS</we:customFunctionIds>
        <we:customFunctionIds>_xldudf_CS_PRICE</we:customFunctionIds>
        <we:customFunctionIds>_xldudf_CS_PRICEA</we:customFunctionIds>
        <we:customFunctionIds>_xldudf_CS_PROVIDERS</we:customFunctionIds>
        <we:customFunctionIds>_xldudf_CS_QUERY</we:customFunctionIds>
        <we:customFunctionIds>_xldudf_CS_QUERYA</we:customFunctionIds>
        <we:customFunctionIds>_xldudf_CS_SYMBOLS</we:customFunctionIds>
        <we:customFunctionIds>_xldudf_CS_TA</we:customFunctionIds>
        <we:customFunctionIds>_xldudf_CS_TAHIS</we:customFunctionIds>
        <we:customFunctionIds>_xldudf_CS_TRADES</we:customFunctionIds>
        <we:customFunctionIds>_xldudf_CS_ORDERBOOKSL3A</we:customFunctionIds>
        <we:customFunctionIds>_xldudf_CS_OHLCVA</we:customFunctionIds>
        <we:customFunctionIds>_xldudf_CS_ADDRESS</we:customFunctionIds>
        <we:customFunctionIds>_xldudf_CS_CHAIN</we:customFunctionIds>
        <we:customFunctionIds>_xldudf_CS_CLUSTERS</we:customFunctionIds>
        <we:customFunctionIds>_xldudf_CS_IDEAS</we:customFunctionIds>
        <we:customFunctionIds>_xldudf_CS_METRICS</we:customFunctionIds>
        <we:customFunctionIds>_xldudf_CS_AD</we:customFunctionIds>
        <we:customFunctionIds>_xldudf_CS_ADOSC</we:customFunctionIds>
        <we:customFunctionIds>_xldudf_CS_ADX</we:customFunctionIds>
        <we:customFunctionIds>_xldudf_CS_APO</we:customFunctionIds>
        <we:customFunctionIds>_xldudf_CS_AROON</we:customFunctionIds>
        <we:customFunctionIds>_xldudf_CS_AROONOSC</we:customFunctionIds>
        <we:customFunctionIds>_xldudf_CS_ATR</we:customFunctionIds>
        <we:customFunctionIds>_xldudf_CS_BBANDS</we:customFunctionIds>
        <we:customFunctionIds>_xldudf_CS_BETA</we:customFunctionIds>
        <we:customFunctionIds>_xldudf_CS_CCI</we:customFunctionIds>
        <we:customFunctionIds>_xldudf_CS_CDLINNECK</we:customFunctionIds>
        <we:customFunctionIds>_xldudf_CS_CDLMARUBOZU</we:customFunctionIds>
        <we:customFunctionIds>_xldudf_CS_CORREL</we:customFunctionIds>
        <we:customFunctionIds>_xldudf_CS_DEMA</we:customFunctionIds>
        <we:customFunctionIds>_xldudf_CS_DX</we:customFunctionIds>
        <we:customFunctionIds>_xldudf_CS_EMA</we:customFunctionIds>
        <we:customFunctionIds>_xldudf_CS_LINEARREG</we:customFunctionIds>
        <we:customFunctionIds>_xldudf_CS_LINEARREGANGLE</we:customFunctionIds>
        <we:customFunctionIds>_xldudf_CS_LINEARREGINTERCEPT</we:customFunctionIds>
        <we:customFunctionIds>_xldudf_CS_LINEARREGSLOPE</we:customFunctionIds>
        <we:customFunctionIds>_xldudf_CS_MACD</we:customFunctionIds>
        <we:customFunctionIds>_xldudf_CS_MACDEXT</we:customFunctionIds>
        <we:customFunctionIds>_xldudf_CS_MACDFIX</we:customFunctionIds>
        <we:customFunctionIds>_xldudf_CS_MFI</we:customFunctionIds>
        <we:customFunctionIds>_xldudf_CS_MOM</we:customFunctionIds>
        <we:customFunctionIds>_xldudf_CS_NATR</we:customFunctionIds>
        <we:customFunctionIds>_xldudf_CS_OBV</we:customFunctionIds>
        <we:customFunctionIds>_xldudf_CS_ROC</we:customFunctionIds>
        <we:customFunctionIds>_xldudf_CS_ROCP</we:customFunctionIds>
        <we:customFunctionIds>_xldudf_CS_ROCR</we:customFunctionIds>
        <we:customFunctionIds>_xldudf_CS_RSI</we:customFunctionIds>
        <we:customFunctionIds>_xldudf_CS_SAREXT</we:customFunctionIds>
        <we:customFunctionIds>_xldudf_CS_SMA</we:customFunctionIds>
        <we:customFunctionIds>_xldudf_CS_STDDEV</we:customFunctionIds>
        <we:customFunctionIds>_xldudf_CS_STOCH</we:customFunctionIds>
        <we:customFunctionIds>_xldudf_CS_T3</we:customFunctionIds>
        <we:customFunctionIds>_xldudf_CS_TEMA</we:customFunctionIds>
        <we:customFunctionIds>_xldudf_CS_TRANGE</we:customFunctionIds>
        <we:customFunctionIds>_xldudf_CS_TRIX</we:customFunctionIds>
        <we:customFunctionIds>_xldudf_CS_TSF</we:customFunctionIds>
        <we:customFunctionIds>_xldudf_CS_ULTOSC</we:customFunctionIds>
        <we:customFunctionIds>_xldudf_CS_VARI</we:customFunctionIds>
        <we:customFunctionIds>_xldudf_CS_WCLPRICE</we:customFunctionIds>
        <we:customFunctionIds>_xldudf_CS_WILLR</we:customFunctionIds>
        <we:customFunctionIds>_xldudf_CS_WMA</we:customFunctionIds>
        <we:customFunctionIds>_xldudf_CS_STATUS</we:customFunctionIds>
        <we:customFunctionIds>_xldudf_CS_LOGIN</we:customFunctionIds>
        <we:customFunctionIds>_xldudf_CS_TAMETADATA</we:customFunctionIds>
        <we:customFunctionIds>_xldudf_CS_FLOOR</we:customFunctionIds>
        <we:customFunctionIds>_xldudf_CS_LN</we:customFunctionIds>
        <we:customFunctionIds>_xldudf_CS_EXP</we:customFunctionIds>
        <we:customFunctionIds>_xldudf_CS_FIELDS</we:customFunctionIds>
        <we:customFunctionIds>_xldudf_CS_TRADESA</we:customFunctionIds>
        <we:customFunctionIds>_xldudf_CS_ORDERBOOKSA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24D6-7589-4CB3-B0EB-14FF5287A2DA}">
  <sheetPr>
    <tabColor rgb="FF00B050"/>
  </sheetPr>
  <dimension ref="B1:K39"/>
  <sheetViews>
    <sheetView showGridLines="0" workbookViewId="0">
      <pane xSplit="2" topLeftCell="C1" activePane="topRight" state="frozen"/>
      <selection pane="topRight" activeCell="F15" sqref="F15"/>
    </sheetView>
  </sheetViews>
  <sheetFormatPr defaultColWidth="9.140625" defaultRowHeight="30" customHeight="1" x14ac:dyDescent="0.25"/>
  <cols>
    <col min="1" max="1" width="1.28515625" style="1" customWidth="1"/>
    <col min="2" max="2" width="20.85546875" style="1" customWidth="1"/>
    <col min="3" max="3" width="11.28515625" style="1" customWidth="1"/>
    <col min="4" max="4" width="12" style="5" customWidth="1"/>
    <col min="5" max="5" width="12.140625" style="5" customWidth="1"/>
    <col min="6" max="21" width="11.28515625" style="1" customWidth="1"/>
    <col min="22" max="16384" width="9.140625" style="1"/>
  </cols>
  <sheetData>
    <row r="1" spans="2:11" ht="7.5" customHeight="1" x14ac:dyDescent="0.25">
      <c r="B1" s="3"/>
      <c r="C1" s="3"/>
      <c r="D1" s="4"/>
      <c r="E1" s="4"/>
    </row>
    <row r="2" spans="2:11" ht="30" customHeight="1" x14ac:dyDescent="0.25">
      <c r="B2" s="10" t="s">
        <v>421</v>
      </c>
      <c r="C2" s="3"/>
      <c r="D2" s="4"/>
      <c r="E2" s="4"/>
    </row>
    <row r="3" spans="2:11" ht="43.5" customHeight="1" x14ac:dyDescent="0.25">
      <c r="B3" s="66" t="s">
        <v>50</v>
      </c>
      <c r="C3" s="55" t="s">
        <v>51</v>
      </c>
      <c r="D3" s="65" t="s">
        <v>420</v>
      </c>
      <c r="E3" s="4" t="s">
        <v>1</v>
      </c>
      <c r="F3" s="4" t="s">
        <v>4</v>
      </c>
      <c r="G3" s="4" t="s">
        <v>5</v>
      </c>
      <c r="H3" s="30" t="s">
        <v>40</v>
      </c>
      <c r="I3" s="35" t="s">
        <v>44</v>
      </c>
      <c r="J3" s="35" t="s">
        <v>45</v>
      </c>
      <c r="K3" s="35" t="s">
        <v>46</v>
      </c>
    </row>
    <row r="4" spans="2:11" ht="30" customHeight="1" x14ac:dyDescent="0.25">
      <c r="B4" s="9" t="s">
        <v>371</v>
      </c>
      <c r="C4" s="56" t="s">
        <v>48</v>
      </c>
      <c r="D4" s="76" t="s">
        <v>442</v>
      </c>
      <c r="E4" s="5">
        <f>ROUND(SUMIFS(tbTransactions[Qty],tbTransactions[Symbol],tbCryptoBalances[[#This Row],[Symbol]]),8)</f>
        <v>600</v>
      </c>
      <c r="F4" s="185">
        <f>_xlfn.XLOOKUP(tbCryptoBalances[[#This Row],[Symbol]],qryMyQuotes[Symbol],qryMyQuotes[Price])</f>
        <v>182.85</v>
      </c>
      <c r="G4" s="88">
        <f>tbCryptoBalances[[#This Row],[Qty]]*tbCryptoBalances[[#This Row],[Curr. Price]]</f>
        <v>109710</v>
      </c>
      <c r="H4" s="7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166.86923558897243</v>
      </c>
      <c r="I4" s="36">
        <f>tbCryptoBalances[[#This Row],[Average Cost]]*tbCryptoBalances[[#This Row],[Qty]]</f>
        <v>100121.54135338345</v>
      </c>
      <c r="J4" s="36">
        <f>tbCryptoBalances[[#This Row],[Current Value]]-tbCryptoBalances[[#This Row],[Approx Book Value]]</f>
        <v>9588.4586466165492</v>
      </c>
      <c r="K4" s="37">
        <f>IF(tbCryptoBalances[[#This Row],[Approx Book Value]]&gt;0,tbCryptoBalances[[#This Row],[G/L $]]/tbCryptoBalances[[#This Row],[Approx Book Value]],1)</f>
        <v>9.5768188513735086E-2</v>
      </c>
    </row>
    <row r="5" spans="2:11" ht="30" customHeight="1" x14ac:dyDescent="0.25">
      <c r="B5" s="9" t="s">
        <v>513</v>
      </c>
      <c r="C5" s="56" t="s">
        <v>24</v>
      </c>
      <c r="D5" s="575" t="s">
        <v>775</v>
      </c>
      <c r="E5" s="5">
        <f>ROUND(SUMIFS(tbTransactions[Qty],tbTransactions[Symbol],tbCryptoBalances[[#This Row],[Symbol]]),8)</f>
        <v>17.711181230000001</v>
      </c>
      <c r="F5" s="185">
        <f>_xlfn.XLOOKUP(tbCryptoBalances[[#This Row],[Symbol]],qryMyQuotes[Symbol],qryMyQuotes[Price])</f>
        <v>5269.9160000000002</v>
      </c>
      <c r="G5" s="88">
        <f>tbCryptoBalances[[#This Row],[Qty]]*tbCryptoBalances[[#This Row],[Curr. Price]]</f>
        <v>93336.437342876685</v>
      </c>
      <c r="H5" s="185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3548.101563847822</v>
      </c>
      <c r="I5" s="36">
        <f>tbCryptoBalances[[#This Row],[Average Cost]]*tbCryptoBalances[[#This Row],[Qty]]</f>
        <v>62841.069819755197</v>
      </c>
      <c r="J5" s="36">
        <f>tbCryptoBalances[[#This Row],[Current Value]]-tbCryptoBalances[[#This Row],[Approx Book Value]]</f>
        <v>30495.367523121487</v>
      </c>
      <c r="K5" s="37">
        <f>IF(tbCryptoBalances[[#This Row],[Approx Book Value]]&gt;0,tbCryptoBalances[[#This Row],[G/L $]]/tbCryptoBalances[[#This Row],[Approx Book Value]],1)</f>
        <v>0.48527766332734729</v>
      </c>
    </row>
    <row r="6" spans="2:11" ht="30" hidden="1" customHeight="1" x14ac:dyDescent="0.25">
      <c r="B6" s="9" t="s">
        <v>212</v>
      </c>
      <c r="C6" s="219" t="s">
        <v>54</v>
      </c>
      <c r="D6" s="76" t="s">
        <v>442</v>
      </c>
      <c r="E6" s="5">
        <f>ROUND(SUMIFS(tbTransactions[Qty],tbTransactions[Symbol],tbCryptoBalances[[#This Row],[Symbol]]),8)</f>
        <v>0</v>
      </c>
      <c r="F6" s="139">
        <v>7.78</v>
      </c>
      <c r="G6" s="88">
        <f>tbCryptoBalances[[#This Row],[Qty]]*tbCryptoBalances[[#This Row],[Curr. Price]]</f>
        <v>0</v>
      </c>
      <c r="H6" s="7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0</v>
      </c>
      <c r="I6" s="36">
        <f>tbCryptoBalances[[#This Row],[Average Cost]]*tbCryptoBalances[[#This Row],[Qty]]</f>
        <v>0</v>
      </c>
      <c r="J6" s="36">
        <f>tbCryptoBalances[[#This Row],[Current Value]]-tbCryptoBalances[[#This Row],[Approx Book Value]]</f>
        <v>0</v>
      </c>
      <c r="K6" s="37">
        <f>IF(tbCryptoBalances[[#This Row],[Approx Book Value]]&gt;0,tbCryptoBalances[[#This Row],[G/L $]]/tbCryptoBalances[[#This Row],[Approx Book Value]],1)</f>
        <v>1</v>
      </c>
    </row>
    <row r="7" spans="2:11" ht="30" customHeight="1" x14ac:dyDescent="0.25">
      <c r="B7" s="9" t="s">
        <v>646</v>
      </c>
      <c r="C7" s="314" t="s">
        <v>646</v>
      </c>
      <c r="D7" s="575" t="s">
        <v>775</v>
      </c>
      <c r="E7" s="5">
        <f>ROUND(SUMIFS(tbTransactions[Qty],tbTransactions[Symbol],tbCryptoBalances[[#This Row],[Symbol]]),8)</f>
        <v>10573.046226</v>
      </c>
      <c r="F7" s="185">
        <f>_xlfn.XLOOKUP(tbCryptoBalances[[#This Row],[Symbol]],qryMyQuotes[Symbol],qryMyQuotes[Price])</f>
        <v>1.2348497000000001</v>
      </c>
      <c r="G7" s="88">
        <f>tbCryptoBalances[[#This Row],[Qty]]*tbCryptoBalances[[#This Row],[Curr. Price]]</f>
        <v>13056.122960262233</v>
      </c>
      <c r="H7" s="6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1.2489125092390969</v>
      </c>
      <c r="I7" s="88">
        <f>tbCryptoBalances[[#This Row],[Average Cost]]*tbCryptoBalances[[#This Row],[Qty]]</f>
        <v>13204.809692414625</v>
      </c>
      <c r="J7" s="36">
        <f>tbCryptoBalances[[#This Row],[Current Value]]-tbCryptoBalances[[#This Row],[Approx Book Value]]</f>
        <v>-148.68673215239141</v>
      </c>
      <c r="K7" s="37">
        <f>IF(tbCryptoBalances[[#This Row],[Approx Book Value]]&gt;0,tbCryptoBalances[[#This Row],[G/L $]]/tbCryptoBalances[[#This Row],[Approx Book Value]],1)</f>
        <v>-1.1260043545936377E-2</v>
      </c>
    </row>
    <row r="8" spans="2:11" ht="30" customHeight="1" x14ac:dyDescent="0.25">
      <c r="B8" s="572" t="s">
        <v>773</v>
      </c>
      <c r="C8" s="591" t="s">
        <v>779</v>
      </c>
      <c r="D8" s="575" t="s">
        <v>442</v>
      </c>
      <c r="E8" s="5">
        <f>ROUND(SUMIFS(tbTransactions[Qty],tbTransactions[Symbol],tbCryptoBalances[[#This Row],[Symbol]]),8)</f>
        <v>4981</v>
      </c>
      <c r="F8" s="185">
        <f>_xlfn.XLOOKUP(tbCryptoBalances[[#This Row],[Symbol]],qryMyQuotes[Symbol],qryMyQuotes[Price])</f>
        <v>11.47</v>
      </c>
      <c r="G8" s="88">
        <f>tbCryptoBalances[[#This Row],[Qty]]*tbCryptoBalances[[#This Row],[Curr. Price]]</f>
        <v>57132.07</v>
      </c>
      <c r="H8" s="6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11.100947600883357</v>
      </c>
      <c r="I8" s="88">
        <f>tbCryptoBalances[[#This Row],[Average Cost]]*tbCryptoBalances[[#This Row],[Qty]]</f>
        <v>55293.82</v>
      </c>
      <c r="J8" s="36">
        <f>tbCryptoBalances[[#This Row],[Current Value]]-tbCryptoBalances[[#This Row],[Approx Book Value]]</f>
        <v>1838.25</v>
      </c>
      <c r="K8" s="37">
        <f>IF(tbCryptoBalances[[#This Row],[Approx Book Value]]&gt;0,tbCryptoBalances[[#This Row],[G/L $]]/tbCryptoBalances[[#This Row],[Approx Book Value]],1)</f>
        <v>3.3245125766315296E-2</v>
      </c>
    </row>
    <row r="9" spans="2:11" ht="30" customHeight="1" x14ac:dyDescent="0.25">
      <c r="B9" s="9" t="s">
        <v>508</v>
      </c>
      <c r="C9" s="56" t="s">
        <v>19</v>
      </c>
      <c r="D9" s="575" t="s">
        <v>775</v>
      </c>
      <c r="E9" s="5">
        <f>ROUND(SUMIFS(tbTransactions[Qty],tbTransactions[Symbol],tbCryptoBalances[[#This Row],[Symbol]]),8)</f>
        <v>1959.8527600100001</v>
      </c>
      <c r="F9" s="185">
        <f>_xlfn.XLOOKUP(tbCryptoBalances[[#This Row],[Symbol]],qryMyQuotes[Symbol],qryMyQuotes[Price])</f>
        <v>2.4647790000000001</v>
      </c>
      <c r="G9" s="88">
        <f>tbCryptoBalances[[#This Row],[Qty]]*tbCryptoBalances[[#This Row],[Curr. Price]]</f>
        <v>4830.6039259646877</v>
      </c>
      <c r="H9" s="7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2.303305310745948</v>
      </c>
      <c r="I9" s="36">
        <f>tbCryptoBalances[[#This Row],[Average Cost]]*tbCryptoBalances[[#This Row],[Qty]]</f>
        <v>4514.1392704111367</v>
      </c>
      <c r="J9" s="36">
        <f>tbCryptoBalances[[#This Row],[Current Value]]-tbCryptoBalances[[#This Row],[Approx Book Value]]</f>
        <v>316.46465555355098</v>
      </c>
      <c r="K9" s="37">
        <f>IF(tbCryptoBalances[[#This Row],[Approx Book Value]]&gt;0,tbCryptoBalances[[#This Row],[G/L $]]/tbCryptoBalances[[#This Row],[Approx Book Value]],1)</f>
        <v>7.0105204247437436E-2</v>
      </c>
    </row>
    <row r="10" spans="2:11" ht="30" customHeight="1" x14ac:dyDescent="0.25">
      <c r="B10" s="509" t="s">
        <v>750</v>
      </c>
      <c r="C10" s="529" t="s">
        <v>732</v>
      </c>
      <c r="D10" s="529" t="s">
        <v>442</v>
      </c>
      <c r="E10" s="5">
        <f>ROUND(SUMIFS(tbTransactions[Qty],tbTransactions[Symbol],tbCryptoBalances[[#This Row],[Symbol]]),8)</f>
        <v>730</v>
      </c>
      <c r="F10" s="185">
        <f>_xlfn.XLOOKUP(tbCryptoBalances[[#This Row],[Symbol]],qryMyQuotes[Symbol],qryMyQuotes[Price])</f>
        <v>39.57</v>
      </c>
      <c r="G10" s="88">
        <f>tbCryptoBalances[[#This Row],[Qty]]*tbCryptoBalances[[#This Row],[Curr. Price]]</f>
        <v>28886.1</v>
      </c>
      <c r="H10" s="7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40.319413221406087</v>
      </c>
      <c r="I10" s="36">
        <f>tbCryptoBalances[[#This Row],[Average Cost]]*tbCryptoBalances[[#This Row],[Qty]]</f>
        <v>29433.171651626442</v>
      </c>
      <c r="J10" s="36">
        <f>tbCryptoBalances[[#This Row],[Current Value]]-tbCryptoBalances[[#This Row],[Approx Book Value]]</f>
        <v>-547.07165162644378</v>
      </c>
      <c r="K10" s="37">
        <f>IF(tbCryptoBalances[[#This Row],[Approx Book Value]]&gt;0,tbCryptoBalances[[#This Row],[G/L $]]/tbCryptoBalances[[#This Row],[Approx Book Value]],1)</f>
        <v>-1.8586907931691189E-2</v>
      </c>
    </row>
    <row r="11" spans="2:11" ht="30" customHeight="1" x14ac:dyDescent="0.25">
      <c r="B11" s="9" t="s">
        <v>511</v>
      </c>
      <c r="C11" s="56" t="s">
        <v>22</v>
      </c>
      <c r="D11" s="575" t="s">
        <v>775</v>
      </c>
      <c r="E11" s="5">
        <f>ROUND(SUMIFS(tbTransactions[Qty],tbTransactions[Symbol],tbCryptoBalances[[#This Row],[Symbol]]),8)</f>
        <v>90.497488099999998</v>
      </c>
      <c r="F11" s="142">
        <v>51.95</v>
      </c>
      <c r="G11" s="88">
        <f>tbCryptoBalances[[#This Row],[Qty]]*tbCryptoBalances[[#This Row],[Curr. Price]]</f>
        <v>4701.3445067950006</v>
      </c>
      <c r="H11" s="185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21.857070748664718</v>
      </c>
      <c r="I11" s="36">
        <f>tbCryptoBalances[[#This Row],[Average Cost]]*tbCryptoBalances[[#This Row],[Qty]]</f>
        <v>1978.0099999781435</v>
      </c>
      <c r="J11" s="36">
        <f>tbCryptoBalances[[#This Row],[Current Value]]-tbCryptoBalances[[#This Row],[Approx Book Value]]</f>
        <v>2723.3345068168574</v>
      </c>
      <c r="K11" s="37">
        <f>IF(tbCryptoBalances[[#This Row],[Approx Book Value]]&gt;0,tbCryptoBalances[[#This Row],[G/L $]]/tbCryptoBalances[[#This Row],[Approx Book Value]],1)</f>
        <v>1.3768052268931652</v>
      </c>
    </row>
    <row r="12" spans="2:11" ht="30" customHeight="1" x14ac:dyDescent="0.25">
      <c r="B12" s="9" t="s">
        <v>510</v>
      </c>
      <c r="C12" s="56" t="s">
        <v>20</v>
      </c>
      <c r="D12" s="575" t="s">
        <v>775</v>
      </c>
      <c r="E12" s="5">
        <f>ROUND(SUMIFS(tbTransactions[Qty],tbTransactions[Symbol],tbCryptoBalances[[#This Row],[Symbol]]),8)</f>
        <v>69.275627</v>
      </c>
      <c r="F12" s="141">
        <v>47.1</v>
      </c>
      <c r="G12" s="88">
        <f>tbCryptoBalances[[#This Row],[Qty]]*tbCryptoBalances[[#This Row],[Curr. Price]]</f>
        <v>3262.8820317</v>
      </c>
      <c r="H12" s="7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22.908682459716108</v>
      </c>
      <c r="I12" s="36">
        <f>tbCryptoBalances[[#This Row],[Average Cost]]*tbCryptoBalances[[#This Row],[Qty]]</f>
        <v>1587.0133411407355</v>
      </c>
      <c r="J12" s="36">
        <f>tbCryptoBalances[[#This Row],[Current Value]]-tbCryptoBalances[[#This Row],[Approx Book Value]]</f>
        <v>1675.8686905592645</v>
      </c>
      <c r="K12" s="37">
        <f>IF(tbCryptoBalances[[#This Row],[Approx Book Value]]&gt;0,tbCryptoBalances[[#This Row],[G/L $]]/tbCryptoBalances[[#This Row],[Approx Book Value]],1)</f>
        <v>1.0559890374674861</v>
      </c>
    </row>
    <row r="13" spans="2:11" ht="30" customHeight="1" x14ac:dyDescent="0.25">
      <c r="B13" s="9" t="s">
        <v>456</v>
      </c>
      <c r="C13" s="104" t="s">
        <v>455</v>
      </c>
      <c r="D13" s="575" t="s">
        <v>775</v>
      </c>
      <c r="E13" s="5">
        <f>ROUND(SUMIFS(tbTransactions[Qty],tbTransactions[Symbol],tbCryptoBalances[[#This Row],[Symbol]]),8)</f>
        <v>18160.780311049999</v>
      </c>
      <c r="F13" s="140">
        <v>5.4600000000000003E-2</v>
      </c>
      <c r="G13" s="88">
        <f>tbCryptoBalances[[#This Row],[Qty]]*tbCryptoBalances[[#This Row],[Curr. Price]]</f>
        <v>991.57860498333002</v>
      </c>
      <c r="H13" s="6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7.2399870371999533E-2</v>
      </c>
      <c r="I13" s="88">
        <f>tbCryptoBalances[[#This Row],[Average Cost]]*tbCryptoBalances[[#This Row],[Qty]]</f>
        <v>1314.8381403743813</v>
      </c>
      <c r="J13" s="36">
        <f>tbCryptoBalances[[#This Row],[Current Value]]-tbCryptoBalances[[#This Row],[Approx Book Value]]</f>
        <v>-323.25953539105126</v>
      </c>
      <c r="K13" s="37">
        <f>IF(tbCryptoBalances[[#This Row],[Approx Book Value]]&gt;0,tbCryptoBalances[[#This Row],[G/L $]]/tbCryptoBalances[[#This Row],[Approx Book Value]],1)</f>
        <v>-0.24585500333828753</v>
      </c>
    </row>
    <row r="14" spans="2:11" ht="30" hidden="1" customHeight="1" x14ac:dyDescent="0.25">
      <c r="B14" s="9" t="s">
        <v>586</v>
      </c>
      <c r="C14" s="229" t="s">
        <v>584</v>
      </c>
      <c r="D14" s="575" t="s">
        <v>775</v>
      </c>
      <c r="E14" s="5">
        <f>ROUND(SUMIFS(tbTransactions[Qty],tbTransactions[Symbol],tbCryptoBalances[[#This Row],[Symbol]]),8)</f>
        <v>0</v>
      </c>
      <c r="F14" s="139">
        <v>0.91</v>
      </c>
      <c r="G14" s="88">
        <f>tbCryptoBalances[[#This Row],[Qty]]*tbCryptoBalances[[#This Row],[Curr. Price]]</f>
        <v>0</v>
      </c>
      <c r="H14" s="185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0</v>
      </c>
      <c r="I14" s="36">
        <f>tbCryptoBalances[[#This Row],[Average Cost]]*tbCryptoBalances[[#This Row],[Qty]]</f>
        <v>0</v>
      </c>
      <c r="J14" s="36">
        <f>tbCryptoBalances[[#This Row],[Current Value]]-tbCryptoBalances[[#This Row],[Approx Book Value]]</f>
        <v>0</v>
      </c>
      <c r="K14" s="37">
        <f>IF(tbCryptoBalances[[#This Row],[Approx Book Value]]&gt;0,tbCryptoBalances[[#This Row],[G/L $]]/tbCryptoBalances[[#This Row],[Approx Book Value]],1)</f>
        <v>1</v>
      </c>
    </row>
    <row r="15" spans="2:11" ht="30" customHeight="1" x14ac:dyDescent="0.25">
      <c r="B15" s="9" t="s">
        <v>515</v>
      </c>
      <c r="C15" s="56" t="s">
        <v>437</v>
      </c>
      <c r="D15" s="575" t="s">
        <v>775</v>
      </c>
      <c r="E15" s="5">
        <f>ROUND(SUMIFS(tbTransactions[Qty],tbTransactions[Symbol],tbCryptoBalances[[#This Row],[Symbol]]),8)</f>
        <v>183.64796236999999</v>
      </c>
      <c r="F15" s="185">
        <f>_xlfn.XLOOKUP(tbCryptoBalances[[#This Row],[Symbol]],qryMyQuotes[Symbol],qryMyQuotes[Price])</f>
        <v>2.5630765000000002</v>
      </c>
      <c r="G15" s="88">
        <f>tbCryptoBalances[[#This Row],[Qty]]*tbCryptoBalances[[#This Row],[Curr. Price]]</f>
        <v>470.70377662343134</v>
      </c>
      <c r="H15" s="185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2.1183845034140418</v>
      </c>
      <c r="I15" s="36">
        <f>tbCryptoBalances[[#This Row],[Average Cost]]*tbCryptoBalances[[#This Row],[Qty]]</f>
        <v>389.03699756817309</v>
      </c>
      <c r="J15" s="36">
        <f>tbCryptoBalances[[#This Row],[Current Value]]-tbCryptoBalances[[#This Row],[Approx Book Value]]</f>
        <v>81.666779055258246</v>
      </c>
      <c r="K15" s="37">
        <f>IF(tbCryptoBalances[[#This Row],[Approx Book Value]]&gt;0,tbCryptoBalances[[#This Row],[G/L $]]/tbCryptoBalances[[#This Row],[Approx Book Value]],1)</f>
        <v>0.20992034065075604</v>
      </c>
    </row>
    <row r="16" spans="2:11" ht="30" hidden="1" customHeight="1" x14ac:dyDescent="0.25">
      <c r="B16" s="9" t="s">
        <v>603</v>
      </c>
      <c r="C16" s="269" t="s">
        <v>8</v>
      </c>
      <c r="D16" s="575" t="s">
        <v>775</v>
      </c>
      <c r="E16" s="5">
        <f>ROUND(SUMIFS(tbTransactions[Qty],tbTransactions[Symbol],tbCryptoBalances[[#This Row],[Symbol]]),8)</f>
        <v>0</v>
      </c>
      <c r="F16" s="139">
        <v>2.46</v>
      </c>
      <c r="G16" s="88">
        <f>tbCryptoBalances[[#This Row],[Qty]]*tbCryptoBalances[[#This Row],[Curr. Price]]</f>
        <v>0</v>
      </c>
      <c r="H16" s="185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0</v>
      </c>
      <c r="I16" s="36">
        <f>tbCryptoBalances[[#This Row],[Average Cost]]*tbCryptoBalances[[#This Row],[Qty]]</f>
        <v>0</v>
      </c>
      <c r="J16" s="36">
        <f>tbCryptoBalances[[#This Row],[Current Value]]-tbCryptoBalances[[#This Row],[Approx Book Value]]</f>
        <v>0</v>
      </c>
      <c r="K16" s="37">
        <f>IF(tbCryptoBalances[[#This Row],[Approx Book Value]]&gt;0,tbCryptoBalances[[#This Row],[G/L $]]/tbCryptoBalances[[#This Row],[Approx Book Value]],1)</f>
        <v>1</v>
      </c>
    </row>
    <row r="17" spans="2:11" ht="30" hidden="1" customHeight="1" x14ac:dyDescent="0.25">
      <c r="B17" s="9" t="s">
        <v>507</v>
      </c>
      <c r="C17" s="150" t="s">
        <v>502</v>
      </c>
      <c r="D17" s="575" t="s">
        <v>775</v>
      </c>
      <c r="E17" s="5">
        <f>ROUND(SUMIFS(tbTransactions[Qty],tbTransactions[Symbol],tbCryptoBalances[[#This Row],[Symbol]]),8)</f>
        <v>2.7950848100000001</v>
      </c>
      <c r="F17" s="139">
        <v>10.53</v>
      </c>
      <c r="G17" s="88">
        <f>tbCryptoBalances[[#This Row],[Qty]]*tbCryptoBalances[[#This Row],[Curr. Price]]</f>
        <v>29.432243049299998</v>
      </c>
      <c r="H17" s="7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0</v>
      </c>
      <c r="I17" s="36">
        <f>tbCryptoBalances[[#This Row],[Average Cost]]*tbCryptoBalances[[#This Row],[Qty]]</f>
        <v>0</v>
      </c>
      <c r="J17" s="36">
        <f>tbCryptoBalances[[#This Row],[Current Value]]-tbCryptoBalances[[#This Row],[Approx Book Value]]</f>
        <v>29.432243049299998</v>
      </c>
      <c r="K17" s="37">
        <f>IF(tbCryptoBalances[[#This Row],[Approx Book Value]]&gt;0,tbCryptoBalances[[#This Row],[G/L $]]/tbCryptoBalances[[#This Row],[Approx Book Value]],1)</f>
        <v>1</v>
      </c>
    </row>
    <row r="18" spans="2:11" ht="30" hidden="1" customHeight="1" x14ac:dyDescent="0.25">
      <c r="B18" s="9" t="s">
        <v>509</v>
      </c>
      <c r="C18" s="150" t="s">
        <v>438</v>
      </c>
      <c r="D18" s="575" t="s">
        <v>775</v>
      </c>
      <c r="E18" s="5">
        <f>ROUND(SUMIFS(tbTransactions[Qty],tbTransactions[Symbol],tbCryptoBalances[[#This Row],[Symbol]]),8)</f>
        <v>2.1600000000000001E-2</v>
      </c>
      <c r="F18" s="139">
        <v>561.29</v>
      </c>
      <c r="G18" s="88">
        <f>tbCryptoBalances[[#This Row],[Qty]]*tbCryptoBalances[[#This Row],[Curr. Price]]</f>
        <v>12.123863999999999</v>
      </c>
      <c r="H18" s="7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0</v>
      </c>
      <c r="I18" s="36">
        <f>tbCryptoBalances[[#This Row],[Average Cost]]*tbCryptoBalances[[#This Row],[Qty]]</f>
        <v>0</v>
      </c>
      <c r="J18" s="36">
        <f>tbCryptoBalances[[#This Row],[Current Value]]-tbCryptoBalances[[#This Row],[Approx Book Value]]</f>
        <v>12.123863999999999</v>
      </c>
      <c r="K18" s="37">
        <f>IF(tbCryptoBalances[[#This Row],[Approx Book Value]]&gt;0,tbCryptoBalances[[#This Row],[G/L $]]/tbCryptoBalances[[#This Row],[Approx Book Value]],1)</f>
        <v>1</v>
      </c>
    </row>
    <row r="19" spans="2:11" ht="30" hidden="1" customHeight="1" x14ac:dyDescent="0.25">
      <c r="B19" s="9" t="s">
        <v>512</v>
      </c>
      <c r="C19" s="56" t="s">
        <v>27</v>
      </c>
      <c r="D19" s="575" t="s">
        <v>775</v>
      </c>
      <c r="E19" s="5">
        <f>ROUND(SUMIFS(tbTransactions[Qty],tbTransactions[Symbol],tbCryptoBalances[[#This Row],[Symbol]]),8)</f>
        <v>22.7827372</v>
      </c>
      <c r="F19" s="139">
        <v>0.41699999999999998</v>
      </c>
      <c r="G19" s="88">
        <f>tbCryptoBalances[[#This Row],[Qty]]*tbCryptoBalances[[#This Row],[Curr. Price]]</f>
        <v>9.5004014123999987</v>
      </c>
      <c r="H19" s="7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0.77740981859467062</v>
      </c>
      <c r="I19" s="36">
        <f>tbCryptoBalances[[#This Row],[Average Cost]]*tbCryptoBalances[[#This Row],[Qty]]</f>
        <v>17.711523593742054</v>
      </c>
      <c r="J19" s="36">
        <f>tbCryptoBalances[[#This Row],[Current Value]]-tbCryptoBalances[[#This Row],[Approx Book Value]]</f>
        <v>-8.2111221813420556</v>
      </c>
      <c r="K19" s="37">
        <f>IF(tbCryptoBalances[[#This Row],[Approx Book Value]]&gt;0,tbCryptoBalances[[#This Row],[G/L $]]/tbCryptoBalances[[#This Row],[Approx Book Value]],1)</f>
        <v>-0.46360337877669994</v>
      </c>
    </row>
    <row r="20" spans="2:11" ht="30" hidden="1" customHeight="1" x14ac:dyDescent="0.25">
      <c r="B20" s="9" t="s">
        <v>506</v>
      </c>
      <c r="C20" s="150" t="s">
        <v>439</v>
      </c>
      <c r="D20" s="575" t="s">
        <v>775</v>
      </c>
      <c r="E20" s="5">
        <f>ROUND(SUMIFS(tbTransactions[Qty],tbTransactions[Symbol],tbCryptoBalances[[#This Row],[Symbol]]),8)</f>
        <v>5.27462593</v>
      </c>
      <c r="F20" s="139">
        <v>1.08</v>
      </c>
      <c r="G20" s="88">
        <f>tbCryptoBalances[[#This Row],[Qty]]*tbCryptoBalances[[#This Row],[Curr. Price]]</f>
        <v>5.6965960044000008</v>
      </c>
      <c r="H20" s="7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0</v>
      </c>
      <c r="I20" s="36">
        <f>tbCryptoBalances[[#This Row],[Average Cost]]*tbCryptoBalances[[#This Row],[Qty]]</f>
        <v>0</v>
      </c>
      <c r="J20" s="36">
        <f>tbCryptoBalances[[#This Row],[Current Value]]-tbCryptoBalances[[#This Row],[Approx Book Value]]</f>
        <v>5.6965960044000008</v>
      </c>
      <c r="K20" s="37">
        <f>IF(tbCryptoBalances[[#This Row],[Approx Book Value]]&gt;0,tbCryptoBalances[[#This Row],[G/L $]]/tbCryptoBalances[[#This Row],[Approx Book Value]],1)</f>
        <v>1</v>
      </c>
    </row>
    <row r="21" spans="2:11" ht="30" hidden="1" customHeight="1" x14ac:dyDescent="0.25">
      <c r="B21" s="9" t="s">
        <v>504</v>
      </c>
      <c r="C21" s="150" t="s">
        <v>503</v>
      </c>
      <c r="D21" s="575" t="s">
        <v>775</v>
      </c>
      <c r="E21" s="5">
        <f>ROUND(SUMIFS(tbTransactions[Qty],tbTransactions[Symbol],tbCryptoBalances[[#This Row],[Symbol]]),8)</f>
        <v>9.5057039999999995E-2</v>
      </c>
      <c r="F21" s="139">
        <v>39.22</v>
      </c>
      <c r="G21" s="88">
        <f>tbCryptoBalances[[#This Row],[Qty]]*tbCryptoBalances[[#This Row],[Curr. Price]]</f>
        <v>3.7281371087999999</v>
      </c>
      <c r="H21" s="7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0</v>
      </c>
      <c r="I21" s="36">
        <f>tbCryptoBalances[[#This Row],[Average Cost]]*tbCryptoBalances[[#This Row],[Qty]]</f>
        <v>0</v>
      </c>
      <c r="J21" s="36">
        <f>tbCryptoBalances[[#This Row],[Current Value]]-tbCryptoBalances[[#This Row],[Approx Book Value]]</f>
        <v>3.7281371087999999</v>
      </c>
      <c r="K21" s="37">
        <f>IF(tbCryptoBalances[[#This Row],[Approx Book Value]]&gt;0,tbCryptoBalances[[#This Row],[G/L $]]/tbCryptoBalances[[#This Row],[Approx Book Value]],1)</f>
        <v>1</v>
      </c>
    </row>
    <row r="22" spans="2:11" ht="30" hidden="1" customHeight="1" x14ac:dyDescent="0.25">
      <c r="B22" s="9" t="s">
        <v>505</v>
      </c>
      <c r="C22" s="150" t="s">
        <v>440</v>
      </c>
      <c r="D22" s="575" t="s">
        <v>775</v>
      </c>
      <c r="E22" s="5">
        <f>ROUND(SUMIFS(tbTransactions[Qty],tbTransactions[Symbol],tbCryptoBalances[[#This Row],[Symbol]]),8)</f>
        <v>0.1275</v>
      </c>
      <c r="F22" s="139">
        <v>23.46</v>
      </c>
      <c r="G22" s="88">
        <f>tbCryptoBalances[[#This Row],[Qty]]*tbCryptoBalances[[#This Row],[Curr. Price]]</f>
        <v>2.9911500000000002</v>
      </c>
      <c r="H22" s="7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0</v>
      </c>
      <c r="I22" s="36">
        <f>tbCryptoBalances[[#This Row],[Average Cost]]*tbCryptoBalances[[#This Row],[Qty]]</f>
        <v>0</v>
      </c>
      <c r="J22" s="36">
        <f>tbCryptoBalances[[#This Row],[Current Value]]-tbCryptoBalances[[#This Row],[Approx Book Value]]</f>
        <v>2.9911500000000002</v>
      </c>
      <c r="K22" s="37">
        <f>IF(tbCryptoBalances[[#This Row],[Approx Book Value]]&gt;0,tbCryptoBalances[[#This Row],[G/L $]]/tbCryptoBalances[[#This Row],[Approx Book Value]],1)</f>
        <v>1</v>
      </c>
    </row>
    <row r="23" spans="2:11" ht="30" hidden="1" customHeight="1" x14ac:dyDescent="0.25">
      <c r="B23" s="9" t="s">
        <v>606</v>
      </c>
      <c r="C23" s="274" t="s">
        <v>605</v>
      </c>
      <c r="D23" s="575" t="s">
        <v>775</v>
      </c>
      <c r="E23" s="5">
        <f>ROUND(SUMIFS(tbTransactions[Qty],tbTransactions[Symbol],tbCryptoBalances[[#This Row],[Symbol]]),8)</f>
        <v>0</v>
      </c>
      <c r="F23" s="327">
        <v>3.6291999999999998E-2</v>
      </c>
      <c r="G23" s="88">
        <f>tbCryptoBalances[[#This Row],[Qty]]*tbCryptoBalances[[#This Row],[Curr. Price]]</f>
        <v>0</v>
      </c>
      <c r="H23" s="185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0</v>
      </c>
      <c r="I23" s="36">
        <f>tbCryptoBalances[[#This Row],[Average Cost]]*tbCryptoBalances[[#This Row],[Qty]]</f>
        <v>0</v>
      </c>
      <c r="J23" s="36">
        <f>tbCryptoBalances[[#This Row],[Current Value]]-tbCryptoBalances[[#This Row],[Approx Book Value]]</f>
        <v>0</v>
      </c>
      <c r="K23" s="37">
        <f>IF(tbCryptoBalances[[#This Row],[Approx Book Value]]&gt;0,tbCryptoBalances[[#This Row],[G/L $]]/tbCryptoBalances[[#This Row],[Approx Book Value]],1)</f>
        <v>1</v>
      </c>
    </row>
    <row r="24" spans="2:11" ht="30" hidden="1" customHeight="1" x14ac:dyDescent="0.25">
      <c r="B24" s="9" t="s">
        <v>524</v>
      </c>
      <c r="C24" s="157" t="s">
        <v>523</v>
      </c>
      <c r="D24" s="575" t="s">
        <v>775</v>
      </c>
      <c r="E24" s="5">
        <f>ROUND(SUMIFS(tbTransactions[Qty],tbTransactions[Symbol],tbCryptoBalances[[#This Row],[Symbol]]),8)</f>
        <v>0</v>
      </c>
      <c r="F24" s="142">
        <v>1.28</v>
      </c>
      <c r="G24" s="88">
        <f>tbCryptoBalances[[#This Row],[Qty]]*tbCryptoBalances[[#This Row],[Curr. Price]]</f>
        <v>0</v>
      </c>
      <c r="H24" s="7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0</v>
      </c>
      <c r="I24" s="36">
        <f>tbCryptoBalances[[#This Row],[Average Cost]]*tbCryptoBalances[[#This Row],[Qty]]</f>
        <v>0</v>
      </c>
      <c r="J24" s="36">
        <f>tbCryptoBalances[[#This Row],[Current Value]]-tbCryptoBalances[[#This Row],[Approx Book Value]]</f>
        <v>0</v>
      </c>
      <c r="K24" s="37">
        <f>IF(tbCryptoBalances[[#This Row],[Approx Book Value]]&gt;0,tbCryptoBalances[[#This Row],[G/L $]]/tbCryptoBalances[[#This Row],[Approx Book Value]],1)</f>
        <v>1</v>
      </c>
    </row>
    <row r="25" spans="2:11" ht="30" hidden="1" customHeight="1" x14ac:dyDescent="0.25">
      <c r="B25" s="9" t="s">
        <v>514</v>
      </c>
      <c r="C25" s="56" t="s">
        <v>26</v>
      </c>
      <c r="D25" s="575" t="s">
        <v>775</v>
      </c>
      <c r="E25" s="5">
        <f>ROUND(SUMIFS(tbTransactions[Qty],tbTransactions[Symbol],tbCryptoBalances[[#This Row],[Symbol]]),8)</f>
        <v>0</v>
      </c>
      <c r="F25" s="139">
        <v>28.26</v>
      </c>
      <c r="G25" s="88">
        <f>tbCryptoBalances[[#This Row],[Qty]]*tbCryptoBalances[[#This Row],[Curr. Price]]</f>
        <v>0</v>
      </c>
      <c r="H25" s="7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0</v>
      </c>
      <c r="I25" s="36">
        <f>tbCryptoBalances[[#This Row],[Average Cost]]*tbCryptoBalances[[#This Row],[Qty]]</f>
        <v>0</v>
      </c>
      <c r="J25" s="36">
        <f>tbCryptoBalances[[#This Row],[Current Value]]-tbCryptoBalances[[#This Row],[Approx Book Value]]</f>
        <v>0</v>
      </c>
      <c r="K25" s="37">
        <f>IF(tbCryptoBalances[[#This Row],[Approx Book Value]]&gt;0,tbCryptoBalances[[#This Row],[G/L $]]/tbCryptoBalances[[#This Row],[Approx Book Value]],1)</f>
        <v>1</v>
      </c>
    </row>
    <row r="26" spans="2:11" ht="30" hidden="1" customHeight="1" x14ac:dyDescent="0.25">
      <c r="B26" s="9" t="s">
        <v>492</v>
      </c>
      <c r="C26" s="135" t="s">
        <v>491</v>
      </c>
      <c r="D26" s="575" t="s">
        <v>775</v>
      </c>
      <c r="E26" s="5">
        <f>ROUND(SUMIFS(tbTransactions[Qty],tbTransactions[Symbol],tbCryptoBalances[[#This Row],[Symbol]]),8)</f>
        <v>0</v>
      </c>
      <c r="F26" s="139">
        <v>22.8</v>
      </c>
      <c r="G26" s="88">
        <f>tbCryptoBalances[[#This Row],[Qty]]*tbCryptoBalances[[#This Row],[Curr. Price]]</f>
        <v>0</v>
      </c>
      <c r="H26" s="7">
        <f>IF(tbCryptoBalances[[#This Row],[Qty]]&gt;0,SUMIFS(tbTransactions[Total],tbTransactions[Symbol],tbCryptoBalances[[#This Row],[Symbol]],tbTransactions[Type],"Credit")/SUMIFS(tbTransactions[Qty],tbTransactions[Symbol],tbCryptoBalances[[#This Row],[Symbol]],tbTransactions[Type],"Credit"),0)</f>
        <v>0</v>
      </c>
      <c r="I26" s="36">
        <f>tbCryptoBalances[[#This Row],[Average Cost]]*tbCryptoBalances[[#This Row],[Qty]]</f>
        <v>0</v>
      </c>
      <c r="J26" s="36">
        <f>tbCryptoBalances[[#This Row],[Current Value]]-tbCryptoBalances[[#This Row],[Approx Book Value]]</f>
        <v>0</v>
      </c>
      <c r="K26" s="37">
        <f>IF(tbCryptoBalances[[#This Row],[Approx Book Value]]&gt;0,tbCryptoBalances[[#This Row],[G/L $]]/tbCryptoBalances[[#This Row],[Approx Book Value]],1)</f>
        <v>1</v>
      </c>
    </row>
    <row r="27" spans="2:11" ht="30" customHeight="1" x14ac:dyDescent="0.25">
      <c r="B27" s="587" t="s">
        <v>2</v>
      </c>
      <c r="C27" s="587"/>
      <c r="D27" s="587"/>
      <c r="E27" s="588"/>
      <c r="F27" s="588"/>
      <c r="G27" s="589">
        <f>SUBTOTAL(109,tbCryptoBalances[Current Value])</f>
        <v>316377.84314920532</v>
      </c>
      <c r="H27" s="587"/>
      <c r="I27" s="589">
        <f>SUBTOTAL(109,tbCryptoBalances[Approx Book Value])</f>
        <v>270677.45026665227</v>
      </c>
      <c r="J27" s="589">
        <f>tbCryptoBalances[[#Totals],[Current Value]]-tbCryptoBalances[[#Totals],[Approx Book Value]]</f>
        <v>45700.392882553046</v>
      </c>
      <c r="K27" s="590">
        <f>tbCryptoBalances[[#Totals],[G/L $]]/tbCryptoBalances[[#Totals],[Approx Book Value]]</f>
        <v>0.16883708944920328</v>
      </c>
    </row>
    <row r="28" spans="2:11" ht="30" customHeight="1" x14ac:dyDescent="0.25">
      <c r="B28" s="2"/>
      <c r="C28" s="2"/>
      <c r="E28" s="6"/>
    </row>
    <row r="29" spans="2:11" ht="30" customHeight="1" x14ac:dyDescent="0.25">
      <c r="B29" s="89" t="s">
        <v>452</v>
      </c>
      <c r="C29" s="97">
        <f>SUMIFS(tbCryptoBalances[Current Value],tbCryptoBalances[Asset Type],"Crypto")</f>
        <v>120713.14554078027</v>
      </c>
      <c r="E29" s="6"/>
    </row>
    <row r="30" spans="2:11" ht="30" customHeight="1" x14ac:dyDescent="0.25">
      <c r="E30" s="6"/>
    </row>
    <row r="31" spans="2:11" ht="30" customHeight="1" x14ac:dyDescent="0.25">
      <c r="E31" s="6"/>
    </row>
    <row r="32" spans="2:11" ht="30" customHeight="1" x14ac:dyDescent="0.25">
      <c r="E32" s="6"/>
    </row>
    <row r="33" spans="2:11" ht="30" customHeight="1" x14ac:dyDescent="0.25">
      <c r="E33" s="6"/>
    </row>
    <row r="34" spans="2:11" ht="30" customHeight="1" x14ac:dyDescent="0.25">
      <c r="F34" s="5"/>
      <c r="G34" s="5"/>
      <c r="H34" s="5"/>
      <c r="I34" s="5"/>
      <c r="J34" s="5"/>
      <c r="K34" s="5"/>
    </row>
    <row r="35" spans="2:11" ht="30" customHeight="1" x14ac:dyDescent="0.25">
      <c r="F35" s="5"/>
      <c r="G35" s="5"/>
      <c r="H35" s="5"/>
      <c r="I35" s="5"/>
      <c r="J35" s="5"/>
      <c r="K35" s="5"/>
    </row>
    <row r="38" spans="2:11" ht="30" customHeight="1" x14ac:dyDescent="0.25">
      <c r="B38" s="19"/>
    </row>
    <row r="39" spans="2:11" ht="30" customHeight="1" x14ac:dyDescent="0.25">
      <c r="B39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030-07F5-43F2-9047-8E71CE827203}">
  <dimension ref="A1:F8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8" bestFit="1" customWidth="1"/>
    <col min="3" max="3" width="11.140625" bestFit="1" customWidth="1"/>
    <col min="4" max="4" width="10" bestFit="1" customWidth="1"/>
    <col min="5" max="5" width="16.42578125" bestFit="1" customWidth="1"/>
    <col min="6" max="6" width="12.85546875" bestFit="1" customWidth="1"/>
  </cols>
  <sheetData>
    <row r="1" spans="1:6" x14ac:dyDescent="0.25">
      <c r="A1" t="s">
        <v>51</v>
      </c>
      <c r="B1" t="s">
        <v>411</v>
      </c>
      <c r="C1" t="s">
        <v>0</v>
      </c>
      <c r="D1" t="s">
        <v>412</v>
      </c>
      <c r="E1" t="s">
        <v>413</v>
      </c>
      <c r="F1" t="s">
        <v>414</v>
      </c>
    </row>
    <row r="2" spans="1:6" x14ac:dyDescent="0.25">
      <c r="A2" s="586" t="s">
        <v>19</v>
      </c>
      <c r="B2" s="586" t="s">
        <v>417</v>
      </c>
      <c r="C2" s="586" t="s">
        <v>418</v>
      </c>
      <c r="D2">
        <v>2.4647790000000001</v>
      </c>
      <c r="E2">
        <v>2.3871593</v>
      </c>
      <c r="F2">
        <v>3.2515509124171144E-2</v>
      </c>
    </row>
    <row r="3" spans="1:6" x14ac:dyDescent="0.25">
      <c r="A3" s="586" t="s">
        <v>732</v>
      </c>
      <c r="B3" s="586" t="s">
        <v>419</v>
      </c>
      <c r="C3" s="586" t="s">
        <v>415</v>
      </c>
      <c r="D3">
        <v>39.57</v>
      </c>
      <c r="E3">
        <v>38.06</v>
      </c>
      <c r="F3">
        <v>3.9674198633736203E-2</v>
      </c>
    </row>
    <row r="4" spans="1:6" x14ac:dyDescent="0.25">
      <c r="A4" s="586" t="s">
        <v>779</v>
      </c>
      <c r="B4" s="586" t="s">
        <v>419</v>
      </c>
      <c r="C4" s="586" t="s">
        <v>418</v>
      </c>
      <c r="D4">
        <v>11.47</v>
      </c>
      <c r="E4">
        <v>11.05</v>
      </c>
      <c r="F4">
        <v>3.8009049773755653E-2</v>
      </c>
    </row>
    <row r="5" spans="1:6" x14ac:dyDescent="0.25">
      <c r="A5" s="586" t="s">
        <v>24</v>
      </c>
      <c r="B5" s="586" t="s">
        <v>417</v>
      </c>
      <c r="C5" s="586" t="s">
        <v>418</v>
      </c>
      <c r="D5">
        <v>5269.9160000000002</v>
      </c>
      <c r="E5">
        <v>4868.5385999999999</v>
      </c>
      <c r="F5">
        <v>8.2443096990131706E-2</v>
      </c>
    </row>
    <row r="6" spans="1:6" x14ac:dyDescent="0.25">
      <c r="A6" s="586" t="s">
        <v>48</v>
      </c>
      <c r="B6" s="586" t="s">
        <v>416</v>
      </c>
      <c r="C6" s="586" t="s">
        <v>415</v>
      </c>
      <c r="D6">
        <v>182.85</v>
      </c>
      <c r="E6">
        <v>173.51</v>
      </c>
      <c r="F6">
        <v>5.3829750446660135E-2</v>
      </c>
    </row>
    <row r="7" spans="1:6" x14ac:dyDescent="0.25">
      <c r="A7" s="586" t="s">
        <v>437</v>
      </c>
      <c r="B7" s="586" t="s">
        <v>417</v>
      </c>
      <c r="C7" s="586" t="s">
        <v>418</v>
      </c>
      <c r="D7">
        <v>2.5630765000000002</v>
      </c>
      <c r="E7">
        <v>2.2122473999999999</v>
      </c>
      <c r="F7">
        <v>0.15858493041962665</v>
      </c>
    </row>
    <row r="8" spans="1:6" x14ac:dyDescent="0.25">
      <c r="A8" s="586" t="s">
        <v>646</v>
      </c>
      <c r="B8" s="586" t="s">
        <v>417</v>
      </c>
      <c r="C8" s="586" t="s">
        <v>418</v>
      </c>
      <c r="D8">
        <v>1.2348497000000001</v>
      </c>
      <c r="E8">
        <v>1.2373065000000001</v>
      </c>
      <c r="F8">
        <v>-1.9856034054617834E-3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E5D3-D64B-4C6C-BBD3-4C6514E54E1E}">
  <sheetPr>
    <tabColor theme="5"/>
  </sheetPr>
  <dimension ref="C1:P830"/>
  <sheetViews>
    <sheetView showGridLines="0" topLeftCell="C804" zoomScaleNormal="100" workbookViewId="0">
      <selection activeCell="E815" sqref="E815"/>
    </sheetView>
  </sheetViews>
  <sheetFormatPr defaultColWidth="9.140625" defaultRowHeight="30" customHeight="1" x14ac:dyDescent="0.25"/>
  <cols>
    <col min="1" max="2" width="1.28515625" style="1" customWidth="1"/>
    <col min="3" max="3" width="9.28515625" style="22" customWidth="1"/>
    <col min="4" max="4" width="11.28515625" style="21" customWidth="1"/>
    <col min="5" max="5" width="13.7109375" style="23" customWidth="1"/>
    <col min="6" max="6" width="10.7109375" style="23" customWidth="1"/>
    <col min="7" max="7" width="10.7109375" style="24" customWidth="1"/>
    <col min="8" max="8" width="11.42578125" style="23" customWidth="1"/>
    <col min="9" max="9" width="22.7109375" style="21" customWidth="1"/>
    <col min="10" max="10" width="7.7109375" style="21" customWidth="1"/>
    <col min="11" max="12" width="15.5703125" style="21" customWidth="1"/>
    <col min="13" max="13" width="18" style="21" customWidth="1"/>
    <col min="14" max="14" width="10.28515625" style="1" customWidth="1"/>
    <col min="15" max="15" width="9.140625" style="1"/>
    <col min="16" max="16" width="10" style="1" bestFit="1" customWidth="1"/>
    <col min="17" max="16384" width="9.140625" style="1"/>
  </cols>
  <sheetData>
    <row r="1" spans="3:13" ht="7.5" customHeight="1" x14ac:dyDescent="0.25"/>
    <row r="2" spans="3:13" ht="30" customHeight="1" x14ac:dyDescent="0.25">
      <c r="C2" s="22" t="s">
        <v>12</v>
      </c>
      <c r="D2" s="21" t="s">
        <v>3</v>
      </c>
      <c r="E2" s="24" t="s">
        <v>1</v>
      </c>
      <c r="F2" s="25" t="s">
        <v>13</v>
      </c>
      <c r="G2" s="34" t="s">
        <v>41</v>
      </c>
      <c r="H2" s="24" t="s">
        <v>2</v>
      </c>
      <c r="I2" s="69" t="s">
        <v>49</v>
      </c>
      <c r="J2" s="69" t="s">
        <v>51</v>
      </c>
      <c r="K2" s="21" t="s">
        <v>37</v>
      </c>
      <c r="L2" s="160" t="s">
        <v>525</v>
      </c>
      <c r="M2" s="21" t="s">
        <v>15</v>
      </c>
    </row>
    <row r="3" spans="3:13" ht="30" customHeight="1" x14ac:dyDescent="0.25">
      <c r="C3" s="26">
        <v>1</v>
      </c>
      <c r="D3" s="27">
        <v>44274</v>
      </c>
      <c r="E3" s="23">
        <v>51</v>
      </c>
      <c r="F3" s="23">
        <v>195.73</v>
      </c>
      <c r="G3" s="24">
        <v>1</v>
      </c>
      <c r="H3" s="28">
        <f>tbTransactions[[#This Row],[Qty]]*tbTransactions[[#This Row],[Unit Cost]]*tbTransactions[[#This Row],[Exchange Rate]]</f>
        <v>9982.23</v>
      </c>
      <c r="I3" s="552" t="s">
        <v>761</v>
      </c>
      <c r="J3" s="29" t="s">
        <v>48</v>
      </c>
      <c r="K3" s="183" t="str">
        <f>IF(tbTransactions[[#This Row],[Sub-Type]]="Transfer","Neutral",IF(tbTransactions[[#This Row],[Qty]]&lt;0,"Debit",IF(tbTransactions[[#This Row],[Qty]]&gt;0,"Credit","Neutral")))</f>
        <v>Credit</v>
      </c>
      <c r="L3" s="174" t="s">
        <v>547</v>
      </c>
      <c r="M3" s="111" t="s">
        <v>443</v>
      </c>
    </row>
    <row r="4" spans="3:13" ht="30" customHeight="1" x14ac:dyDescent="0.25">
      <c r="C4" s="26">
        <v>2</v>
      </c>
      <c r="D4" s="27">
        <v>44274</v>
      </c>
      <c r="E4" s="23">
        <v>-9982.23</v>
      </c>
      <c r="F4" s="23">
        <v>1</v>
      </c>
      <c r="G4" s="24">
        <v>1</v>
      </c>
      <c r="H4" s="28">
        <f>tbTransactions[[#This Row],[Qty]]*tbTransactions[[#This Row],[Unit Cost]]*tbTransactions[[#This Row],[Exchange Rate]]</f>
        <v>-9982.23</v>
      </c>
      <c r="I4" s="552" t="s">
        <v>761</v>
      </c>
      <c r="J4" s="29" t="s">
        <v>418</v>
      </c>
      <c r="K4" s="183" t="str">
        <f>IF(tbTransactions[[#This Row],[Sub-Type]]="Transfer","Neutral",IF(tbTransactions[[#This Row],[Qty]]&lt;0,"Debit",IF(tbTransactions[[#This Row],[Qty]]&gt;0,"Credit","Neutral")))</f>
        <v>Debit</v>
      </c>
      <c r="L4" s="174" t="s">
        <v>550</v>
      </c>
      <c r="M4" s="111" t="s">
        <v>443</v>
      </c>
    </row>
    <row r="5" spans="3:13" ht="30" customHeight="1" x14ac:dyDescent="0.25">
      <c r="C5" s="26">
        <v>3</v>
      </c>
      <c r="D5" s="27">
        <v>44277</v>
      </c>
      <c r="E5" s="23">
        <v>52</v>
      </c>
      <c r="F5" s="23">
        <v>188.71</v>
      </c>
      <c r="G5" s="24">
        <v>1</v>
      </c>
      <c r="H5" s="28">
        <f>tbTransactions[[#This Row],[Qty]]*tbTransactions[[#This Row],[Unit Cost]]*tbTransactions[[#This Row],[Exchange Rate]]</f>
        <v>9812.92</v>
      </c>
      <c r="I5" s="552" t="s">
        <v>761</v>
      </c>
      <c r="J5" s="29" t="s">
        <v>48</v>
      </c>
      <c r="K5" s="183" t="str">
        <f>IF(tbTransactions[[#This Row],[Sub-Type]]="Transfer","Neutral",IF(tbTransactions[[#This Row],[Qty]]&lt;0,"Debit",IF(tbTransactions[[#This Row],[Qty]]&gt;0,"Credit","Neutral")))</f>
        <v>Credit</v>
      </c>
      <c r="L5" s="174" t="s">
        <v>547</v>
      </c>
      <c r="M5" s="111" t="s">
        <v>443</v>
      </c>
    </row>
    <row r="6" spans="3:13" ht="30" customHeight="1" x14ac:dyDescent="0.25">
      <c r="C6" s="26">
        <v>4</v>
      </c>
      <c r="D6" s="27">
        <v>44277</v>
      </c>
      <c r="E6" s="23">
        <v>-9812.92</v>
      </c>
      <c r="F6" s="23">
        <v>1</v>
      </c>
      <c r="G6" s="24">
        <v>1</v>
      </c>
      <c r="H6" s="28">
        <f>tbTransactions[[#This Row],[Qty]]*tbTransactions[[#This Row],[Unit Cost]]*tbTransactions[[#This Row],[Exchange Rate]]</f>
        <v>-9812.92</v>
      </c>
      <c r="I6" s="552" t="s">
        <v>761</v>
      </c>
      <c r="J6" s="29" t="s">
        <v>418</v>
      </c>
      <c r="K6" s="183" t="str">
        <f>IF(tbTransactions[[#This Row],[Sub-Type]]="Transfer","Neutral",IF(tbTransactions[[#This Row],[Qty]]&lt;0,"Debit",IF(tbTransactions[[#This Row],[Qty]]&gt;0,"Credit","Neutral")))</f>
        <v>Debit</v>
      </c>
      <c r="L6" s="174" t="s">
        <v>550</v>
      </c>
      <c r="M6" s="111" t="s">
        <v>443</v>
      </c>
    </row>
    <row r="7" spans="3:13" ht="30" customHeight="1" x14ac:dyDescent="0.25">
      <c r="C7" s="26">
        <v>5</v>
      </c>
      <c r="D7" s="27">
        <v>44279</v>
      </c>
      <c r="E7" s="23">
        <v>510</v>
      </c>
      <c r="F7" s="23">
        <v>156.30000000000001</v>
      </c>
      <c r="G7" s="24">
        <v>1</v>
      </c>
      <c r="H7" s="28">
        <f>tbTransactions[[#This Row],[Qty]]*tbTransactions[[#This Row],[Unit Cost]]*tbTransactions[[#This Row],[Exchange Rate]]</f>
        <v>79713</v>
      </c>
      <c r="I7" s="552" t="s">
        <v>761</v>
      </c>
      <c r="J7" s="29" t="s">
        <v>48</v>
      </c>
      <c r="K7" s="183" t="str">
        <f>IF(tbTransactions[[#This Row],[Sub-Type]]="Transfer","Neutral",IF(tbTransactions[[#This Row],[Qty]]&lt;0,"Debit",IF(tbTransactions[[#This Row],[Qty]]&gt;0,"Credit","Neutral")))</f>
        <v>Credit</v>
      </c>
      <c r="L7" s="174" t="s">
        <v>547</v>
      </c>
      <c r="M7" s="111" t="s">
        <v>443</v>
      </c>
    </row>
    <row r="8" spans="3:13" ht="30" customHeight="1" x14ac:dyDescent="0.25">
      <c r="C8" s="26">
        <v>6</v>
      </c>
      <c r="D8" s="27">
        <v>44279</v>
      </c>
      <c r="E8" s="23">
        <v>-79713</v>
      </c>
      <c r="F8" s="23">
        <v>1</v>
      </c>
      <c r="G8" s="24">
        <v>1</v>
      </c>
      <c r="H8" s="28">
        <f>tbTransactions[[#This Row],[Qty]]*tbTransactions[[#This Row],[Unit Cost]]*tbTransactions[[#This Row],[Exchange Rate]]</f>
        <v>-79713</v>
      </c>
      <c r="I8" s="552" t="s">
        <v>761</v>
      </c>
      <c r="J8" s="29" t="s">
        <v>418</v>
      </c>
      <c r="K8" s="183" t="str">
        <f>IF(tbTransactions[[#This Row],[Sub-Type]]="Transfer","Neutral",IF(tbTransactions[[#This Row],[Qty]]&lt;0,"Debit",IF(tbTransactions[[#This Row],[Qty]]&gt;0,"Credit","Neutral")))</f>
        <v>Debit</v>
      </c>
      <c r="L8" s="174" t="s">
        <v>550</v>
      </c>
      <c r="M8" s="111" t="s">
        <v>443</v>
      </c>
    </row>
    <row r="9" spans="3:13" ht="30" customHeight="1" x14ac:dyDescent="0.25">
      <c r="C9" s="26">
        <v>7</v>
      </c>
      <c r="D9" s="27">
        <v>44295</v>
      </c>
      <c r="E9" s="23">
        <v>118</v>
      </c>
      <c r="F9" s="23">
        <v>160</v>
      </c>
      <c r="G9" s="24">
        <v>1</v>
      </c>
      <c r="H9" s="28">
        <f>tbTransactions[[#This Row],[Qty]]*tbTransactions[[#This Row],[Unit Cost]]*tbTransactions[[#This Row],[Exchange Rate]]</f>
        <v>18880</v>
      </c>
      <c r="I9" s="552" t="s">
        <v>761</v>
      </c>
      <c r="J9" s="29" t="s">
        <v>48</v>
      </c>
      <c r="K9" s="183" t="str">
        <f>IF(tbTransactions[[#This Row],[Sub-Type]]="Transfer","Neutral",IF(tbTransactions[[#This Row],[Qty]]&lt;0,"Debit",IF(tbTransactions[[#This Row],[Qty]]&gt;0,"Credit","Neutral")))</f>
        <v>Credit</v>
      </c>
      <c r="L9" s="174" t="s">
        <v>547</v>
      </c>
      <c r="M9" s="111" t="s">
        <v>443</v>
      </c>
    </row>
    <row r="10" spans="3:13" ht="30" customHeight="1" x14ac:dyDescent="0.25">
      <c r="C10" s="26">
        <v>8</v>
      </c>
      <c r="D10" s="27">
        <v>44295</v>
      </c>
      <c r="E10" s="23">
        <v>-18880</v>
      </c>
      <c r="F10" s="23">
        <v>1</v>
      </c>
      <c r="G10" s="24">
        <v>1</v>
      </c>
      <c r="H10" s="28">
        <f>tbTransactions[[#This Row],[Qty]]*tbTransactions[[#This Row],[Unit Cost]]*tbTransactions[[#This Row],[Exchange Rate]]</f>
        <v>-18880</v>
      </c>
      <c r="I10" s="552" t="s">
        <v>761</v>
      </c>
      <c r="J10" s="29" t="s">
        <v>418</v>
      </c>
      <c r="K10" s="183" t="str">
        <f>IF(tbTransactions[[#This Row],[Sub-Type]]="Transfer","Neutral",IF(tbTransactions[[#This Row],[Qty]]&lt;0,"Debit",IF(tbTransactions[[#This Row],[Qty]]&gt;0,"Credit","Neutral")))</f>
        <v>Debit</v>
      </c>
      <c r="L10" s="174" t="s">
        <v>550</v>
      </c>
      <c r="M10" s="111" t="s">
        <v>443</v>
      </c>
    </row>
    <row r="11" spans="3:13" ht="30" customHeight="1" x14ac:dyDescent="0.25">
      <c r="C11" s="26">
        <v>9</v>
      </c>
      <c r="D11" s="94">
        <v>44305</v>
      </c>
      <c r="E11" s="91">
        <v>-500</v>
      </c>
      <c r="F11" s="91">
        <v>1</v>
      </c>
      <c r="G11" s="92">
        <v>1</v>
      </c>
      <c r="H11" s="95">
        <f>tbTransactions[[#This Row],[Qty]]*tbTransactions[[#This Row],[Unit Cost]]*tbTransactions[[#This Row],[Exchange Rate]]</f>
        <v>-500</v>
      </c>
      <c r="I11" s="96" t="s">
        <v>526</v>
      </c>
      <c r="J11" s="93" t="s">
        <v>418</v>
      </c>
      <c r="K11" s="183" t="str">
        <f>IF(tbTransactions[[#This Row],[Sub-Type]]="Transfer","Neutral",IF(tbTransactions[[#This Row],[Qty]]&lt;0,"Debit",IF(tbTransactions[[#This Row],[Qty]]&gt;0,"Credit","Neutral")))</f>
        <v>Debit</v>
      </c>
      <c r="L11" s="161" t="s">
        <v>529</v>
      </c>
      <c r="M11" s="41"/>
    </row>
    <row r="12" spans="3:13" ht="30" customHeight="1" x14ac:dyDescent="0.25">
      <c r="C12" s="26">
        <v>10</v>
      </c>
      <c r="D12" s="27">
        <v>44305</v>
      </c>
      <c r="E12" s="23">
        <v>500</v>
      </c>
      <c r="F12" s="23">
        <v>1</v>
      </c>
      <c r="G12" s="24">
        <v>1</v>
      </c>
      <c r="H12" s="28">
        <f>tbTransactions[[#This Row],[Qty]]*tbTransactions[[#This Row],[Unit Cost]]*tbTransactions[[#This Row],[Exchange Rate]]</f>
        <v>500</v>
      </c>
      <c r="I12" s="90" t="s">
        <v>536</v>
      </c>
      <c r="J12" s="29" t="s">
        <v>418</v>
      </c>
      <c r="K12" s="183" t="str">
        <f>IF(tbTransactions[[#This Row],[Sub-Type]]="Transfer","Neutral",IF(tbTransactions[[#This Row],[Qty]]&lt;0,"Debit",IF(tbTransactions[[#This Row],[Qty]]&gt;0,"Credit","Neutral")))</f>
        <v>Credit</v>
      </c>
      <c r="L12" s="174" t="s">
        <v>527</v>
      </c>
      <c r="M12" s="41"/>
    </row>
    <row r="13" spans="3:13" ht="30" customHeight="1" x14ac:dyDescent="0.25">
      <c r="C13" s="26">
        <v>11</v>
      </c>
      <c r="D13" s="27">
        <v>44306</v>
      </c>
      <c r="E13" s="23">
        <v>-400</v>
      </c>
      <c r="F13" s="23">
        <v>1</v>
      </c>
      <c r="G13" s="24">
        <v>1</v>
      </c>
      <c r="H13" s="28">
        <f>tbTransactions[[#This Row],[Qty]]*tbTransactions[[#This Row],[Unit Cost]]*tbTransactions[[#This Row],[Exchange Rate]]</f>
        <v>-400</v>
      </c>
      <c r="I13" s="160" t="s">
        <v>526</v>
      </c>
      <c r="J13" s="29" t="s">
        <v>418</v>
      </c>
      <c r="K13" s="183" t="str">
        <f>IF(tbTransactions[[#This Row],[Sub-Type]]="Transfer","Neutral",IF(tbTransactions[[#This Row],[Qty]]&lt;0,"Debit",IF(tbTransactions[[#This Row],[Qty]]&gt;0,"Credit","Neutral")))</f>
        <v>Debit</v>
      </c>
      <c r="L13" s="161" t="s">
        <v>529</v>
      </c>
      <c r="M13" s="23"/>
    </row>
    <row r="14" spans="3:13" ht="30" customHeight="1" x14ac:dyDescent="0.25">
      <c r="C14" s="26">
        <v>12</v>
      </c>
      <c r="D14" s="27">
        <v>44306</v>
      </c>
      <c r="E14" s="23">
        <v>400</v>
      </c>
      <c r="F14" s="23">
        <v>1</v>
      </c>
      <c r="G14" s="24">
        <v>1</v>
      </c>
      <c r="H14" s="28">
        <f>tbTransactions[[#This Row],[Qty]]*tbTransactions[[#This Row],[Unit Cost]]*tbTransactions[[#This Row],[Exchange Rate]]</f>
        <v>400</v>
      </c>
      <c r="I14" s="160" t="s">
        <v>531</v>
      </c>
      <c r="J14" s="29" t="s">
        <v>418</v>
      </c>
      <c r="K14" s="183" t="str">
        <f>IF(tbTransactions[[#This Row],[Sub-Type]]="Transfer","Neutral",IF(tbTransactions[[#This Row],[Qty]]&lt;0,"Debit",IF(tbTransactions[[#This Row],[Qty]]&gt;0,"Credit","Neutral")))</f>
        <v>Credit</v>
      </c>
      <c r="L14" s="161" t="s">
        <v>527</v>
      </c>
      <c r="M14" s="23"/>
    </row>
    <row r="15" spans="3:13" ht="30" customHeight="1" x14ac:dyDescent="0.25">
      <c r="C15" s="26">
        <v>13</v>
      </c>
      <c r="D15" s="27">
        <v>44306</v>
      </c>
      <c r="E15" s="23">
        <v>-400</v>
      </c>
      <c r="F15" s="23">
        <v>1.4999999999999999E-2</v>
      </c>
      <c r="G15" s="24">
        <v>1</v>
      </c>
      <c r="H15" s="28">
        <f>tbTransactions[[#This Row],[Qty]]*tbTransactions[[#This Row],[Unit Cost]]*tbTransactions[[#This Row],[Exchange Rate]]</f>
        <v>-6</v>
      </c>
      <c r="I15" s="160" t="s">
        <v>531</v>
      </c>
      <c r="J15" s="29" t="s">
        <v>418</v>
      </c>
      <c r="K15" s="183" t="str">
        <f>IF(tbTransactions[[#This Row],[Sub-Type]]="Transfer","Neutral",IF(tbTransactions[[#This Row],[Qty]]&lt;0,"Debit",IF(tbTransactions[[#This Row],[Qty]]&gt;0,"Credit","Neutral")))</f>
        <v>Debit</v>
      </c>
      <c r="L15" s="21" t="s">
        <v>14</v>
      </c>
    </row>
    <row r="16" spans="3:13" ht="30" customHeight="1" x14ac:dyDescent="0.25">
      <c r="C16" s="26">
        <v>14</v>
      </c>
      <c r="D16" s="27">
        <v>44306</v>
      </c>
      <c r="E16" s="23">
        <v>-42.5</v>
      </c>
      <c r="F16" s="23">
        <v>1</v>
      </c>
      <c r="G16" s="24">
        <v>1</v>
      </c>
      <c r="H16" s="28">
        <f>tbTransactions[[#This Row],[Qty]]*tbTransactions[[#This Row],[Unit Cost]]*tbTransactions[[#This Row],[Exchange Rate]]</f>
        <v>-42.5</v>
      </c>
      <c r="I16" s="160" t="s">
        <v>531</v>
      </c>
      <c r="J16" s="29" t="s">
        <v>418</v>
      </c>
      <c r="K16" s="183" t="str">
        <f>IF(tbTransactions[[#This Row],[Sub-Type]]="Transfer","Neutral",IF(tbTransactions[[#This Row],[Qty]]&lt;0,"Debit",IF(tbTransactions[[#This Row],[Qty]]&gt;0,"Credit","Neutral")))</f>
        <v>Debit</v>
      </c>
      <c r="L16" s="161" t="s">
        <v>528</v>
      </c>
      <c r="M16" s="23"/>
    </row>
    <row r="17" spans="3:13" ht="30" customHeight="1" x14ac:dyDescent="0.25">
      <c r="C17" s="26">
        <v>15</v>
      </c>
      <c r="D17" s="27">
        <v>44306</v>
      </c>
      <c r="E17" s="23">
        <v>5</v>
      </c>
      <c r="F17" s="23">
        <v>8.5</v>
      </c>
      <c r="G17" s="24">
        <v>1</v>
      </c>
      <c r="H17" s="28">
        <f>tbTransactions[[#This Row],[Qty]]*tbTransactions[[#This Row],[Unit Cost]]*tbTransactions[[#This Row],[Exchange Rate]]</f>
        <v>42.5</v>
      </c>
      <c r="I17" s="160" t="s">
        <v>531</v>
      </c>
      <c r="J17" s="29" t="s">
        <v>23</v>
      </c>
      <c r="K17" s="183" t="str">
        <f>IF(tbTransactions[[#This Row],[Sub-Type]]="Transfer","Neutral",IF(tbTransactions[[#This Row],[Qty]]&lt;0,"Debit",IF(tbTransactions[[#This Row],[Qty]]&gt;0,"Credit","Neutral")))</f>
        <v>Credit</v>
      </c>
      <c r="L17" s="161" t="s">
        <v>532</v>
      </c>
      <c r="M17" s="111" t="s">
        <v>465</v>
      </c>
    </row>
    <row r="18" spans="3:13" ht="30" customHeight="1" x14ac:dyDescent="0.25">
      <c r="C18" s="26">
        <v>16</v>
      </c>
      <c r="D18" s="27">
        <v>44306</v>
      </c>
      <c r="E18" s="23">
        <v>-1.4</v>
      </c>
      <c r="F18" s="23">
        <v>8.5</v>
      </c>
      <c r="G18" s="24">
        <v>1</v>
      </c>
      <c r="H18" s="28">
        <f>tbTransactions[[#This Row],[Qty]]*tbTransactions[[#This Row],[Unit Cost]]*tbTransactions[[#This Row],[Exchange Rate]]</f>
        <v>-11.899999999999999</v>
      </c>
      <c r="I18" s="160" t="s">
        <v>531</v>
      </c>
      <c r="J18" s="29" t="s">
        <v>418</v>
      </c>
      <c r="K18" s="183" t="str">
        <f>IF(tbTransactions[[#This Row],[Sub-Type]]="Transfer","Neutral",IF(tbTransactions[[#This Row],[Qty]]&lt;0,"Debit",IF(tbTransactions[[#This Row],[Qty]]&gt;0,"Credit","Neutral")))</f>
        <v>Debit</v>
      </c>
      <c r="L18" s="161" t="s">
        <v>528</v>
      </c>
      <c r="M18" s="23"/>
    </row>
    <row r="19" spans="3:13" ht="30" customHeight="1" x14ac:dyDescent="0.25">
      <c r="C19" s="26">
        <v>17</v>
      </c>
      <c r="D19" s="27">
        <v>44306</v>
      </c>
      <c r="E19" s="23">
        <v>1.4</v>
      </c>
      <c r="F19" s="23">
        <v>8.5</v>
      </c>
      <c r="G19" s="24">
        <v>1</v>
      </c>
      <c r="H19" s="28">
        <f>tbTransactions[[#This Row],[Qty]]*tbTransactions[[#This Row],[Unit Cost]]*tbTransactions[[#This Row],[Exchange Rate]]</f>
        <v>11.899999999999999</v>
      </c>
      <c r="I19" s="160" t="s">
        <v>531</v>
      </c>
      <c r="J19" s="29" t="s">
        <v>23</v>
      </c>
      <c r="K19" s="183" t="str">
        <f>IF(tbTransactions[[#This Row],[Sub-Type]]="Transfer","Neutral",IF(tbTransactions[[#This Row],[Qty]]&lt;0,"Debit",IF(tbTransactions[[#This Row],[Qty]]&gt;0,"Credit","Neutral")))</f>
        <v>Credit</v>
      </c>
      <c r="L19" s="161" t="s">
        <v>532</v>
      </c>
      <c r="M19" s="111" t="s">
        <v>465</v>
      </c>
    </row>
    <row r="20" spans="3:13" ht="30" customHeight="1" x14ac:dyDescent="0.25">
      <c r="C20" s="26">
        <v>18</v>
      </c>
      <c r="D20" s="27">
        <v>44306</v>
      </c>
      <c r="E20" s="23">
        <v>-5.5</v>
      </c>
      <c r="F20" s="23">
        <v>8.5</v>
      </c>
      <c r="G20" s="24">
        <v>1</v>
      </c>
      <c r="H20" s="28">
        <f>tbTransactions[[#This Row],[Qty]]*tbTransactions[[#This Row],[Unit Cost]]*tbTransactions[[#This Row],[Exchange Rate]]</f>
        <v>-46.75</v>
      </c>
      <c r="I20" s="160" t="s">
        <v>531</v>
      </c>
      <c r="J20" s="29" t="s">
        <v>418</v>
      </c>
      <c r="K20" s="183" t="str">
        <f>IF(tbTransactions[[#This Row],[Sub-Type]]="Transfer","Neutral",IF(tbTransactions[[#This Row],[Qty]]&lt;0,"Debit",IF(tbTransactions[[#This Row],[Qty]]&gt;0,"Credit","Neutral")))</f>
        <v>Debit</v>
      </c>
      <c r="L20" s="161" t="s">
        <v>528</v>
      </c>
      <c r="M20" s="23"/>
    </row>
    <row r="21" spans="3:13" ht="30" customHeight="1" x14ac:dyDescent="0.25">
      <c r="C21" s="26">
        <v>19</v>
      </c>
      <c r="D21" s="27">
        <v>44306</v>
      </c>
      <c r="E21" s="23">
        <v>5.5</v>
      </c>
      <c r="F21" s="23">
        <v>8.5</v>
      </c>
      <c r="G21" s="24">
        <v>1</v>
      </c>
      <c r="H21" s="28">
        <f>tbTransactions[[#This Row],[Qty]]*tbTransactions[[#This Row],[Unit Cost]]*tbTransactions[[#This Row],[Exchange Rate]]</f>
        <v>46.75</v>
      </c>
      <c r="I21" s="160" t="s">
        <v>531</v>
      </c>
      <c r="J21" s="29" t="s">
        <v>23</v>
      </c>
      <c r="K21" s="183" t="str">
        <f>IF(tbTransactions[[#This Row],[Sub-Type]]="Transfer","Neutral",IF(tbTransactions[[#This Row],[Qty]]&lt;0,"Debit",IF(tbTransactions[[#This Row],[Qty]]&gt;0,"Credit","Neutral")))</f>
        <v>Credit</v>
      </c>
      <c r="L21" s="161" t="s">
        <v>532</v>
      </c>
      <c r="M21" s="111" t="s">
        <v>465</v>
      </c>
    </row>
    <row r="22" spans="3:13" ht="30" customHeight="1" x14ac:dyDescent="0.25">
      <c r="C22" s="26">
        <v>20</v>
      </c>
      <c r="D22" s="27">
        <v>44306</v>
      </c>
      <c r="E22" s="23">
        <v>-6.7</v>
      </c>
      <c r="F22" s="23">
        <v>8.5</v>
      </c>
      <c r="G22" s="24">
        <v>1</v>
      </c>
      <c r="H22" s="28">
        <f>tbTransactions[[#This Row],[Qty]]*tbTransactions[[#This Row],[Unit Cost]]*tbTransactions[[#This Row],[Exchange Rate]]</f>
        <v>-56.95</v>
      </c>
      <c r="I22" s="160" t="s">
        <v>531</v>
      </c>
      <c r="J22" s="29" t="s">
        <v>418</v>
      </c>
      <c r="K22" s="183" t="str">
        <f>IF(tbTransactions[[#This Row],[Sub-Type]]="Transfer","Neutral",IF(tbTransactions[[#This Row],[Qty]]&lt;0,"Debit",IF(tbTransactions[[#This Row],[Qty]]&gt;0,"Credit","Neutral")))</f>
        <v>Debit</v>
      </c>
      <c r="L22" s="161" t="s">
        <v>528</v>
      </c>
      <c r="M22" s="23"/>
    </row>
    <row r="23" spans="3:13" ht="30" customHeight="1" x14ac:dyDescent="0.25">
      <c r="C23" s="26">
        <v>21</v>
      </c>
      <c r="D23" s="27">
        <v>44306</v>
      </c>
      <c r="E23" s="23">
        <v>6.7</v>
      </c>
      <c r="F23" s="23">
        <v>8.5</v>
      </c>
      <c r="G23" s="24">
        <v>1</v>
      </c>
      <c r="H23" s="28">
        <f>tbTransactions[[#This Row],[Qty]]*tbTransactions[[#This Row],[Unit Cost]]*tbTransactions[[#This Row],[Exchange Rate]]</f>
        <v>56.95</v>
      </c>
      <c r="I23" s="160" t="s">
        <v>531</v>
      </c>
      <c r="J23" s="29" t="s">
        <v>23</v>
      </c>
      <c r="K23" s="183" t="str">
        <f>IF(tbTransactions[[#This Row],[Sub-Type]]="Transfer","Neutral",IF(tbTransactions[[#This Row],[Qty]]&lt;0,"Debit",IF(tbTransactions[[#This Row],[Qty]]&gt;0,"Credit","Neutral")))</f>
        <v>Credit</v>
      </c>
      <c r="L23" s="161" t="s">
        <v>532</v>
      </c>
      <c r="M23" s="111" t="s">
        <v>465</v>
      </c>
    </row>
    <row r="24" spans="3:13" ht="30" customHeight="1" x14ac:dyDescent="0.25">
      <c r="C24" s="26">
        <v>22</v>
      </c>
      <c r="D24" s="27">
        <v>44307</v>
      </c>
      <c r="E24" s="23">
        <v>-27.4</v>
      </c>
      <c r="F24" s="23">
        <v>8.5</v>
      </c>
      <c r="G24" s="24">
        <v>1</v>
      </c>
      <c r="H24" s="28">
        <f>tbTransactions[[#This Row],[Qty]]*tbTransactions[[#This Row],[Unit Cost]]*tbTransactions[[#This Row],[Exchange Rate]]</f>
        <v>-232.89999999999998</v>
      </c>
      <c r="I24" s="160" t="s">
        <v>531</v>
      </c>
      <c r="J24" s="29" t="s">
        <v>418</v>
      </c>
      <c r="K24" s="183" t="str">
        <f>IF(tbTransactions[[#This Row],[Sub-Type]]="Transfer","Neutral",IF(tbTransactions[[#This Row],[Qty]]&lt;0,"Debit",IF(tbTransactions[[#This Row],[Qty]]&gt;0,"Credit","Neutral")))</f>
        <v>Debit</v>
      </c>
      <c r="L24" s="161" t="s">
        <v>528</v>
      </c>
      <c r="M24" s="23"/>
    </row>
    <row r="25" spans="3:13" ht="30" customHeight="1" x14ac:dyDescent="0.25">
      <c r="C25" s="26">
        <v>23</v>
      </c>
      <c r="D25" s="27">
        <v>44307</v>
      </c>
      <c r="E25" s="23">
        <v>27.4</v>
      </c>
      <c r="F25" s="23">
        <v>8.5</v>
      </c>
      <c r="G25" s="24">
        <v>1</v>
      </c>
      <c r="H25" s="28">
        <f>tbTransactions[[#This Row],[Qty]]*tbTransactions[[#This Row],[Unit Cost]]*tbTransactions[[#This Row],[Exchange Rate]]</f>
        <v>232.89999999999998</v>
      </c>
      <c r="I25" s="160" t="s">
        <v>531</v>
      </c>
      <c r="J25" s="29" t="s">
        <v>23</v>
      </c>
      <c r="K25" s="183" t="str">
        <f>IF(tbTransactions[[#This Row],[Sub-Type]]="Transfer","Neutral",IF(tbTransactions[[#This Row],[Qty]]&lt;0,"Debit",IF(tbTransactions[[#This Row],[Qty]]&gt;0,"Credit","Neutral")))</f>
        <v>Credit</v>
      </c>
      <c r="L25" s="161" t="s">
        <v>532</v>
      </c>
      <c r="M25" s="111" t="s">
        <v>465</v>
      </c>
    </row>
    <row r="26" spans="3:13" ht="30" customHeight="1" x14ac:dyDescent="0.25">
      <c r="C26" s="26">
        <v>24</v>
      </c>
      <c r="D26" s="27">
        <v>44318</v>
      </c>
      <c r="E26" s="23">
        <v>-100</v>
      </c>
      <c r="F26" s="23">
        <v>1</v>
      </c>
      <c r="G26" s="24">
        <v>1</v>
      </c>
      <c r="H26" s="28">
        <f>tbTransactions[[#This Row],[Qty]]*tbTransactions[[#This Row],[Unit Cost]]*tbTransactions[[#This Row],[Exchange Rate]]</f>
        <v>-100</v>
      </c>
      <c r="I26" s="160" t="s">
        <v>526</v>
      </c>
      <c r="J26" s="29" t="s">
        <v>418</v>
      </c>
      <c r="K26" s="183" t="str">
        <f>IF(tbTransactions[[#This Row],[Sub-Type]]="Transfer","Neutral",IF(tbTransactions[[#This Row],[Qty]]&lt;0,"Debit",IF(tbTransactions[[#This Row],[Qty]]&gt;0,"Credit","Neutral")))</f>
        <v>Debit</v>
      </c>
      <c r="L26" s="161" t="s">
        <v>529</v>
      </c>
      <c r="M26" s="23"/>
    </row>
    <row r="27" spans="3:13" ht="30" customHeight="1" x14ac:dyDescent="0.25">
      <c r="C27" s="26">
        <v>25</v>
      </c>
      <c r="D27" s="27">
        <v>44318</v>
      </c>
      <c r="E27" s="23">
        <v>100</v>
      </c>
      <c r="F27" s="23">
        <v>1</v>
      </c>
      <c r="G27" s="24">
        <v>1</v>
      </c>
      <c r="H27" s="28">
        <f>tbTransactions[[#This Row],[Qty]]*tbTransactions[[#This Row],[Unit Cost]]*tbTransactions[[#This Row],[Exchange Rate]]</f>
        <v>100</v>
      </c>
      <c r="I27" s="160" t="s">
        <v>531</v>
      </c>
      <c r="J27" s="29" t="s">
        <v>418</v>
      </c>
      <c r="K27" s="183" t="str">
        <f>IF(tbTransactions[[#This Row],[Sub-Type]]="Transfer","Neutral",IF(tbTransactions[[#This Row],[Qty]]&lt;0,"Debit",IF(tbTransactions[[#This Row],[Qty]]&gt;0,"Credit","Neutral")))</f>
        <v>Credit</v>
      </c>
      <c r="L27" s="161" t="s">
        <v>527</v>
      </c>
      <c r="M27" s="23"/>
    </row>
    <row r="28" spans="3:13" ht="30" customHeight="1" x14ac:dyDescent="0.25">
      <c r="C28" s="26">
        <v>26</v>
      </c>
      <c r="D28" s="27">
        <v>44318</v>
      </c>
      <c r="E28" s="23">
        <v>-100</v>
      </c>
      <c r="F28" s="23">
        <v>1.4999999999999999E-2</v>
      </c>
      <c r="G28" s="24">
        <v>1</v>
      </c>
      <c r="H28" s="28">
        <f>tbTransactions[[#This Row],[Qty]]*tbTransactions[[#This Row],[Unit Cost]]*tbTransactions[[#This Row],[Exchange Rate]]</f>
        <v>-1.5</v>
      </c>
      <c r="I28" s="160" t="s">
        <v>531</v>
      </c>
      <c r="J28" s="29" t="s">
        <v>418</v>
      </c>
      <c r="K28" s="183" t="str">
        <f>IF(tbTransactions[[#This Row],[Sub-Type]]="Transfer","Neutral",IF(tbTransactions[[#This Row],[Qty]]&lt;0,"Debit",IF(tbTransactions[[#This Row],[Qty]]&gt;0,"Credit","Neutral")))</f>
        <v>Debit</v>
      </c>
      <c r="L28" s="21" t="s">
        <v>14</v>
      </c>
    </row>
    <row r="29" spans="3:13" ht="30" customHeight="1" x14ac:dyDescent="0.25">
      <c r="C29" s="26">
        <v>27</v>
      </c>
      <c r="D29" s="27">
        <v>44318</v>
      </c>
      <c r="E29" s="23">
        <v>-50.527660349999998</v>
      </c>
      <c r="F29" s="23">
        <v>1.976</v>
      </c>
      <c r="G29" s="24">
        <v>1</v>
      </c>
      <c r="H29" s="28">
        <f>tbTransactions[[#This Row],[Qty]]*tbTransactions[[#This Row],[Unit Cost]]*tbTransactions[[#This Row],[Exchange Rate]]</f>
        <v>-99.842656851599997</v>
      </c>
      <c r="I29" s="160" t="s">
        <v>531</v>
      </c>
      <c r="J29" s="29" t="s">
        <v>418</v>
      </c>
      <c r="K29" s="183" t="str">
        <f>IF(tbTransactions[[#This Row],[Sub-Type]]="Transfer","Neutral",IF(tbTransactions[[#This Row],[Qty]]&lt;0,"Debit",IF(tbTransactions[[#This Row],[Qty]]&gt;0,"Credit","Neutral")))</f>
        <v>Debit</v>
      </c>
      <c r="L29" s="161" t="s">
        <v>528</v>
      </c>
      <c r="M29" s="23"/>
    </row>
    <row r="30" spans="3:13" ht="30" customHeight="1" x14ac:dyDescent="0.25">
      <c r="C30" s="26">
        <v>28</v>
      </c>
      <c r="D30" s="27">
        <v>44318</v>
      </c>
      <c r="E30" s="23">
        <v>50.527660349999998</v>
      </c>
      <c r="F30" s="23">
        <v>1.976</v>
      </c>
      <c r="G30" s="24">
        <v>1</v>
      </c>
      <c r="H30" s="28">
        <f>tbTransactions[[#This Row],[Qty]]*tbTransactions[[#This Row],[Unit Cost]]*tbTransactions[[#This Row],[Exchange Rate]]</f>
        <v>99.842656851599997</v>
      </c>
      <c r="I30" s="160" t="s">
        <v>531</v>
      </c>
      <c r="J30" s="29" t="s">
        <v>30</v>
      </c>
      <c r="K30" s="183" t="str">
        <f>IF(tbTransactions[[#This Row],[Sub-Type]]="Transfer","Neutral",IF(tbTransactions[[#This Row],[Qty]]&lt;0,"Debit",IF(tbTransactions[[#This Row],[Qty]]&gt;0,"Credit","Neutral")))</f>
        <v>Credit</v>
      </c>
      <c r="L30" s="161" t="s">
        <v>532</v>
      </c>
      <c r="M30" s="111" t="s">
        <v>466</v>
      </c>
    </row>
    <row r="31" spans="3:13" ht="30" customHeight="1" x14ac:dyDescent="0.25">
      <c r="C31" s="26">
        <v>29</v>
      </c>
      <c r="D31" s="27">
        <v>44318</v>
      </c>
      <c r="E31" s="23">
        <v>-5.4</v>
      </c>
      <c r="F31" s="23">
        <v>8.18</v>
      </c>
      <c r="G31" s="24">
        <v>1</v>
      </c>
      <c r="H31" s="28">
        <f>tbTransactions[[#This Row],[Qty]]*tbTransactions[[#This Row],[Unit Cost]]*tbTransactions[[#This Row],[Exchange Rate]]</f>
        <v>-44.172000000000004</v>
      </c>
      <c r="I31" s="160" t="s">
        <v>531</v>
      </c>
      <c r="J31" s="29" t="s">
        <v>418</v>
      </c>
      <c r="K31" s="183" t="str">
        <f>IF(tbTransactions[[#This Row],[Sub-Type]]="Transfer","Neutral",IF(tbTransactions[[#This Row],[Qty]]&lt;0,"Debit",IF(tbTransactions[[#This Row],[Qty]]&gt;0,"Credit","Neutral")))</f>
        <v>Debit</v>
      </c>
      <c r="L31" s="161" t="s">
        <v>528</v>
      </c>
      <c r="M31" s="23"/>
    </row>
    <row r="32" spans="3:13" ht="30" customHeight="1" x14ac:dyDescent="0.25">
      <c r="C32" s="26">
        <v>30</v>
      </c>
      <c r="D32" s="27">
        <v>44318</v>
      </c>
      <c r="E32" s="23">
        <v>5.4</v>
      </c>
      <c r="F32" s="23">
        <v>8.18</v>
      </c>
      <c r="G32" s="24">
        <v>1</v>
      </c>
      <c r="H32" s="28">
        <f>tbTransactions[[#This Row],[Qty]]*tbTransactions[[#This Row],[Unit Cost]]*tbTransactions[[#This Row],[Exchange Rate]]</f>
        <v>44.172000000000004</v>
      </c>
      <c r="I32" s="160" t="s">
        <v>531</v>
      </c>
      <c r="J32" s="29" t="s">
        <v>23</v>
      </c>
      <c r="K32" s="183" t="str">
        <f>IF(tbTransactions[[#This Row],[Sub-Type]]="Transfer","Neutral",IF(tbTransactions[[#This Row],[Qty]]&lt;0,"Debit",IF(tbTransactions[[#This Row],[Qty]]&gt;0,"Credit","Neutral")))</f>
        <v>Credit</v>
      </c>
      <c r="L32" s="161" t="s">
        <v>532</v>
      </c>
      <c r="M32" s="111" t="s">
        <v>465</v>
      </c>
    </row>
    <row r="33" spans="3:13" ht="30" customHeight="1" x14ac:dyDescent="0.25">
      <c r="C33" s="26">
        <v>31</v>
      </c>
      <c r="D33" s="27">
        <v>44318</v>
      </c>
      <c r="E33" s="23">
        <v>-6.7193206600000002</v>
      </c>
      <c r="F33" s="23">
        <v>8.3030000000000008</v>
      </c>
      <c r="G33" s="24">
        <v>1</v>
      </c>
      <c r="H33" s="28">
        <f>tbTransactions[[#This Row],[Qty]]*tbTransactions[[#This Row],[Unit Cost]]*tbTransactions[[#This Row],[Exchange Rate]]</f>
        <v>-55.79051943998001</v>
      </c>
      <c r="I33" s="160" t="s">
        <v>531</v>
      </c>
      <c r="J33" s="29" t="s">
        <v>418</v>
      </c>
      <c r="K33" s="183" t="str">
        <f>IF(tbTransactions[[#This Row],[Sub-Type]]="Transfer","Neutral",IF(tbTransactions[[#This Row],[Qty]]&lt;0,"Debit",IF(tbTransactions[[#This Row],[Qty]]&gt;0,"Credit","Neutral")))</f>
        <v>Debit</v>
      </c>
      <c r="L33" s="161" t="s">
        <v>528</v>
      </c>
      <c r="M33" s="23"/>
    </row>
    <row r="34" spans="3:13" ht="30" customHeight="1" x14ac:dyDescent="0.25">
      <c r="C34" s="26">
        <v>32</v>
      </c>
      <c r="D34" s="27">
        <v>44318</v>
      </c>
      <c r="E34" s="23">
        <v>6.7193206600000002</v>
      </c>
      <c r="F34" s="23">
        <v>8.3030000000000008</v>
      </c>
      <c r="G34" s="24">
        <v>1</v>
      </c>
      <c r="H34" s="28">
        <f>tbTransactions[[#This Row],[Qty]]*tbTransactions[[#This Row],[Unit Cost]]*tbTransactions[[#This Row],[Exchange Rate]]</f>
        <v>55.79051943998001</v>
      </c>
      <c r="I34" s="160" t="s">
        <v>531</v>
      </c>
      <c r="J34" s="29" t="s">
        <v>23</v>
      </c>
      <c r="K34" s="183" t="str">
        <f>IF(tbTransactions[[#This Row],[Sub-Type]]="Transfer","Neutral",IF(tbTransactions[[#This Row],[Qty]]&lt;0,"Debit",IF(tbTransactions[[#This Row],[Qty]]&gt;0,"Credit","Neutral")))</f>
        <v>Credit</v>
      </c>
      <c r="L34" s="161" t="s">
        <v>532</v>
      </c>
      <c r="M34" s="111" t="s">
        <v>465</v>
      </c>
    </row>
    <row r="35" spans="3:13" ht="30" customHeight="1" x14ac:dyDescent="0.25">
      <c r="C35" s="26">
        <v>33</v>
      </c>
      <c r="D35" s="27">
        <v>44318</v>
      </c>
      <c r="E35" s="23">
        <v>-140.12801694999999</v>
      </c>
      <c r="F35" s="23">
        <v>0.69899999999999995</v>
      </c>
      <c r="G35" s="24">
        <v>1</v>
      </c>
      <c r="H35" s="28">
        <f>tbTransactions[[#This Row],[Qty]]*tbTransactions[[#This Row],[Unit Cost]]*tbTransactions[[#This Row],[Exchange Rate]]</f>
        <v>-97.949483848049979</v>
      </c>
      <c r="I35" s="160" t="s">
        <v>531</v>
      </c>
      <c r="J35" s="29" t="s">
        <v>418</v>
      </c>
      <c r="K35" s="183" t="str">
        <f>IF(tbTransactions[[#This Row],[Sub-Type]]="Transfer","Neutral",IF(tbTransactions[[#This Row],[Qty]]&lt;0,"Debit",IF(tbTransactions[[#This Row],[Qty]]&gt;0,"Credit","Neutral")))</f>
        <v>Debit</v>
      </c>
      <c r="L35" s="161" t="s">
        <v>528</v>
      </c>
      <c r="M35" s="23"/>
    </row>
    <row r="36" spans="3:13" ht="30" customHeight="1" x14ac:dyDescent="0.25">
      <c r="C36" s="26">
        <v>34</v>
      </c>
      <c r="D36" s="27">
        <v>44318</v>
      </c>
      <c r="E36" s="23">
        <v>140.12801694999999</v>
      </c>
      <c r="F36" s="23">
        <v>0.69899999999999995</v>
      </c>
      <c r="G36" s="24">
        <v>1</v>
      </c>
      <c r="H36" s="28">
        <f>tbTransactions[[#This Row],[Qty]]*tbTransactions[[#This Row],[Unit Cost]]*tbTransactions[[#This Row],[Exchange Rate]]</f>
        <v>97.949483848049979</v>
      </c>
      <c r="I36" s="160" t="s">
        <v>531</v>
      </c>
      <c r="J36" s="29" t="s">
        <v>27</v>
      </c>
      <c r="K36" s="183" t="str">
        <f>IF(tbTransactions[[#This Row],[Sub-Type]]="Transfer","Neutral",IF(tbTransactions[[#This Row],[Qty]]&lt;0,"Debit",IF(tbTransactions[[#This Row],[Qty]]&gt;0,"Credit","Neutral")))</f>
        <v>Credit</v>
      </c>
      <c r="L36" s="161" t="s">
        <v>532</v>
      </c>
      <c r="M36" s="111" t="s">
        <v>467</v>
      </c>
    </row>
    <row r="37" spans="3:13" ht="30" customHeight="1" x14ac:dyDescent="0.25">
      <c r="C37" s="26">
        <v>35</v>
      </c>
      <c r="D37" s="27">
        <v>44318</v>
      </c>
      <c r="E37" s="23">
        <v>-143.46335751999999</v>
      </c>
      <c r="F37" s="23">
        <v>0.69699999999999995</v>
      </c>
      <c r="G37" s="24">
        <v>1</v>
      </c>
      <c r="H37" s="28">
        <f>tbTransactions[[#This Row],[Qty]]*tbTransactions[[#This Row],[Unit Cost]]*tbTransactions[[#This Row],[Exchange Rate]]</f>
        <v>-99.993960191439982</v>
      </c>
      <c r="I37" s="160" t="s">
        <v>531</v>
      </c>
      <c r="J37" s="29" t="s">
        <v>418</v>
      </c>
      <c r="K37" s="183" t="str">
        <f>IF(tbTransactions[[#This Row],[Sub-Type]]="Transfer","Neutral",IF(tbTransactions[[#This Row],[Qty]]&lt;0,"Debit",IF(tbTransactions[[#This Row],[Qty]]&gt;0,"Credit","Neutral")))</f>
        <v>Debit</v>
      </c>
      <c r="L37" s="161" t="s">
        <v>528</v>
      </c>
      <c r="M37" s="23"/>
    </row>
    <row r="38" spans="3:13" ht="30" customHeight="1" x14ac:dyDescent="0.25">
      <c r="C38" s="26">
        <v>36</v>
      </c>
      <c r="D38" s="27">
        <v>44318</v>
      </c>
      <c r="E38" s="23">
        <v>143.46335751999999</v>
      </c>
      <c r="F38" s="23">
        <v>0.69699999999999995</v>
      </c>
      <c r="G38" s="24">
        <v>1</v>
      </c>
      <c r="H38" s="28">
        <f>tbTransactions[[#This Row],[Qty]]*tbTransactions[[#This Row],[Unit Cost]]*tbTransactions[[#This Row],[Exchange Rate]]</f>
        <v>99.993960191439982</v>
      </c>
      <c r="I38" s="160" t="s">
        <v>531</v>
      </c>
      <c r="J38" s="29" t="s">
        <v>27</v>
      </c>
      <c r="K38" s="183" t="str">
        <f>IF(tbTransactions[[#This Row],[Sub-Type]]="Transfer","Neutral",IF(tbTransactions[[#This Row],[Qty]]&lt;0,"Debit",IF(tbTransactions[[#This Row],[Qty]]&gt;0,"Credit","Neutral")))</f>
        <v>Credit</v>
      </c>
      <c r="L38" s="161" t="s">
        <v>532</v>
      </c>
      <c r="M38" s="111" t="s">
        <v>467</v>
      </c>
    </row>
    <row r="39" spans="3:13" ht="30" customHeight="1" x14ac:dyDescent="0.25">
      <c r="C39" s="26">
        <v>37</v>
      </c>
      <c r="D39" s="27">
        <v>44319</v>
      </c>
      <c r="E39" s="23">
        <v>-100</v>
      </c>
      <c r="F39" s="23">
        <v>1</v>
      </c>
      <c r="G39" s="24">
        <v>1</v>
      </c>
      <c r="H39" s="28">
        <f>tbTransactions[[#This Row],[Qty]]*tbTransactions[[#This Row],[Unit Cost]]*tbTransactions[[#This Row],[Exchange Rate]]</f>
        <v>-100</v>
      </c>
      <c r="I39" s="160" t="s">
        <v>526</v>
      </c>
      <c r="J39" s="29" t="s">
        <v>418</v>
      </c>
      <c r="K39" s="183" t="str">
        <f>IF(tbTransactions[[#This Row],[Sub-Type]]="Transfer","Neutral",IF(tbTransactions[[#This Row],[Qty]]&lt;0,"Debit",IF(tbTransactions[[#This Row],[Qty]]&gt;0,"Credit","Neutral")))</f>
        <v>Debit</v>
      </c>
      <c r="L39" s="161" t="s">
        <v>529</v>
      </c>
      <c r="M39" s="23"/>
    </row>
    <row r="40" spans="3:13" ht="30" customHeight="1" x14ac:dyDescent="0.25">
      <c r="C40" s="26">
        <v>38</v>
      </c>
      <c r="D40" s="27">
        <v>44319</v>
      </c>
      <c r="E40" s="23">
        <v>100</v>
      </c>
      <c r="F40" s="23">
        <v>1</v>
      </c>
      <c r="G40" s="24">
        <v>1</v>
      </c>
      <c r="H40" s="28">
        <f>tbTransactions[[#This Row],[Qty]]*tbTransactions[[#This Row],[Unit Cost]]*tbTransactions[[#This Row],[Exchange Rate]]</f>
        <v>100</v>
      </c>
      <c r="I40" s="160" t="s">
        <v>531</v>
      </c>
      <c r="J40" s="29" t="s">
        <v>418</v>
      </c>
      <c r="K40" s="183" t="str">
        <f>IF(tbTransactions[[#This Row],[Sub-Type]]="Transfer","Neutral",IF(tbTransactions[[#This Row],[Qty]]&lt;0,"Debit",IF(tbTransactions[[#This Row],[Qty]]&gt;0,"Credit","Neutral")))</f>
        <v>Credit</v>
      </c>
      <c r="L40" s="161" t="s">
        <v>527</v>
      </c>
      <c r="M40" s="23"/>
    </row>
    <row r="41" spans="3:13" ht="30" customHeight="1" x14ac:dyDescent="0.25">
      <c r="C41" s="26">
        <v>39</v>
      </c>
      <c r="D41" s="27">
        <v>44319</v>
      </c>
      <c r="E41" s="23">
        <v>-100</v>
      </c>
      <c r="F41" s="23">
        <v>1.4999999999999999E-2</v>
      </c>
      <c r="G41" s="24">
        <v>1</v>
      </c>
      <c r="H41" s="28">
        <f>tbTransactions[[#This Row],[Qty]]*tbTransactions[[#This Row],[Unit Cost]]*tbTransactions[[#This Row],[Exchange Rate]]</f>
        <v>-1.5</v>
      </c>
      <c r="I41" s="160" t="s">
        <v>531</v>
      </c>
      <c r="J41" s="29" t="s">
        <v>418</v>
      </c>
      <c r="K41" s="183" t="str">
        <f>IF(tbTransactions[[#This Row],[Sub-Type]]="Transfer","Neutral",IF(tbTransactions[[#This Row],[Qty]]&lt;0,"Debit",IF(tbTransactions[[#This Row],[Qty]]&gt;0,"Credit","Neutral")))</f>
        <v>Debit</v>
      </c>
      <c r="L41" s="161" t="s">
        <v>14</v>
      </c>
      <c r="M41" s="23"/>
    </row>
    <row r="42" spans="3:13" ht="30" customHeight="1" x14ac:dyDescent="0.25">
      <c r="C42" s="26">
        <v>40</v>
      </c>
      <c r="D42" s="27">
        <v>44319</v>
      </c>
      <c r="E42" s="23">
        <v>-100</v>
      </c>
      <c r="F42" s="23">
        <v>1</v>
      </c>
      <c r="G42" s="24">
        <v>1</v>
      </c>
      <c r="H42" s="28">
        <f>tbTransactions[[#This Row],[Qty]]*tbTransactions[[#This Row],[Unit Cost]]*tbTransactions[[#This Row],[Exchange Rate]]</f>
        <v>-100</v>
      </c>
      <c r="I42" s="160" t="s">
        <v>526</v>
      </c>
      <c r="J42" s="29" t="s">
        <v>418</v>
      </c>
      <c r="K42" s="183" t="str">
        <f>IF(tbTransactions[[#This Row],[Sub-Type]]="Transfer","Neutral",IF(tbTransactions[[#This Row],[Qty]]&lt;0,"Debit",IF(tbTransactions[[#This Row],[Qty]]&gt;0,"Credit","Neutral")))</f>
        <v>Debit</v>
      </c>
      <c r="L42" s="161" t="s">
        <v>529</v>
      </c>
      <c r="M42" s="23"/>
    </row>
    <row r="43" spans="3:13" ht="30" customHeight="1" x14ac:dyDescent="0.25">
      <c r="C43" s="26">
        <v>41</v>
      </c>
      <c r="D43" s="27">
        <v>44319</v>
      </c>
      <c r="E43" s="23">
        <v>100</v>
      </c>
      <c r="F43" s="23">
        <v>1</v>
      </c>
      <c r="G43" s="24">
        <v>1</v>
      </c>
      <c r="H43" s="28">
        <f>tbTransactions[[#This Row],[Qty]]*tbTransactions[[#This Row],[Unit Cost]]*tbTransactions[[#This Row],[Exchange Rate]]</f>
        <v>100</v>
      </c>
      <c r="I43" s="160" t="s">
        <v>531</v>
      </c>
      <c r="J43" s="29" t="s">
        <v>418</v>
      </c>
      <c r="K43" s="183" t="str">
        <f>IF(tbTransactions[[#This Row],[Sub-Type]]="Transfer","Neutral",IF(tbTransactions[[#This Row],[Qty]]&lt;0,"Debit",IF(tbTransactions[[#This Row],[Qty]]&gt;0,"Credit","Neutral")))</f>
        <v>Credit</v>
      </c>
      <c r="L43" s="161" t="s">
        <v>527</v>
      </c>
      <c r="M43" s="23"/>
    </row>
    <row r="44" spans="3:13" ht="30" customHeight="1" x14ac:dyDescent="0.25">
      <c r="C44" s="26">
        <v>42</v>
      </c>
      <c r="D44" s="27">
        <v>44319</v>
      </c>
      <c r="E44" s="23">
        <v>-100</v>
      </c>
      <c r="F44" s="23">
        <v>1.4999999999999999E-2</v>
      </c>
      <c r="G44" s="24">
        <v>1</v>
      </c>
      <c r="H44" s="28">
        <f>tbTransactions[[#This Row],[Qty]]*tbTransactions[[#This Row],[Unit Cost]]*tbTransactions[[#This Row],[Exchange Rate]]</f>
        <v>-1.5</v>
      </c>
      <c r="I44" s="160" t="s">
        <v>531</v>
      </c>
      <c r="J44" s="29" t="s">
        <v>418</v>
      </c>
      <c r="K44" s="183" t="str">
        <f>IF(tbTransactions[[#This Row],[Sub-Type]]="Transfer","Neutral",IF(tbTransactions[[#This Row],[Qty]]&lt;0,"Debit",IF(tbTransactions[[#This Row],[Qty]]&gt;0,"Credit","Neutral")))</f>
        <v>Debit</v>
      </c>
      <c r="L44" s="161" t="s">
        <v>14</v>
      </c>
      <c r="M44" s="23"/>
    </row>
    <row r="45" spans="3:13" ht="30" customHeight="1" x14ac:dyDescent="0.25">
      <c r="C45" s="26">
        <v>43</v>
      </c>
      <c r="D45" s="27">
        <v>44319</v>
      </c>
      <c r="E45" s="23">
        <v>-100</v>
      </c>
      <c r="F45" s="23">
        <v>1</v>
      </c>
      <c r="G45" s="24">
        <v>1</v>
      </c>
      <c r="H45" s="28">
        <f>tbTransactions[[#This Row],[Qty]]*tbTransactions[[#This Row],[Unit Cost]]*tbTransactions[[#This Row],[Exchange Rate]]</f>
        <v>-100</v>
      </c>
      <c r="I45" s="21" t="s">
        <v>526</v>
      </c>
      <c r="J45" s="29" t="s">
        <v>418</v>
      </c>
      <c r="K45" s="183" t="str">
        <f>IF(tbTransactions[[#This Row],[Sub-Type]]="Transfer","Neutral",IF(tbTransactions[[#This Row],[Qty]]&lt;0,"Debit",IF(tbTransactions[[#This Row],[Qty]]&gt;0,"Credit","Neutral")))</f>
        <v>Debit</v>
      </c>
      <c r="L45" s="161" t="s">
        <v>529</v>
      </c>
      <c r="M45" s="23"/>
    </row>
    <row r="46" spans="3:13" ht="30" customHeight="1" x14ac:dyDescent="0.25">
      <c r="C46" s="26">
        <v>44</v>
      </c>
      <c r="D46" s="27">
        <v>44319</v>
      </c>
      <c r="E46" s="23">
        <v>100</v>
      </c>
      <c r="F46" s="23">
        <v>1</v>
      </c>
      <c r="G46" s="24">
        <v>1</v>
      </c>
      <c r="H46" s="28">
        <f>tbTransactions[[#This Row],[Qty]]*tbTransactions[[#This Row],[Unit Cost]]*tbTransactions[[#This Row],[Exchange Rate]]</f>
        <v>100</v>
      </c>
      <c r="I46" s="160" t="s">
        <v>531</v>
      </c>
      <c r="J46" s="29" t="s">
        <v>418</v>
      </c>
      <c r="K46" s="183" t="str">
        <f>IF(tbTransactions[[#This Row],[Sub-Type]]="Transfer","Neutral",IF(tbTransactions[[#This Row],[Qty]]&lt;0,"Debit",IF(tbTransactions[[#This Row],[Qty]]&gt;0,"Credit","Neutral")))</f>
        <v>Credit</v>
      </c>
      <c r="L46" s="161" t="s">
        <v>527</v>
      </c>
      <c r="M46" s="23"/>
    </row>
    <row r="47" spans="3:13" ht="30" customHeight="1" x14ac:dyDescent="0.25">
      <c r="C47" s="26">
        <v>45</v>
      </c>
      <c r="D47" s="27">
        <v>44319</v>
      </c>
      <c r="E47" s="23">
        <v>-100</v>
      </c>
      <c r="F47" s="23">
        <v>1.4999999999999999E-2</v>
      </c>
      <c r="G47" s="24">
        <v>1</v>
      </c>
      <c r="H47" s="28">
        <f>tbTransactions[[#This Row],[Qty]]*tbTransactions[[#This Row],[Unit Cost]]*tbTransactions[[#This Row],[Exchange Rate]]</f>
        <v>-1.5</v>
      </c>
      <c r="I47" s="160" t="s">
        <v>531</v>
      </c>
      <c r="J47" s="29" t="s">
        <v>418</v>
      </c>
      <c r="K47" s="183" t="str">
        <f>IF(tbTransactions[[#This Row],[Sub-Type]]="Transfer","Neutral",IF(tbTransactions[[#This Row],[Qty]]&lt;0,"Debit",IF(tbTransactions[[#This Row],[Qty]]&gt;0,"Credit","Neutral")))</f>
        <v>Debit</v>
      </c>
      <c r="L47" s="161" t="s">
        <v>14</v>
      </c>
      <c r="M47" s="23"/>
    </row>
    <row r="48" spans="3:13" ht="30" customHeight="1" x14ac:dyDescent="0.25">
      <c r="C48" s="26">
        <v>46</v>
      </c>
      <c r="D48" s="27">
        <v>44321</v>
      </c>
      <c r="E48" s="23">
        <v>-3000</v>
      </c>
      <c r="F48" s="23">
        <v>1</v>
      </c>
      <c r="G48" s="24">
        <v>1</v>
      </c>
      <c r="H48" s="28">
        <f>tbTransactions[[#This Row],[Qty]]*tbTransactions[[#This Row],[Unit Cost]]*tbTransactions[[#This Row],[Exchange Rate]]</f>
        <v>-3000</v>
      </c>
      <c r="I48" s="160" t="s">
        <v>526</v>
      </c>
      <c r="J48" s="29" t="s">
        <v>418</v>
      </c>
      <c r="K48" s="183" t="str">
        <f>IF(tbTransactions[[#This Row],[Sub-Type]]="Transfer","Neutral",IF(tbTransactions[[#This Row],[Qty]]&lt;0,"Debit",IF(tbTransactions[[#This Row],[Qty]]&gt;0,"Credit","Neutral")))</f>
        <v>Debit</v>
      </c>
      <c r="L48" s="161" t="s">
        <v>529</v>
      </c>
      <c r="M48" s="23"/>
    </row>
    <row r="49" spans="3:13" ht="30" customHeight="1" x14ac:dyDescent="0.25">
      <c r="C49" s="26">
        <v>47</v>
      </c>
      <c r="D49" s="27">
        <v>44321</v>
      </c>
      <c r="E49" s="23">
        <v>3000</v>
      </c>
      <c r="F49" s="23">
        <v>1</v>
      </c>
      <c r="G49" s="24">
        <v>1</v>
      </c>
      <c r="H49" s="28">
        <f>tbTransactions[[#This Row],[Qty]]*tbTransactions[[#This Row],[Unit Cost]]*tbTransactions[[#This Row],[Exchange Rate]]</f>
        <v>3000</v>
      </c>
      <c r="I49" s="160" t="s">
        <v>531</v>
      </c>
      <c r="J49" s="29" t="s">
        <v>418</v>
      </c>
      <c r="K49" s="183" t="str">
        <f>IF(tbTransactions[[#This Row],[Sub-Type]]="Transfer","Neutral",IF(tbTransactions[[#This Row],[Qty]]&lt;0,"Debit",IF(tbTransactions[[#This Row],[Qty]]&gt;0,"Credit","Neutral")))</f>
        <v>Credit</v>
      </c>
      <c r="L49" s="161" t="s">
        <v>527</v>
      </c>
      <c r="M49" s="23"/>
    </row>
    <row r="50" spans="3:13" ht="30" customHeight="1" x14ac:dyDescent="0.25">
      <c r="C50" s="26">
        <v>48</v>
      </c>
      <c r="D50" s="27">
        <v>44321</v>
      </c>
      <c r="E50" s="23">
        <v>-3000</v>
      </c>
      <c r="F50" s="23">
        <v>1.4999999999999999E-2</v>
      </c>
      <c r="G50" s="24">
        <v>1</v>
      </c>
      <c r="H50" s="28">
        <f>tbTransactions[[#This Row],[Qty]]*tbTransactions[[#This Row],[Unit Cost]]*tbTransactions[[#This Row],[Exchange Rate]]</f>
        <v>-45</v>
      </c>
      <c r="I50" s="160" t="s">
        <v>531</v>
      </c>
      <c r="J50" s="29" t="s">
        <v>418</v>
      </c>
      <c r="K50" s="183" t="str">
        <f>IF(tbTransactions[[#This Row],[Sub-Type]]="Transfer","Neutral",IF(tbTransactions[[#This Row],[Qty]]&lt;0,"Debit",IF(tbTransactions[[#This Row],[Qty]]&gt;0,"Credit","Neutral")))</f>
        <v>Debit</v>
      </c>
      <c r="L50" s="161" t="s">
        <v>14</v>
      </c>
      <c r="M50" s="23"/>
    </row>
    <row r="51" spans="3:13" ht="30" customHeight="1" x14ac:dyDescent="0.25">
      <c r="C51" s="26">
        <v>49</v>
      </c>
      <c r="D51" s="27">
        <v>44321</v>
      </c>
      <c r="E51" s="23">
        <v>-0.68482502999999995</v>
      </c>
      <c r="F51" s="23">
        <v>4380.6809999999996</v>
      </c>
      <c r="G51" s="24">
        <v>1</v>
      </c>
      <c r="H51" s="28">
        <f>tbTransactions[[#This Row],[Qty]]*tbTransactions[[#This Row],[Unit Cost]]*tbTransactions[[#This Row],[Exchange Rate]]</f>
        <v>-2999.9999972454293</v>
      </c>
      <c r="I51" s="160" t="s">
        <v>531</v>
      </c>
      <c r="J51" s="29" t="s">
        <v>418</v>
      </c>
      <c r="K51" s="183" t="str">
        <f>IF(tbTransactions[[#This Row],[Sub-Type]]="Transfer","Neutral",IF(tbTransactions[[#This Row],[Qty]]&lt;0,"Debit",IF(tbTransactions[[#This Row],[Qty]]&gt;0,"Credit","Neutral")))</f>
        <v>Debit</v>
      </c>
      <c r="L51" s="161" t="s">
        <v>528</v>
      </c>
      <c r="M51" s="23"/>
    </row>
    <row r="52" spans="3:13" ht="30" customHeight="1" x14ac:dyDescent="0.25">
      <c r="C52" s="26">
        <v>50</v>
      </c>
      <c r="D52" s="27">
        <v>44321</v>
      </c>
      <c r="E52" s="23">
        <v>0.68482502999999995</v>
      </c>
      <c r="F52" s="23">
        <v>4380.6809999999996</v>
      </c>
      <c r="G52" s="24">
        <v>1</v>
      </c>
      <c r="H52" s="28">
        <f>tbTransactions[[#This Row],[Qty]]*tbTransactions[[#This Row],[Unit Cost]]*tbTransactions[[#This Row],[Exchange Rate]]</f>
        <v>2999.9999972454293</v>
      </c>
      <c r="I52" s="160" t="s">
        <v>531</v>
      </c>
      <c r="J52" s="29" t="s">
        <v>24</v>
      </c>
      <c r="K52" s="183" t="str">
        <f>IF(tbTransactions[[#This Row],[Sub-Type]]="Transfer","Neutral",IF(tbTransactions[[#This Row],[Qty]]&lt;0,"Debit",IF(tbTransactions[[#This Row],[Qty]]&gt;0,"Credit","Neutral")))</f>
        <v>Credit</v>
      </c>
      <c r="L52" s="161" t="s">
        <v>532</v>
      </c>
      <c r="M52" s="111" t="s">
        <v>454</v>
      </c>
    </row>
    <row r="53" spans="3:13" ht="30" customHeight="1" x14ac:dyDescent="0.25">
      <c r="C53" s="26">
        <v>51</v>
      </c>
      <c r="D53" s="27">
        <v>44322</v>
      </c>
      <c r="E53" s="23">
        <v>-50.527660349999998</v>
      </c>
      <c r="F53" s="23">
        <v>1.9970000000000001</v>
      </c>
      <c r="G53" s="24">
        <v>1</v>
      </c>
      <c r="H53" s="28">
        <f>tbTransactions[[#This Row],[Qty]]*tbTransactions[[#This Row],[Unit Cost]]*tbTransactions[[#This Row],[Exchange Rate]]</f>
        <v>-100.90373771895</v>
      </c>
      <c r="I53" s="160" t="s">
        <v>531</v>
      </c>
      <c r="J53" s="29" t="s">
        <v>30</v>
      </c>
      <c r="K53" s="183" t="str">
        <f>IF(tbTransactions[[#This Row],[Sub-Type]]="Transfer","Neutral",IF(tbTransactions[[#This Row],[Qty]]&lt;0,"Debit",IF(tbTransactions[[#This Row],[Qty]]&gt;0,"Credit","Neutral")))</f>
        <v>Debit</v>
      </c>
      <c r="L53" s="161" t="s">
        <v>533</v>
      </c>
      <c r="M53" s="111" t="s">
        <v>468</v>
      </c>
    </row>
    <row r="54" spans="3:13" ht="30" customHeight="1" x14ac:dyDescent="0.25">
      <c r="C54" s="26">
        <v>52</v>
      </c>
      <c r="D54" s="27">
        <v>44322</v>
      </c>
      <c r="E54" s="23">
        <v>50.527660349999998</v>
      </c>
      <c r="F54" s="23">
        <v>1.9970000000000001</v>
      </c>
      <c r="G54" s="24">
        <v>1</v>
      </c>
      <c r="H54" s="28">
        <f>tbTransactions[[#This Row],[Qty]]*tbTransactions[[#This Row],[Unit Cost]]*tbTransactions[[#This Row],[Exchange Rate]]</f>
        <v>100.90373771895</v>
      </c>
      <c r="I54" s="160" t="s">
        <v>531</v>
      </c>
      <c r="J54" s="29" t="s">
        <v>418</v>
      </c>
      <c r="K54" s="183" t="str">
        <f>IF(tbTransactions[[#This Row],[Sub-Type]]="Transfer","Neutral",IF(tbTransactions[[#This Row],[Qty]]&lt;0,"Debit",IF(tbTransactions[[#This Row],[Qty]]&gt;0,"Credit","Neutral")))</f>
        <v>Credit</v>
      </c>
      <c r="L54" s="161" t="s">
        <v>527</v>
      </c>
      <c r="M54" s="23"/>
    </row>
    <row r="55" spans="3:13" ht="30" customHeight="1" x14ac:dyDescent="0.25">
      <c r="C55" s="26">
        <v>53</v>
      </c>
      <c r="D55" s="27">
        <v>44322</v>
      </c>
      <c r="E55" s="23">
        <v>-49</v>
      </c>
      <c r="F55" s="23">
        <v>2.016</v>
      </c>
      <c r="G55" s="24">
        <v>1</v>
      </c>
      <c r="H55" s="28">
        <f>tbTransactions[[#This Row],[Qty]]*tbTransactions[[#This Row],[Unit Cost]]*tbTransactions[[#This Row],[Exchange Rate]]</f>
        <v>-98.784000000000006</v>
      </c>
      <c r="I55" s="160" t="s">
        <v>531</v>
      </c>
      <c r="J55" s="29" t="s">
        <v>418</v>
      </c>
      <c r="K55" s="183" t="str">
        <f>IF(tbTransactions[[#This Row],[Sub-Type]]="Transfer","Neutral",IF(tbTransactions[[#This Row],[Qty]]&lt;0,"Debit",IF(tbTransactions[[#This Row],[Qty]]&gt;0,"Credit","Neutral")))</f>
        <v>Debit</v>
      </c>
      <c r="L55" s="161" t="s">
        <v>528</v>
      </c>
      <c r="M55" s="23"/>
    </row>
    <row r="56" spans="3:13" ht="30" customHeight="1" x14ac:dyDescent="0.25">
      <c r="C56" s="26">
        <v>54</v>
      </c>
      <c r="D56" s="27">
        <v>44322</v>
      </c>
      <c r="E56" s="23">
        <v>49</v>
      </c>
      <c r="F56" s="23">
        <v>2.016</v>
      </c>
      <c r="G56" s="24">
        <v>1</v>
      </c>
      <c r="H56" s="28">
        <f>tbTransactions[[#This Row],[Qty]]*tbTransactions[[#This Row],[Unit Cost]]*tbTransactions[[#This Row],[Exchange Rate]]</f>
        <v>98.784000000000006</v>
      </c>
      <c r="I56" s="160" t="s">
        <v>531</v>
      </c>
      <c r="J56" s="29" t="s">
        <v>19</v>
      </c>
      <c r="K56" s="183" t="str">
        <f>IF(tbTransactions[[#This Row],[Sub-Type]]="Transfer","Neutral",IF(tbTransactions[[#This Row],[Qty]]&lt;0,"Debit",IF(tbTransactions[[#This Row],[Qty]]&gt;0,"Credit","Neutral")))</f>
        <v>Credit</v>
      </c>
      <c r="L56" s="161" t="s">
        <v>532</v>
      </c>
      <c r="M56" s="111" t="s">
        <v>469</v>
      </c>
    </row>
    <row r="57" spans="3:13" ht="30" customHeight="1" x14ac:dyDescent="0.25">
      <c r="C57" s="26">
        <v>55</v>
      </c>
      <c r="D57" s="27">
        <v>44323</v>
      </c>
      <c r="E57" s="23">
        <v>-3000</v>
      </c>
      <c r="F57" s="23">
        <v>1</v>
      </c>
      <c r="G57" s="24">
        <v>1</v>
      </c>
      <c r="H57" s="28">
        <f>tbTransactions[[#This Row],[Qty]]*tbTransactions[[#This Row],[Unit Cost]]*tbTransactions[[#This Row],[Exchange Rate]]</f>
        <v>-3000</v>
      </c>
      <c r="I57" s="160" t="s">
        <v>526</v>
      </c>
      <c r="J57" s="29" t="s">
        <v>418</v>
      </c>
      <c r="K57" s="183" t="str">
        <f>IF(tbTransactions[[#This Row],[Sub-Type]]="Transfer","Neutral",IF(tbTransactions[[#This Row],[Qty]]&lt;0,"Debit",IF(tbTransactions[[#This Row],[Qty]]&gt;0,"Credit","Neutral")))</f>
        <v>Debit</v>
      </c>
      <c r="L57" s="161" t="s">
        <v>529</v>
      </c>
      <c r="M57" s="23"/>
    </row>
    <row r="58" spans="3:13" ht="30" customHeight="1" x14ac:dyDescent="0.25">
      <c r="C58" s="26">
        <v>56</v>
      </c>
      <c r="D58" s="27">
        <v>44323</v>
      </c>
      <c r="E58" s="23">
        <v>3000</v>
      </c>
      <c r="F58" s="23">
        <v>1</v>
      </c>
      <c r="G58" s="24">
        <v>1</v>
      </c>
      <c r="H58" s="28">
        <f>tbTransactions[[#This Row],[Qty]]*tbTransactions[[#This Row],[Unit Cost]]*tbTransactions[[#This Row],[Exchange Rate]]</f>
        <v>3000</v>
      </c>
      <c r="I58" s="160" t="s">
        <v>531</v>
      </c>
      <c r="J58" s="29" t="s">
        <v>418</v>
      </c>
      <c r="K58" s="183" t="str">
        <f>IF(tbTransactions[[#This Row],[Sub-Type]]="Transfer","Neutral",IF(tbTransactions[[#This Row],[Qty]]&lt;0,"Debit",IF(tbTransactions[[#This Row],[Qty]]&gt;0,"Credit","Neutral")))</f>
        <v>Credit</v>
      </c>
      <c r="L58" s="161" t="s">
        <v>527</v>
      </c>
      <c r="M58" s="23"/>
    </row>
    <row r="59" spans="3:13" ht="30" customHeight="1" x14ac:dyDescent="0.25">
      <c r="C59" s="26">
        <v>57</v>
      </c>
      <c r="D59" s="27">
        <v>44323</v>
      </c>
      <c r="E59" s="23">
        <v>-3000</v>
      </c>
      <c r="F59" s="23">
        <v>1.4999999999999999E-2</v>
      </c>
      <c r="G59" s="24">
        <v>1</v>
      </c>
      <c r="H59" s="28">
        <f>tbTransactions[[#This Row],[Qty]]*tbTransactions[[#This Row],[Unit Cost]]*tbTransactions[[#This Row],[Exchange Rate]]</f>
        <v>-45</v>
      </c>
      <c r="I59" s="160" t="s">
        <v>531</v>
      </c>
      <c r="J59" s="29" t="s">
        <v>418</v>
      </c>
      <c r="K59" s="183" t="str">
        <f>IF(tbTransactions[[#This Row],[Sub-Type]]="Transfer","Neutral",IF(tbTransactions[[#This Row],[Qty]]&lt;0,"Debit",IF(tbTransactions[[#This Row],[Qty]]&gt;0,"Credit","Neutral")))</f>
        <v>Debit</v>
      </c>
      <c r="L59" s="161" t="s">
        <v>14</v>
      </c>
      <c r="M59" s="23"/>
    </row>
    <row r="60" spans="3:13" ht="30" customHeight="1" x14ac:dyDescent="0.25">
      <c r="C60" s="26">
        <v>58</v>
      </c>
      <c r="D60" s="27">
        <v>44323</v>
      </c>
      <c r="E60" s="23">
        <v>-475</v>
      </c>
      <c r="F60" s="23">
        <v>2.101</v>
      </c>
      <c r="G60" s="24">
        <v>1</v>
      </c>
      <c r="H60" s="28">
        <f>tbTransactions[[#This Row],[Qty]]*tbTransactions[[#This Row],[Unit Cost]]*tbTransactions[[#This Row],[Exchange Rate]]</f>
        <v>-997.97500000000002</v>
      </c>
      <c r="I60" s="160" t="s">
        <v>531</v>
      </c>
      <c r="J60" s="29" t="s">
        <v>418</v>
      </c>
      <c r="K60" s="183" t="str">
        <f>IF(tbTransactions[[#This Row],[Sub-Type]]="Transfer","Neutral",IF(tbTransactions[[#This Row],[Qty]]&lt;0,"Debit",IF(tbTransactions[[#This Row],[Qty]]&gt;0,"Credit","Neutral")))</f>
        <v>Debit</v>
      </c>
      <c r="L60" s="161" t="s">
        <v>528</v>
      </c>
      <c r="M60" s="23"/>
    </row>
    <row r="61" spans="3:13" ht="30" customHeight="1" x14ac:dyDescent="0.25">
      <c r="C61" s="26">
        <v>59</v>
      </c>
      <c r="D61" s="27">
        <v>44323</v>
      </c>
      <c r="E61" s="23">
        <v>475</v>
      </c>
      <c r="F61" s="23">
        <v>2.101</v>
      </c>
      <c r="G61" s="24">
        <v>1</v>
      </c>
      <c r="H61" s="28">
        <f>tbTransactions[[#This Row],[Qty]]*tbTransactions[[#This Row],[Unit Cost]]*tbTransactions[[#This Row],[Exchange Rate]]</f>
        <v>997.97500000000002</v>
      </c>
      <c r="I61" s="160" t="s">
        <v>531</v>
      </c>
      <c r="J61" s="29" t="s">
        <v>19</v>
      </c>
      <c r="K61" s="183" t="str">
        <f>IF(tbTransactions[[#This Row],[Sub-Type]]="Transfer","Neutral",IF(tbTransactions[[#This Row],[Qty]]&lt;0,"Debit",IF(tbTransactions[[#This Row],[Qty]]&gt;0,"Credit","Neutral")))</f>
        <v>Credit</v>
      </c>
      <c r="L61" s="161" t="s">
        <v>532</v>
      </c>
      <c r="M61" s="111" t="s">
        <v>469</v>
      </c>
    </row>
    <row r="62" spans="3:13" ht="30" customHeight="1" x14ac:dyDescent="0.25">
      <c r="C62" s="26">
        <v>60</v>
      </c>
      <c r="D62" s="27">
        <v>44323</v>
      </c>
      <c r="E62" s="23">
        <v>-1234.56790123</v>
      </c>
      <c r="F62" s="23">
        <v>0.81</v>
      </c>
      <c r="G62" s="24">
        <v>1</v>
      </c>
      <c r="H62" s="28">
        <f>tbTransactions[[#This Row],[Qty]]*tbTransactions[[#This Row],[Unit Cost]]*tbTransactions[[#This Row],[Exchange Rate]]</f>
        <v>-999.99999999630006</v>
      </c>
      <c r="I62" s="160" t="s">
        <v>531</v>
      </c>
      <c r="J62" s="29" t="s">
        <v>418</v>
      </c>
      <c r="K62" s="183" t="str">
        <f>IF(tbTransactions[[#This Row],[Sub-Type]]="Transfer","Neutral",IF(tbTransactions[[#This Row],[Qty]]&lt;0,"Debit",IF(tbTransactions[[#This Row],[Qty]]&gt;0,"Credit","Neutral")))</f>
        <v>Debit</v>
      </c>
      <c r="L62" s="161" t="s">
        <v>528</v>
      </c>
      <c r="M62" s="23"/>
    </row>
    <row r="63" spans="3:13" ht="30" customHeight="1" x14ac:dyDescent="0.25">
      <c r="C63" s="26">
        <v>61</v>
      </c>
      <c r="D63" s="27">
        <v>44323</v>
      </c>
      <c r="E63" s="23">
        <v>1234.56790123</v>
      </c>
      <c r="F63" s="23">
        <v>0.81</v>
      </c>
      <c r="G63" s="24">
        <v>1</v>
      </c>
      <c r="H63" s="28">
        <f>tbTransactions[[#This Row],[Qty]]*tbTransactions[[#This Row],[Unit Cost]]*tbTransactions[[#This Row],[Exchange Rate]]</f>
        <v>999.99999999630006</v>
      </c>
      <c r="I63" s="160" t="s">
        <v>531</v>
      </c>
      <c r="J63" s="29" t="s">
        <v>27</v>
      </c>
      <c r="K63" s="183" t="str">
        <f>IF(tbTransactions[[#This Row],[Sub-Type]]="Transfer","Neutral",IF(tbTransactions[[#This Row],[Qty]]&lt;0,"Debit",IF(tbTransactions[[#This Row],[Qty]]&gt;0,"Credit","Neutral")))</f>
        <v>Credit</v>
      </c>
      <c r="L63" s="161" t="s">
        <v>532</v>
      </c>
      <c r="M63" s="111" t="s">
        <v>467</v>
      </c>
    </row>
    <row r="64" spans="3:13" ht="30" customHeight="1" x14ac:dyDescent="0.25">
      <c r="C64" s="26">
        <v>62</v>
      </c>
      <c r="D64" s="27">
        <v>44323</v>
      </c>
      <c r="E64" s="23">
        <v>-75.705505279999997</v>
      </c>
      <c r="F64" s="23">
        <v>13.209</v>
      </c>
      <c r="G64" s="24">
        <v>1</v>
      </c>
      <c r="H64" s="28">
        <f>tbTransactions[[#This Row],[Qty]]*tbTransactions[[#This Row],[Unit Cost]]*tbTransactions[[#This Row],[Exchange Rate]]</f>
        <v>-999.99401924351992</v>
      </c>
      <c r="I64" s="160" t="s">
        <v>531</v>
      </c>
      <c r="J64" s="29" t="s">
        <v>418</v>
      </c>
      <c r="K64" s="183" t="str">
        <f>IF(tbTransactions[[#This Row],[Sub-Type]]="Transfer","Neutral",IF(tbTransactions[[#This Row],[Qty]]&lt;0,"Debit",IF(tbTransactions[[#This Row],[Qty]]&gt;0,"Credit","Neutral")))</f>
        <v>Debit</v>
      </c>
      <c r="L64" s="161" t="s">
        <v>528</v>
      </c>
      <c r="M64" s="23"/>
    </row>
    <row r="65" spans="3:13" ht="30" customHeight="1" x14ac:dyDescent="0.25">
      <c r="C65" s="26">
        <v>63</v>
      </c>
      <c r="D65" s="27">
        <v>44323</v>
      </c>
      <c r="E65" s="23">
        <v>75.705505279999997</v>
      </c>
      <c r="F65" s="23">
        <v>13.209</v>
      </c>
      <c r="G65" s="24">
        <v>1</v>
      </c>
      <c r="H65" s="28">
        <f>tbTransactions[[#This Row],[Qty]]*tbTransactions[[#This Row],[Unit Cost]]*tbTransactions[[#This Row],[Exchange Rate]]</f>
        <v>999.99401924351992</v>
      </c>
      <c r="I65" s="160" t="s">
        <v>531</v>
      </c>
      <c r="J65" s="29" t="s">
        <v>23</v>
      </c>
      <c r="K65" s="183" t="str">
        <f>IF(tbTransactions[[#This Row],[Sub-Type]]="Transfer","Neutral",IF(tbTransactions[[#This Row],[Qty]]&lt;0,"Debit",IF(tbTransactions[[#This Row],[Qty]]&gt;0,"Credit","Neutral")))</f>
        <v>Credit</v>
      </c>
      <c r="L65" s="161" t="s">
        <v>532</v>
      </c>
      <c r="M65" s="111" t="s">
        <v>465</v>
      </c>
    </row>
    <row r="66" spans="3:13" ht="30" customHeight="1" x14ac:dyDescent="0.25">
      <c r="C66" s="26">
        <v>64</v>
      </c>
      <c r="D66" s="27">
        <v>44324</v>
      </c>
      <c r="E66" s="23">
        <v>-2000</v>
      </c>
      <c r="F66" s="23">
        <v>1</v>
      </c>
      <c r="G66" s="24">
        <v>1</v>
      </c>
      <c r="H66" s="28">
        <f>tbTransactions[[#This Row],[Qty]]*tbTransactions[[#This Row],[Unit Cost]]*tbTransactions[[#This Row],[Exchange Rate]]</f>
        <v>-2000</v>
      </c>
      <c r="I66" s="160" t="s">
        <v>526</v>
      </c>
      <c r="J66" s="29" t="s">
        <v>418</v>
      </c>
      <c r="K66" s="183" t="str">
        <f>IF(tbTransactions[[#This Row],[Sub-Type]]="Transfer","Neutral",IF(tbTransactions[[#This Row],[Qty]]&lt;0,"Debit",IF(tbTransactions[[#This Row],[Qty]]&gt;0,"Credit","Neutral")))</f>
        <v>Debit</v>
      </c>
      <c r="L66" s="161" t="s">
        <v>529</v>
      </c>
      <c r="M66" s="23"/>
    </row>
    <row r="67" spans="3:13" ht="30" customHeight="1" x14ac:dyDescent="0.25">
      <c r="C67" s="26">
        <v>65</v>
      </c>
      <c r="D67" s="27">
        <v>44324</v>
      </c>
      <c r="E67" s="23">
        <v>2000</v>
      </c>
      <c r="F67" s="23">
        <v>1</v>
      </c>
      <c r="G67" s="24">
        <v>1</v>
      </c>
      <c r="H67" s="28">
        <f>tbTransactions[[#This Row],[Qty]]*tbTransactions[[#This Row],[Unit Cost]]*tbTransactions[[#This Row],[Exchange Rate]]</f>
        <v>2000</v>
      </c>
      <c r="I67" s="160" t="s">
        <v>531</v>
      </c>
      <c r="J67" s="29" t="s">
        <v>418</v>
      </c>
      <c r="K67" s="183" t="str">
        <f>IF(tbTransactions[[#This Row],[Sub-Type]]="Transfer","Neutral",IF(tbTransactions[[#This Row],[Qty]]&lt;0,"Debit",IF(tbTransactions[[#This Row],[Qty]]&gt;0,"Credit","Neutral")))</f>
        <v>Credit</v>
      </c>
      <c r="L67" s="161" t="s">
        <v>527</v>
      </c>
      <c r="M67" s="23"/>
    </row>
    <row r="68" spans="3:13" ht="30" customHeight="1" x14ac:dyDescent="0.25">
      <c r="C68" s="26">
        <v>66</v>
      </c>
      <c r="D68" s="27">
        <v>44324</v>
      </c>
      <c r="E68" s="23">
        <v>-2000</v>
      </c>
      <c r="F68" s="23">
        <v>1.4999999999999999E-2</v>
      </c>
      <c r="G68" s="24">
        <v>1</v>
      </c>
      <c r="H68" s="28">
        <f>tbTransactions[[#This Row],[Qty]]*tbTransactions[[#This Row],[Unit Cost]]*tbTransactions[[#This Row],[Exchange Rate]]</f>
        <v>-30</v>
      </c>
      <c r="I68" s="160" t="s">
        <v>531</v>
      </c>
      <c r="J68" s="29" t="s">
        <v>418</v>
      </c>
      <c r="K68" s="183" t="str">
        <f>IF(tbTransactions[[#This Row],[Sub-Type]]="Transfer","Neutral",IF(tbTransactions[[#This Row],[Qty]]&lt;0,"Debit",IF(tbTransactions[[#This Row],[Qty]]&gt;0,"Credit","Neutral")))</f>
        <v>Debit</v>
      </c>
      <c r="L68" s="161" t="s">
        <v>14</v>
      </c>
      <c r="M68" s="23"/>
    </row>
    <row r="69" spans="3:13" ht="30" customHeight="1" x14ac:dyDescent="0.25">
      <c r="C69" s="26">
        <v>67</v>
      </c>
      <c r="D69" s="27">
        <v>44324</v>
      </c>
      <c r="E69" s="23">
        <v>-0.41699999999999998</v>
      </c>
      <c r="F69" s="23">
        <v>4670</v>
      </c>
      <c r="G69" s="24">
        <v>1</v>
      </c>
      <c r="H69" s="28">
        <f>tbTransactions[[#This Row],[Qty]]*tbTransactions[[#This Row],[Unit Cost]]*tbTransactions[[#This Row],[Exchange Rate]]</f>
        <v>-1947.3899999999999</v>
      </c>
      <c r="I69" s="160" t="s">
        <v>531</v>
      </c>
      <c r="J69" s="29" t="s">
        <v>418</v>
      </c>
      <c r="K69" s="183" t="str">
        <f>IF(tbTransactions[[#This Row],[Sub-Type]]="Transfer","Neutral",IF(tbTransactions[[#This Row],[Qty]]&lt;0,"Debit",IF(tbTransactions[[#This Row],[Qty]]&gt;0,"Credit","Neutral")))</f>
        <v>Debit</v>
      </c>
      <c r="L69" s="161" t="s">
        <v>528</v>
      </c>
      <c r="M69" s="23"/>
    </row>
    <row r="70" spans="3:13" ht="30" customHeight="1" x14ac:dyDescent="0.25">
      <c r="C70" s="26">
        <v>68</v>
      </c>
      <c r="D70" s="27">
        <v>44324</v>
      </c>
      <c r="E70" s="23">
        <v>0.41699999999999998</v>
      </c>
      <c r="F70" s="23">
        <v>4670</v>
      </c>
      <c r="G70" s="24">
        <v>1</v>
      </c>
      <c r="H70" s="28">
        <f>tbTransactions[[#This Row],[Qty]]*tbTransactions[[#This Row],[Unit Cost]]*tbTransactions[[#This Row],[Exchange Rate]]</f>
        <v>1947.3899999999999</v>
      </c>
      <c r="I70" s="160" t="s">
        <v>531</v>
      </c>
      <c r="J70" s="29" t="s">
        <v>24</v>
      </c>
      <c r="K70" s="183" t="str">
        <f>IF(tbTransactions[[#This Row],[Sub-Type]]="Transfer","Neutral",IF(tbTransactions[[#This Row],[Qty]]&lt;0,"Debit",IF(tbTransactions[[#This Row],[Qty]]&gt;0,"Credit","Neutral")))</f>
        <v>Credit</v>
      </c>
      <c r="L70" s="161" t="s">
        <v>532</v>
      </c>
      <c r="M70" s="111" t="s">
        <v>454</v>
      </c>
    </row>
    <row r="71" spans="3:13" ht="30" customHeight="1" x14ac:dyDescent="0.25">
      <c r="C71" s="26">
        <v>69</v>
      </c>
      <c r="D71" s="27">
        <v>44326</v>
      </c>
      <c r="E71" s="23">
        <v>-2000</v>
      </c>
      <c r="F71" s="23">
        <v>1</v>
      </c>
      <c r="G71" s="24">
        <v>1</v>
      </c>
      <c r="H71" s="28">
        <f>tbTransactions[[#This Row],[Qty]]*tbTransactions[[#This Row],[Unit Cost]]*tbTransactions[[#This Row],[Exchange Rate]]</f>
        <v>-2000</v>
      </c>
      <c r="I71" s="160" t="s">
        <v>526</v>
      </c>
      <c r="J71" s="29" t="s">
        <v>418</v>
      </c>
      <c r="K71" s="183" t="str">
        <f>IF(tbTransactions[[#This Row],[Sub-Type]]="Transfer","Neutral",IF(tbTransactions[[#This Row],[Qty]]&lt;0,"Debit",IF(tbTransactions[[#This Row],[Qty]]&gt;0,"Credit","Neutral")))</f>
        <v>Debit</v>
      </c>
      <c r="L71" s="161" t="s">
        <v>529</v>
      </c>
      <c r="M71" s="23"/>
    </row>
    <row r="72" spans="3:13" ht="30" customHeight="1" x14ac:dyDescent="0.25">
      <c r="C72" s="26">
        <v>70</v>
      </c>
      <c r="D72" s="27">
        <v>44326</v>
      </c>
      <c r="E72" s="23">
        <v>2000</v>
      </c>
      <c r="F72" s="23">
        <v>1</v>
      </c>
      <c r="G72" s="24">
        <v>1</v>
      </c>
      <c r="H72" s="28">
        <f>tbTransactions[[#This Row],[Qty]]*tbTransactions[[#This Row],[Unit Cost]]*tbTransactions[[#This Row],[Exchange Rate]]</f>
        <v>2000</v>
      </c>
      <c r="I72" s="160" t="s">
        <v>531</v>
      </c>
      <c r="J72" s="29" t="s">
        <v>418</v>
      </c>
      <c r="K72" s="183" t="str">
        <f>IF(tbTransactions[[#This Row],[Sub-Type]]="Transfer","Neutral",IF(tbTransactions[[#This Row],[Qty]]&lt;0,"Debit",IF(tbTransactions[[#This Row],[Qty]]&gt;0,"Credit","Neutral")))</f>
        <v>Credit</v>
      </c>
      <c r="L72" s="161" t="s">
        <v>527</v>
      </c>
      <c r="M72" s="23"/>
    </row>
    <row r="73" spans="3:13" ht="30" customHeight="1" x14ac:dyDescent="0.25">
      <c r="C73" s="26">
        <v>71</v>
      </c>
      <c r="D73" s="27">
        <v>44326</v>
      </c>
      <c r="E73" s="23">
        <v>-2000</v>
      </c>
      <c r="F73" s="23">
        <v>1.4999999999999999E-2</v>
      </c>
      <c r="G73" s="24">
        <v>1</v>
      </c>
      <c r="H73" s="28">
        <f>tbTransactions[[#This Row],[Qty]]*tbTransactions[[#This Row],[Unit Cost]]*tbTransactions[[#This Row],[Exchange Rate]]</f>
        <v>-30</v>
      </c>
      <c r="I73" s="160" t="s">
        <v>531</v>
      </c>
      <c r="J73" s="29" t="s">
        <v>418</v>
      </c>
      <c r="K73" s="183" t="str">
        <f>IF(tbTransactions[[#This Row],[Sub-Type]]="Transfer","Neutral",IF(tbTransactions[[#This Row],[Qty]]&lt;0,"Debit",IF(tbTransactions[[#This Row],[Qty]]&gt;0,"Credit","Neutral")))</f>
        <v>Debit</v>
      </c>
      <c r="L73" s="161" t="s">
        <v>14</v>
      </c>
      <c r="M73" s="23"/>
    </row>
    <row r="74" spans="3:13" ht="30" customHeight="1" x14ac:dyDescent="0.25">
      <c r="C74" s="26">
        <v>72</v>
      </c>
      <c r="D74" s="27">
        <v>44326</v>
      </c>
      <c r="E74" s="23">
        <v>-10.3</v>
      </c>
      <c r="F74" s="23">
        <v>2.09</v>
      </c>
      <c r="G74" s="24">
        <v>1</v>
      </c>
      <c r="H74" s="28">
        <f>tbTransactions[[#This Row],[Qty]]*tbTransactions[[#This Row],[Unit Cost]]*tbTransactions[[#This Row],[Exchange Rate]]</f>
        <v>-21.527000000000001</v>
      </c>
      <c r="I74" s="160" t="s">
        <v>531</v>
      </c>
      <c r="J74" s="29" t="s">
        <v>418</v>
      </c>
      <c r="K74" s="183" t="str">
        <f>IF(tbTransactions[[#This Row],[Sub-Type]]="Transfer","Neutral",IF(tbTransactions[[#This Row],[Qty]]&lt;0,"Debit",IF(tbTransactions[[#This Row],[Qty]]&gt;0,"Credit","Neutral")))</f>
        <v>Debit</v>
      </c>
      <c r="L74" s="161" t="s">
        <v>528</v>
      </c>
      <c r="M74" s="23"/>
    </row>
    <row r="75" spans="3:13" ht="30" customHeight="1" x14ac:dyDescent="0.25">
      <c r="C75" s="26">
        <v>73</v>
      </c>
      <c r="D75" s="27">
        <v>44326</v>
      </c>
      <c r="E75" s="23">
        <v>10.3</v>
      </c>
      <c r="F75" s="23">
        <v>2.09</v>
      </c>
      <c r="G75" s="24">
        <v>1</v>
      </c>
      <c r="H75" s="28">
        <f>tbTransactions[[#This Row],[Qty]]*tbTransactions[[#This Row],[Unit Cost]]*tbTransactions[[#This Row],[Exchange Rate]]</f>
        <v>21.527000000000001</v>
      </c>
      <c r="I75" s="160" t="s">
        <v>531</v>
      </c>
      <c r="J75" s="29" t="s">
        <v>19</v>
      </c>
      <c r="K75" s="183" t="str">
        <f>IF(tbTransactions[[#This Row],[Sub-Type]]="Transfer","Neutral",IF(tbTransactions[[#This Row],[Qty]]&lt;0,"Debit",IF(tbTransactions[[#This Row],[Qty]]&gt;0,"Credit","Neutral")))</f>
        <v>Credit</v>
      </c>
      <c r="L75" s="161" t="s">
        <v>532</v>
      </c>
      <c r="M75" s="111" t="s">
        <v>469</v>
      </c>
    </row>
    <row r="76" spans="3:13" ht="30" customHeight="1" x14ac:dyDescent="0.25">
      <c r="C76" s="26">
        <v>74</v>
      </c>
      <c r="D76" s="27">
        <v>44326</v>
      </c>
      <c r="E76" s="23">
        <v>-800</v>
      </c>
      <c r="F76" s="23">
        <v>2.09</v>
      </c>
      <c r="G76" s="24">
        <v>1</v>
      </c>
      <c r="H76" s="28">
        <f>tbTransactions[[#This Row],[Qty]]*tbTransactions[[#This Row],[Unit Cost]]*tbTransactions[[#This Row],[Exchange Rate]]</f>
        <v>-1672</v>
      </c>
      <c r="I76" s="160" t="s">
        <v>531</v>
      </c>
      <c r="J76" s="29" t="s">
        <v>418</v>
      </c>
      <c r="K76" s="183" t="str">
        <f>IF(tbTransactions[[#This Row],[Sub-Type]]="Transfer","Neutral",IF(tbTransactions[[#This Row],[Qty]]&lt;0,"Debit",IF(tbTransactions[[#This Row],[Qty]]&gt;0,"Credit","Neutral")))</f>
        <v>Debit</v>
      </c>
      <c r="L76" s="161" t="s">
        <v>528</v>
      </c>
      <c r="M76" s="23"/>
    </row>
    <row r="77" spans="3:13" ht="30" customHeight="1" x14ac:dyDescent="0.25">
      <c r="C77" s="26">
        <v>75</v>
      </c>
      <c r="D77" s="27">
        <v>44326</v>
      </c>
      <c r="E77" s="23">
        <v>800</v>
      </c>
      <c r="F77" s="23">
        <v>2.09</v>
      </c>
      <c r="G77" s="24">
        <v>1</v>
      </c>
      <c r="H77" s="28">
        <f>tbTransactions[[#This Row],[Qty]]*tbTransactions[[#This Row],[Unit Cost]]*tbTransactions[[#This Row],[Exchange Rate]]</f>
        <v>1672</v>
      </c>
      <c r="I77" s="160" t="s">
        <v>531</v>
      </c>
      <c r="J77" s="29" t="s">
        <v>19</v>
      </c>
      <c r="K77" s="183" t="str">
        <f>IF(tbTransactions[[#This Row],[Sub-Type]]="Transfer","Neutral",IF(tbTransactions[[#This Row],[Qty]]&lt;0,"Debit",IF(tbTransactions[[#This Row],[Qty]]&gt;0,"Credit","Neutral")))</f>
        <v>Credit</v>
      </c>
      <c r="L77" s="161" t="s">
        <v>532</v>
      </c>
      <c r="M77" s="111" t="s">
        <v>469</v>
      </c>
    </row>
    <row r="78" spans="3:13" ht="30" customHeight="1" x14ac:dyDescent="0.25">
      <c r="C78" s="26">
        <v>76</v>
      </c>
      <c r="D78" s="27">
        <v>44326</v>
      </c>
      <c r="E78" s="23">
        <v>-146.69999999999999</v>
      </c>
      <c r="F78" s="23">
        <v>2.09</v>
      </c>
      <c r="G78" s="24">
        <v>1</v>
      </c>
      <c r="H78" s="28">
        <f>tbTransactions[[#This Row],[Qty]]*tbTransactions[[#This Row],[Unit Cost]]*tbTransactions[[#This Row],[Exchange Rate]]</f>
        <v>-306.60299999999995</v>
      </c>
      <c r="I78" s="160" t="s">
        <v>531</v>
      </c>
      <c r="J78" s="29" t="s">
        <v>418</v>
      </c>
      <c r="K78" s="183" t="str">
        <f>IF(tbTransactions[[#This Row],[Sub-Type]]="Transfer","Neutral",IF(tbTransactions[[#This Row],[Qty]]&lt;0,"Debit",IF(tbTransactions[[#This Row],[Qty]]&gt;0,"Credit","Neutral")))</f>
        <v>Debit</v>
      </c>
      <c r="L78" s="161" t="s">
        <v>528</v>
      </c>
      <c r="M78" s="23"/>
    </row>
    <row r="79" spans="3:13" ht="30" customHeight="1" x14ac:dyDescent="0.25">
      <c r="C79" s="26">
        <v>77</v>
      </c>
      <c r="D79" s="27">
        <v>44326</v>
      </c>
      <c r="E79" s="23">
        <v>146.69999999999999</v>
      </c>
      <c r="F79" s="23">
        <v>2.09</v>
      </c>
      <c r="G79" s="24">
        <v>1</v>
      </c>
      <c r="H79" s="28">
        <f>tbTransactions[[#This Row],[Qty]]*tbTransactions[[#This Row],[Unit Cost]]*tbTransactions[[#This Row],[Exchange Rate]]</f>
        <v>306.60299999999995</v>
      </c>
      <c r="I79" s="160" t="s">
        <v>531</v>
      </c>
      <c r="J79" s="29" t="s">
        <v>19</v>
      </c>
      <c r="K79" s="183" t="str">
        <f>IF(tbTransactions[[#This Row],[Sub-Type]]="Transfer","Neutral",IF(tbTransactions[[#This Row],[Qty]]&lt;0,"Debit",IF(tbTransactions[[#This Row],[Qty]]&gt;0,"Credit","Neutral")))</f>
        <v>Credit</v>
      </c>
      <c r="L79" s="161" t="s">
        <v>532</v>
      </c>
      <c r="M79" s="111" t="s">
        <v>469</v>
      </c>
    </row>
    <row r="80" spans="3:13" ht="30" customHeight="1" x14ac:dyDescent="0.25">
      <c r="C80" s="26">
        <v>78</v>
      </c>
      <c r="D80" s="27">
        <v>44327</v>
      </c>
      <c r="E80" s="23">
        <v>-5</v>
      </c>
      <c r="F80" s="23">
        <v>1</v>
      </c>
      <c r="G80" s="24">
        <v>1</v>
      </c>
      <c r="H80" s="28">
        <f>tbTransactions[[#This Row],[Qty]]*tbTransactions[[#This Row],[Unit Cost]]*tbTransactions[[#This Row],[Exchange Rate]]</f>
        <v>-5</v>
      </c>
      <c r="I80" s="160" t="s">
        <v>531</v>
      </c>
      <c r="J80" s="29" t="s">
        <v>19</v>
      </c>
      <c r="K80" s="183" t="str">
        <f>IF(tbTransactions[[#This Row],[Sub-Type]]="Transfer","Neutral",IF(tbTransactions[[#This Row],[Qty]]&lt;0,"Debit",IF(tbTransactions[[#This Row],[Qty]]&gt;0,"Credit","Neutral")))</f>
        <v>Neutral</v>
      </c>
      <c r="L80" s="29" t="s">
        <v>39</v>
      </c>
      <c r="M80" s="172" t="s">
        <v>42</v>
      </c>
    </row>
    <row r="81" spans="3:13" ht="30" customHeight="1" x14ac:dyDescent="0.25">
      <c r="C81" s="26">
        <v>79</v>
      </c>
      <c r="D81" s="27">
        <v>44327</v>
      </c>
      <c r="E81" s="23">
        <v>5</v>
      </c>
      <c r="F81" s="23">
        <v>1</v>
      </c>
      <c r="G81" s="24">
        <v>1</v>
      </c>
      <c r="H81" s="28">
        <f>tbTransactions[[#This Row],[Qty]]*tbTransactions[[#This Row],[Unit Cost]]*tbTransactions[[#This Row],[Exchange Rate]]</f>
        <v>5</v>
      </c>
      <c r="I81" s="160" t="s">
        <v>534</v>
      </c>
      <c r="J81" s="29" t="s">
        <v>19</v>
      </c>
      <c r="K81" s="183" t="str">
        <f>IF(tbTransactions[[#This Row],[Sub-Type]]="Transfer","Neutral",IF(tbTransactions[[#This Row],[Qty]]&lt;0,"Debit",IF(tbTransactions[[#This Row],[Qty]]&gt;0,"Credit","Neutral")))</f>
        <v>Neutral</v>
      </c>
      <c r="L81" s="29" t="s">
        <v>39</v>
      </c>
      <c r="M81" s="172" t="s">
        <v>42</v>
      </c>
    </row>
    <row r="82" spans="3:13" ht="30" customHeight="1" x14ac:dyDescent="0.25">
      <c r="C82" s="26">
        <v>80</v>
      </c>
      <c r="D82" s="27">
        <v>44327</v>
      </c>
      <c r="E82" s="23">
        <v>-1475.2628629999999</v>
      </c>
      <c r="F82" s="23">
        <v>1</v>
      </c>
      <c r="G82" s="24">
        <v>1</v>
      </c>
      <c r="H82" s="28">
        <f>tbTransactions[[#This Row],[Qty]]*tbTransactions[[#This Row],[Unit Cost]]*tbTransactions[[#This Row],[Exchange Rate]]</f>
        <v>-1475.2628629999999</v>
      </c>
      <c r="I82" s="21" t="s">
        <v>531</v>
      </c>
      <c r="J82" s="29" t="s">
        <v>19</v>
      </c>
      <c r="K82" s="183" t="str">
        <f>IF(tbTransactions[[#This Row],[Sub-Type]]="Transfer","Neutral",IF(tbTransactions[[#This Row],[Qty]]&lt;0,"Debit",IF(tbTransactions[[#This Row],[Qty]]&gt;0,"Credit","Neutral")))</f>
        <v>Neutral</v>
      </c>
      <c r="L82" s="29" t="s">
        <v>39</v>
      </c>
      <c r="M82" s="172" t="s">
        <v>42</v>
      </c>
    </row>
    <row r="83" spans="3:13" ht="30" customHeight="1" x14ac:dyDescent="0.25">
      <c r="C83" s="26">
        <v>81</v>
      </c>
      <c r="D83" s="27">
        <v>44327</v>
      </c>
      <c r="E83" s="23">
        <v>1475.2628629999999</v>
      </c>
      <c r="F83" s="23">
        <v>1</v>
      </c>
      <c r="G83" s="24">
        <v>1</v>
      </c>
      <c r="H83" s="28">
        <f>tbTransactions[[#This Row],[Qty]]*tbTransactions[[#This Row],[Unit Cost]]*tbTransactions[[#This Row],[Exchange Rate]]</f>
        <v>1475.2628629999999</v>
      </c>
      <c r="I83" s="21" t="s">
        <v>534</v>
      </c>
      <c r="J83" s="29" t="s">
        <v>19</v>
      </c>
      <c r="K83" s="183" t="str">
        <f>IF(tbTransactions[[#This Row],[Sub-Type]]="Transfer","Neutral",IF(tbTransactions[[#This Row],[Qty]]&lt;0,"Debit",IF(tbTransactions[[#This Row],[Qty]]&gt;0,"Credit","Neutral")))</f>
        <v>Neutral</v>
      </c>
      <c r="L83" s="29" t="s">
        <v>39</v>
      </c>
      <c r="M83" s="172" t="s">
        <v>42</v>
      </c>
    </row>
    <row r="84" spans="3:13" ht="30" customHeight="1" x14ac:dyDescent="0.25">
      <c r="C84" s="26">
        <v>82</v>
      </c>
      <c r="D84" s="27">
        <v>44327</v>
      </c>
      <c r="E84" s="23">
        <v>-5.7371370000000752</v>
      </c>
      <c r="F84" s="23">
        <v>1</v>
      </c>
      <c r="G84" s="24">
        <v>1</v>
      </c>
      <c r="H84" s="28">
        <f>tbTransactions[[#This Row],[Qty]]*tbTransactions[[#This Row],[Unit Cost]]*tbTransactions[[#This Row],[Exchange Rate]]</f>
        <v>-5.7371370000000752</v>
      </c>
      <c r="I84" s="21" t="s">
        <v>534</v>
      </c>
      <c r="J84" s="29" t="s">
        <v>19</v>
      </c>
      <c r="K84" s="183" t="str">
        <f>IF(tbTransactions[[#This Row],[Sub-Type]]="Transfer","Neutral",IF(tbTransactions[[#This Row],[Qty]]&lt;0,"Debit",IF(tbTransactions[[#This Row],[Qty]]&gt;0,"Credit","Neutral")))</f>
        <v>Debit</v>
      </c>
      <c r="L84" s="174" t="s">
        <v>14</v>
      </c>
      <c r="M84" s="23"/>
    </row>
    <row r="85" spans="3:13" ht="30" customHeight="1" x14ac:dyDescent="0.25">
      <c r="C85" s="26">
        <v>83</v>
      </c>
      <c r="D85" s="27">
        <v>44329</v>
      </c>
      <c r="E85" s="23">
        <v>-3000</v>
      </c>
      <c r="F85" s="23">
        <v>1</v>
      </c>
      <c r="G85" s="24">
        <v>1</v>
      </c>
      <c r="H85" s="28">
        <f>tbTransactions[[#This Row],[Qty]]*tbTransactions[[#This Row],[Unit Cost]]*tbTransactions[[#This Row],[Exchange Rate]]</f>
        <v>-3000</v>
      </c>
      <c r="I85" s="21" t="s">
        <v>526</v>
      </c>
      <c r="J85" s="29" t="s">
        <v>418</v>
      </c>
      <c r="K85" s="183" t="str">
        <f>IF(tbTransactions[[#This Row],[Sub-Type]]="Transfer","Neutral",IF(tbTransactions[[#This Row],[Qty]]&lt;0,"Debit",IF(tbTransactions[[#This Row],[Qty]]&gt;0,"Credit","Neutral")))</f>
        <v>Debit</v>
      </c>
      <c r="L85" s="161" t="s">
        <v>529</v>
      </c>
      <c r="M85" s="23"/>
    </row>
    <row r="86" spans="3:13" ht="30" customHeight="1" x14ac:dyDescent="0.25">
      <c r="C86" s="26">
        <v>84</v>
      </c>
      <c r="D86" s="27">
        <v>44329</v>
      </c>
      <c r="E86" s="23">
        <v>3000</v>
      </c>
      <c r="F86" s="23">
        <v>1</v>
      </c>
      <c r="G86" s="24">
        <v>1</v>
      </c>
      <c r="H86" s="28">
        <f>tbTransactions[[#This Row],[Qty]]*tbTransactions[[#This Row],[Unit Cost]]*tbTransactions[[#This Row],[Exchange Rate]]</f>
        <v>3000</v>
      </c>
      <c r="I86" s="21" t="s">
        <v>535</v>
      </c>
      <c r="J86" s="29" t="s">
        <v>418</v>
      </c>
      <c r="K86" s="183" t="str">
        <f>IF(tbTransactions[[#This Row],[Sub-Type]]="Transfer","Neutral",IF(tbTransactions[[#This Row],[Qty]]&lt;0,"Debit",IF(tbTransactions[[#This Row],[Qty]]&gt;0,"Credit","Neutral")))</f>
        <v>Credit</v>
      </c>
      <c r="L86" s="174" t="s">
        <v>527</v>
      </c>
      <c r="M86" s="23"/>
    </row>
    <row r="87" spans="3:13" ht="30" customHeight="1" x14ac:dyDescent="0.25">
      <c r="C87" s="26">
        <v>85</v>
      </c>
      <c r="D87" s="27">
        <v>44329</v>
      </c>
      <c r="E87" s="23">
        <v>-44.33</v>
      </c>
      <c r="F87" s="23">
        <v>1</v>
      </c>
      <c r="G87" s="24">
        <v>1</v>
      </c>
      <c r="H87" s="28">
        <f>tbTransactions[[#This Row],[Qty]]*tbTransactions[[#This Row],[Unit Cost]]*tbTransactions[[#This Row],[Exchange Rate]]</f>
        <v>-44.33</v>
      </c>
      <c r="I87" s="21" t="s">
        <v>535</v>
      </c>
      <c r="J87" s="29" t="s">
        <v>418</v>
      </c>
      <c r="K87" s="183" t="str">
        <f>IF(tbTransactions[[#This Row],[Sub-Type]]="Transfer","Neutral",IF(tbTransactions[[#This Row],[Qty]]&lt;0,"Debit",IF(tbTransactions[[#This Row],[Qty]]&gt;0,"Credit","Neutral")))</f>
        <v>Debit</v>
      </c>
      <c r="L87" s="174" t="s">
        <v>14</v>
      </c>
      <c r="M87" s="23"/>
    </row>
    <row r="88" spans="3:13" ht="30" customHeight="1" x14ac:dyDescent="0.25">
      <c r="C88" s="26">
        <v>86</v>
      </c>
      <c r="D88" s="27">
        <v>44329</v>
      </c>
      <c r="E88" s="23">
        <v>-0.64323611999999997</v>
      </c>
      <c r="F88" s="23">
        <v>4591.1000000000004</v>
      </c>
      <c r="G88" s="24">
        <v>1</v>
      </c>
      <c r="H88" s="28">
        <f>tbTransactions[[#This Row],[Qty]]*tbTransactions[[#This Row],[Unit Cost]]*tbTransactions[[#This Row],[Exchange Rate]]</f>
        <v>-2953.1613505320001</v>
      </c>
      <c r="I88" s="21" t="s">
        <v>535</v>
      </c>
      <c r="J88" s="29" t="s">
        <v>418</v>
      </c>
      <c r="K88" s="183" t="str">
        <f>IF(tbTransactions[[#This Row],[Sub-Type]]="Transfer","Neutral",IF(tbTransactions[[#This Row],[Qty]]&lt;0,"Debit",IF(tbTransactions[[#This Row],[Qty]]&gt;0,"Credit","Neutral")))</f>
        <v>Debit</v>
      </c>
      <c r="L88" s="174" t="s">
        <v>528</v>
      </c>
      <c r="M88" s="23"/>
    </row>
    <row r="89" spans="3:13" ht="30" customHeight="1" x14ac:dyDescent="0.25">
      <c r="C89" s="26">
        <v>87</v>
      </c>
      <c r="D89" s="27">
        <v>44329</v>
      </c>
      <c r="E89" s="23">
        <v>0.64323611999999997</v>
      </c>
      <c r="F89" s="23">
        <v>4591.1000000000004</v>
      </c>
      <c r="G89" s="24">
        <v>1</v>
      </c>
      <c r="H89" s="28">
        <f>tbTransactions[[#This Row],[Qty]]*tbTransactions[[#This Row],[Unit Cost]]*tbTransactions[[#This Row],[Exchange Rate]]</f>
        <v>2953.1613505320001</v>
      </c>
      <c r="I89" s="21" t="s">
        <v>535</v>
      </c>
      <c r="J89" s="29" t="s">
        <v>24</v>
      </c>
      <c r="K89" s="183" t="str">
        <f>IF(tbTransactions[[#This Row],[Sub-Type]]="Transfer","Neutral",IF(tbTransactions[[#This Row],[Qty]]&lt;0,"Debit",IF(tbTransactions[[#This Row],[Qty]]&gt;0,"Credit","Neutral")))</f>
        <v>Credit</v>
      </c>
      <c r="L89" s="174" t="s">
        <v>532</v>
      </c>
      <c r="M89" s="111" t="s">
        <v>454</v>
      </c>
    </row>
    <row r="90" spans="3:13" ht="30" customHeight="1" x14ac:dyDescent="0.25">
      <c r="C90" s="26">
        <v>88</v>
      </c>
      <c r="D90" s="27">
        <v>44331</v>
      </c>
      <c r="E90" s="23">
        <v>-3000</v>
      </c>
      <c r="F90" s="23">
        <v>1</v>
      </c>
      <c r="G90" s="24">
        <v>1</v>
      </c>
      <c r="H90" s="28">
        <f>tbTransactions[[#This Row],[Qty]]*tbTransactions[[#This Row],[Unit Cost]]*tbTransactions[[#This Row],[Exchange Rate]]</f>
        <v>-3000</v>
      </c>
      <c r="I90" s="21" t="s">
        <v>526</v>
      </c>
      <c r="J90" s="29" t="s">
        <v>418</v>
      </c>
      <c r="K90" s="183" t="str">
        <f>IF(tbTransactions[[#This Row],[Sub-Type]]="Transfer","Neutral",IF(tbTransactions[[#This Row],[Qty]]&lt;0,"Debit",IF(tbTransactions[[#This Row],[Qty]]&gt;0,"Credit","Neutral")))</f>
        <v>Debit</v>
      </c>
      <c r="L90" s="161" t="s">
        <v>529</v>
      </c>
      <c r="M90" s="23"/>
    </row>
    <row r="91" spans="3:13" ht="30" customHeight="1" x14ac:dyDescent="0.25">
      <c r="C91" s="26">
        <v>89</v>
      </c>
      <c r="D91" s="27">
        <v>44331</v>
      </c>
      <c r="E91" s="23">
        <v>3000</v>
      </c>
      <c r="F91" s="23">
        <v>1</v>
      </c>
      <c r="G91" s="24">
        <v>1</v>
      </c>
      <c r="H91" s="28">
        <f>tbTransactions[[#This Row],[Qty]]*tbTransactions[[#This Row],[Unit Cost]]*tbTransactions[[#This Row],[Exchange Rate]]</f>
        <v>3000</v>
      </c>
      <c r="I91" s="21" t="s">
        <v>536</v>
      </c>
      <c r="J91" s="29" t="s">
        <v>418</v>
      </c>
      <c r="K91" s="183" t="str">
        <f>IF(tbTransactions[[#This Row],[Sub-Type]]="Transfer","Neutral",IF(tbTransactions[[#This Row],[Qty]]&lt;0,"Debit",IF(tbTransactions[[#This Row],[Qty]]&gt;0,"Credit","Neutral")))</f>
        <v>Credit</v>
      </c>
      <c r="L91" s="174" t="s">
        <v>527</v>
      </c>
      <c r="M91" s="23"/>
    </row>
    <row r="92" spans="3:13" ht="30" customHeight="1" x14ac:dyDescent="0.25">
      <c r="C92" s="26">
        <v>90</v>
      </c>
      <c r="D92" s="27">
        <v>44331</v>
      </c>
      <c r="E92" s="23">
        <v>-2984.9999732032002</v>
      </c>
      <c r="F92" s="23">
        <v>1</v>
      </c>
      <c r="G92" s="24">
        <v>1</v>
      </c>
      <c r="H92" s="28">
        <f>tbTransactions[[#This Row],[Qty]]*tbTransactions[[#This Row],[Unit Cost]]*tbTransactions[[#This Row],[Exchange Rate]]</f>
        <v>-2984.9999732032002</v>
      </c>
      <c r="I92" s="21" t="s">
        <v>536</v>
      </c>
      <c r="J92" s="29" t="s">
        <v>418</v>
      </c>
      <c r="K92" s="183" t="str">
        <f>IF(tbTransactions[[#This Row],[Sub-Type]]="Transfer","Neutral",IF(tbTransactions[[#This Row],[Qty]]&lt;0,"Debit",IF(tbTransactions[[#This Row],[Qty]]&gt;0,"Credit","Neutral")))</f>
        <v>Debit</v>
      </c>
      <c r="L92" s="174" t="s">
        <v>528</v>
      </c>
      <c r="M92" s="23"/>
    </row>
    <row r="93" spans="3:13" ht="30" customHeight="1" x14ac:dyDescent="0.25">
      <c r="C93" s="26">
        <v>91</v>
      </c>
      <c r="D93" s="27">
        <v>44331</v>
      </c>
      <c r="E93" s="23">
        <v>0.62596463000000002</v>
      </c>
      <c r="F93" s="23">
        <v>4768.6400000000003</v>
      </c>
      <c r="G93" s="24">
        <v>1</v>
      </c>
      <c r="H93" s="28">
        <f>tbTransactions[[#This Row],[Qty]]*tbTransactions[[#This Row],[Unit Cost]]*tbTransactions[[#This Row],[Exchange Rate]]</f>
        <v>2984.9999732032002</v>
      </c>
      <c r="I93" s="21" t="s">
        <v>536</v>
      </c>
      <c r="J93" s="29" t="s">
        <v>24</v>
      </c>
      <c r="K93" s="183" t="str">
        <f>IF(tbTransactions[[#This Row],[Sub-Type]]="Transfer","Neutral",IF(tbTransactions[[#This Row],[Qty]]&lt;0,"Debit",IF(tbTransactions[[#This Row],[Qty]]&gt;0,"Credit","Neutral")))</f>
        <v>Credit</v>
      </c>
      <c r="L93" s="174" t="s">
        <v>532</v>
      </c>
      <c r="M93" s="111" t="s">
        <v>454</v>
      </c>
    </row>
    <row r="94" spans="3:13" ht="30" customHeight="1" x14ac:dyDescent="0.25">
      <c r="C94" s="26">
        <v>92</v>
      </c>
      <c r="D94" s="27">
        <v>44331</v>
      </c>
      <c r="E94" s="23">
        <v>-14.924999866016002</v>
      </c>
      <c r="F94" s="23">
        <v>1</v>
      </c>
      <c r="G94" s="24">
        <v>1</v>
      </c>
      <c r="H94" s="28">
        <f>tbTransactions[[#This Row],[Qty]]*tbTransactions[[#This Row],[Unit Cost]]*tbTransactions[[#This Row],[Exchange Rate]]</f>
        <v>-14.924999866016002</v>
      </c>
      <c r="I94" s="21" t="s">
        <v>536</v>
      </c>
      <c r="J94" s="29" t="s">
        <v>418</v>
      </c>
      <c r="K94" s="183" t="str">
        <f>IF(tbTransactions[[#This Row],[Sub-Type]]="Transfer","Neutral",IF(tbTransactions[[#This Row],[Qty]]&lt;0,"Debit",IF(tbTransactions[[#This Row],[Qty]]&gt;0,"Credit","Neutral")))</f>
        <v>Debit</v>
      </c>
      <c r="L94" s="174" t="s">
        <v>14</v>
      </c>
      <c r="M94" s="23"/>
    </row>
    <row r="95" spans="3:13" ht="30" customHeight="1" x14ac:dyDescent="0.25">
      <c r="C95" s="26">
        <v>93</v>
      </c>
      <c r="D95" s="27">
        <v>44331</v>
      </c>
      <c r="E95" s="23">
        <v>10</v>
      </c>
      <c r="F95" s="23">
        <v>1</v>
      </c>
      <c r="G95" s="24">
        <v>1</v>
      </c>
      <c r="H95" s="28">
        <f>tbTransactions[[#This Row],[Qty]]*tbTransactions[[#This Row],[Unit Cost]]*tbTransactions[[#This Row],[Exchange Rate]]</f>
        <v>10</v>
      </c>
      <c r="I95" s="21" t="s">
        <v>536</v>
      </c>
      <c r="J95" s="29" t="s">
        <v>418</v>
      </c>
      <c r="K95" s="183" t="str">
        <f>IF(tbTransactions[[#This Row],[Sub-Type]]="Transfer","Neutral",IF(tbTransactions[[#This Row],[Qty]]&lt;0,"Debit",IF(tbTransactions[[#This Row],[Qty]]&gt;0,"Credit","Neutral")))</f>
        <v>Credit</v>
      </c>
      <c r="L95" s="174" t="s">
        <v>544</v>
      </c>
      <c r="M95" s="109" t="s">
        <v>458</v>
      </c>
    </row>
    <row r="96" spans="3:13" ht="30" customHeight="1" x14ac:dyDescent="0.25">
      <c r="C96" s="26">
        <v>94</v>
      </c>
      <c r="D96" s="27">
        <v>44331</v>
      </c>
      <c r="E96" s="23">
        <v>-9.9599932701999982</v>
      </c>
      <c r="F96" s="23">
        <v>1</v>
      </c>
      <c r="G96" s="24">
        <v>1</v>
      </c>
      <c r="H96" s="28">
        <f>tbTransactions[[#This Row],[Qty]]*tbTransactions[[#This Row],[Unit Cost]]*tbTransactions[[#This Row],[Exchange Rate]]</f>
        <v>-9.9599932701999982</v>
      </c>
      <c r="I96" s="21" t="s">
        <v>536</v>
      </c>
      <c r="J96" s="29" t="s">
        <v>418</v>
      </c>
      <c r="K96" s="183" t="str">
        <f>IF(tbTransactions[[#This Row],[Sub-Type]]="Transfer","Neutral",IF(tbTransactions[[#This Row],[Qty]]&lt;0,"Debit",IF(tbTransactions[[#This Row],[Qty]]&gt;0,"Credit","Neutral")))</f>
        <v>Debit</v>
      </c>
      <c r="L96" s="174" t="s">
        <v>528</v>
      </c>
      <c r="M96" s="23"/>
    </row>
    <row r="97" spans="3:13" ht="30" customHeight="1" x14ac:dyDescent="0.25">
      <c r="C97" s="26">
        <v>95</v>
      </c>
      <c r="D97" s="27">
        <v>44331</v>
      </c>
      <c r="E97" s="23">
        <v>2.0842299999999999E-3</v>
      </c>
      <c r="F97" s="23">
        <v>4778.74</v>
      </c>
      <c r="G97" s="24">
        <v>1</v>
      </c>
      <c r="H97" s="28">
        <f>tbTransactions[[#This Row],[Qty]]*tbTransactions[[#This Row],[Unit Cost]]*tbTransactions[[#This Row],[Exchange Rate]]</f>
        <v>9.9599932701999982</v>
      </c>
      <c r="I97" s="21" t="s">
        <v>536</v>
      </c>
      <c r="J97" s="29" t="s">
        <v>24</v>
      </c>
      <c r="K97" s="183" t="str">
        <f>IF(tbTransactions[[#This Row],[Sub-Type]]="Transfer","Neutral",IF(tbTransactions[[#This Row],[Qty]]&lt;0,"Debit",IF(tbTransactions[[#This Row],[Qty]]&gt;0,"Credit","Neutral")))</f>
        <v>Credit</v>
      </c>
      <c r="L97" s="174" t="s">
        <v>532</v>
      </c>
      <c r="M97" s="111" t="s">
        <v>454</v>
      </c>
    </row>
    <row r="98" spans="3:13" ht="30" customHeight="1" x14ac:dyDescent="0.25">
      <c r="C98" s="26">
        <v>96</v>
      </c>
      <c r="D98" s="27">
        <v>44331</v>
      </c>
      <c r="E98" s="23">
        <v>-4.9799966350999994E-2</v>
      </c>
      <c r="F98" s="23">
        <v>5.0000000000000001E-3</v>
      </c>
      <c r="G98" s="24">
        <v>1</v>
      </c>
      <c r="H98" s="28">
        <f>tbTransactions[[#This Row],[Qty]]*tbTransactions[[#This Row],[Unit Cost]]*tbTransactions[[#This Row],[Exchange Rate]]</f>
        <v>-2.4899983175499996E-4</v>
      </c>
      <c r="I98" s="21" t="s">
        <v>536</v>
      </c>
      <c r="J98" s="29" t="s">
        <v>418</v>
      </c>
      <c r="K98" s="183" t="str">
        <f>IF(tbTransactions[[#This Row],[Sub-Type]]="Transfer","Neutral",IF(tbTransactions[[#This Row],[Qty]]&lt;0,"Debit",IF(tbTransactions[[#This Row],[Qty]]&gt;0,"Credit","Neutral")))</f>
        <v>Debit</v>
      </c>
      <c r="L98" s="174" t="s">
        <v>14</v>
      </c>
      <c r="M98" s="23"/>
    </row>
    <row r="99" spans="3:13" ht="30" customHeight="1" x14ac:dyDescent="0.25">
      <c r="C99" s="26">
        <v>97</v>
      </c>
      <c r="D99" s="27">
        <v>44331</v>
      </c>
      <c r="E99" s="23">
        <v>-1.0996213699999999</v>
      </c>
      <c r="F99" s="23">
        <v>1</v>
      </c>
      <c r="G99" s="24">
        <v>1</v>
      </c>
      <c r="H99" s="28">
        <f>tbTransactions[[#This Row],[Qty]]*tbTransactions[[#This Row],[Unit Cost]]*tbTransactions[[#This Row],[Exchange Rate]]</f>
        <v>-1.0996213699999999</v>
      </c>
      <c r="I99" s="143" t="s">
        <v>531</v>
      </c>
      <c r="J99" s="29" t="s">
        <v>24</v>
      </c>
      <c r="K99" s="183" t="str">
        <f>IF(tbTransactions[[#This Row],[Sub-Type]]="Transfer","Neutral",IF(tbTransactions[[#This Row],[Qty]]&lt;0,"Debit",IF(tbTransactions[[#This Row],[Qty]]&gt;0,"Credit","Neutral")))</f>
        <v>Neutral</v>
      </c>
      <c r="L99" s="174" t="s">
        <v>39</v>
      </c>
      <c r="M99" s="64" t="s">
        <v>425</v>
      </c>
    </row>
    <row r="100" spans="3:13" ht="30" customHeight="1" x14ac:dyDescent="0.25">
      <c r="C100" s="26">
        <v>98</v>
      </c>
      <c r="D100" s="27">
        <v>44331</v>
      </c>
      <c r="E100" s="23">
        <v>-0.01</v>
      </c>
      <c r="F100" s="23">
        <v>1</v>
      </c>
      <c r="G100" s="24">
        <v>1</v>
      </c>
      <c r="H100" s="28">
        <f>tbTransactions[[#This Row],[Qty]]*tbTransactions[[#This Row],[Unit Cost]]*tbTransactions[[#This Row],[Exchange Rate]]</f>
        <v>-0.01</v>
      </c>
      <c r="I100" s="143" t="s">
        <v>531</v>
      </c>
      <c r="J100" s="29" t="s">
        <v>24</v>
      </c>
      <c r="K100" s="183" t="str">
        <f>IF(tbTransactions[[#This Row],[Sub-Type]]="Transfer","Neutral",IF(tbTransactions[[#This Row],[Qty]]&lt;0,"Debit",IF(tbTransactions[[#This Row],[Qty]]&gt;0,"Credit","Neutral")))</f>
        <v>Debit</v>
      </c>
      <c r="L100" s="174" t="s">
        <v>14</v>
      </c>
      <c r="M100" s="64" t="s">
        <v>425</v>
      </c>
    </row>
    <row r="101" spans="3:13" ht="30" customHeight="1" x14ac:dyDescent="0.25">
      <c r="C101" s="26">
        <v>99</v>
      </c>
      <c r="D101" s="27">
        <v>44331</v>
      </c>
      <c r="E101" s="23">
        <v>1.0896213699999999</v>
      </c>
      <c r="F101" s="23">
        <v>1</v>
      </c>
      <c r="G101" s="24">
        <v>1</v>
      </c>
      <c r="H101" s="28">
        <f>tbTransactions[[#This Row],[Qty]]*tbTransactions[[#This Row],[Unit Cost]]*tbTransactions[[#This Row],[Exchange Rate]]</f>
        <v>1.0896213699999999</v>
      </c>
      <c r="I101" s="21" t="s">
        <v>445</v>
      </c>
      <c r="J101" s="29" t="s">
        <v>24</v>
      </c>
      <c r="K101" s="183" t="str">
        <f>IF(tbTransactions[[#This Row],[Sub-Type]]="Transfer","Neutral",IF(tbTransactions[[#This Row],[Qty]]&lt;0,"Debit",IF(tbTransactions[[#This Row],[Qty]]&gt;0,"Credit","Neutral")))</f>
        <v>Neutral</v>
      </c>
      <c r="L101" s="174" t="s">
        <v>39</v>
      </c>
      <c r="M101" s="64" t="s">
        <v>425</v>
      </c>
    </row>
    <row r="102" spans="3:13" ht="30" customHeight="1" x14ac:dyDescent="0.25">
      <c r="C102" s="26">
        <v>100</v>
      </c>
      <c r="D102" s="27">
        <v>44331</v>
      </c>
      <c r="E102" s="23">
        <v>-1515.12292714</v>
      </c>
      <c r="F102" s="23">
        <v>1</v>
      </c>
      <c r="G102" s="24">
        <v>1</v>
      </c>
      <c r="H102" s="28">
        <f>tbTransactions[[#This Row],[Qty]]*tbTransactions[[#This Row],[Unit Cost]]*tbTransactions[[#This Row],[Exchange Rate]]</f>
        <v>-1515.12292714</v>
      </c>
      <c r="I102" s="21" t="s">
        <v>531</v>
      </c>
      <c r="J102" s="29" t="s">
        <v>27</v>
      </c>
      <c r="K102" s="183" t="str">
        <f>IF(tbTransactions[[#This Row],[Sub-Type]]="Transfer","Neutral",IF(tbTransactions[[#This Row],[Qty]]&lt;0,"Debit",IF(tbTransactions[[#This Row],[Qty]]&gt;0,"Credit","Neutral")))</f>
        <v>Neutral</v>
      </c>
      <c r="L102" s="174" t="s">
        <v>39</v>
      </c>
      <c r="M102" s="64" t="s">
        <v>424</v>
      </c>
    </row>
    <row r="103" spans="3:13" ht="30" customHeight="1" x14ac:dyDescent="0.25">
      <c r="C103" s="26">
        <v>101</v>
      </c>
      <c r="D103" s="27">
        <v>44331</v>
      </c>
      <c r="E103" s="23">
        <v>3.0000000000000001E-5</v>
      </c>
      <c r="F103" s="23">
        <v>1</v>
      </c>
      <c r="G103" s="24">
        <v>1</v>
      </c>
      <c r="H103" s="28">
        <f>tbTransactions[[#This Row],[Qty]]*tbTransactions[[#This Row],[Unit Cost]]*tbTransactions[[#This Row],[Exchange Rate]]</f>
        <v>3.0000000000000001E-5</v>
      </c>
      <c r="I103" s="21" t="s">
        <v>531</v>
      </c>
      <c r="J103" s="29" t="s">
        <v>27</v>
      </c>
      <c r="K103" s="183" t="str">
        <f>IF(tbTransactions[[#This Row],[Sub-Type]]="Transfer","Neutral",IF(tbTransactions[[#This Row],[Qty]]&lt;0,"Debit",IF(tbTransactions[[#This Row],[Qty]]&gt;0,"Credit","Neutral")))</f>
        <v>Credit</v>
      </c>
      <c r="L103" s="174" t="s">
        <v>14</v>
      </c>
      <c r="M103" s="64" t="s">
        <v>424</v>
      </c>
    </row>
    <row r="104" spans="3:13" ht="30" customHeight="1" x14ac:dyDescent="0.25">
      <c r="C104" s="26">
        <v>102</v>
      </c>
      <c r="D104" s="27">
        <v>44331</v>
      </c>
      <c r="E104" s="23">
        <v>1515.12292714</v>
      </c>
      <c r="F104" s="23">
        <v>1</v>
      </c>
      <c r="G104" s="24">
        <v>1</v>
      </c>
      <c r="H104" s="28">
        <f>tbTransactions[[#This Row],[Qty]]*tbTransactions[[#This Row],[Unit Cost]]*tbTransactions[[#This Row],[Exchange Rate]]</f>
        <v>1515.12292714</v>
      </c>
      <c r="I104" s="21" t="s">
        <v>445</v>
      </c>
      <c r="J104" s="29" t="s">
        <v>27</v>
      </c>
      <c r="K104" s="183" t="str">
        <f>IF(tbTransactions[[#This Row],[Sub-Type]]="Transfer","Neutral",IF(tbTransactions[[#This Row],[Qty]]&lt;0,"Debit",IF(tbTransactions[[#This Row],[Qty]]&gt;0,"Credit","Neutral")))</f>
        <v>Neutral</v>
      </c>
      <c r="L104" s="174" t="s">
        <v>39</v>
      </c>
      <c r="M104" s="64" t="s">
        <v>424</v>
      </c>
    </row>
    <row r="105" spans="3:13" ht="30" customHeight="1" x14ac:dyDescent="0.25">
      <c r="C105" s="26">
        <v>103</v>
      </c>
      <c r="D105" s="27">
        <v>44331</v>
      </c>
      <c r="E105" s="23">
        <v>-0.06</v>
      </c>
      <c r="F105" s="23">
        <v>3750</v>
      </c>
      <c r="G105" s="24">
        <v>1</v>
      </c>
      <c r="H105" s="28">
        <f>tbTransactions[[#This Row],[Qty]]*tbTransactions[[#This Row],[Unit Cost]]*tbTransactions[[#This Row],[Exchange Rate]]</f>
        <v>-225</v>
      </c>
      <c r="I105" s="21" t="s">
        <v>445</v>
      </c>
      <c r="J105" s="29" t="s">
        <v>24</v>
      </c>
      <c r="K105" s="183" t="str">
        <f>IF(tbTransactions[[#This Row],[Sub-Type]]="Transfer","Neutral",IF(tbTransactions[[#This Row],[Qty]]&lt;0,"Debit",IF(tbTransactions[[#This Row],[Qty]]&gt;0,"Credit","Neutral")))</f>
        <v>Debit</v>
      </c>
      <c r="L105" s="313" t="s">
        <v>647</v>
      </c>
      <c r="M105" s="312" t="s">
        <v>651</v>
      </c>
    </row>
    <row r="106" spans="3:13" ht="30" customHeight="1" x14ac:dyDescent="0.25">
      <c r="C106" s="26">
        <v>104</v>
      </c>
      <c r="D106" s="27">
        <v>44331</v>
      </c>
      <c r="E106" s="23">
        <v>20.4985</v>
      </c>
      <c r="F106" s="23">
        <f t="shared" ref="F106:F111" si="0">209.59/20.7124</f>
        <v>10.119059114346962</v>
      </c>
      <c r="G106" s="24">
        <v>1.2109000000000001</v>
      </c>
      <c r="H106" s="28">
        <f>tbTransactions[[#This Row],[Qty]]*tbTransactions[[#This Row],[Unit Cost]]*tbTransactions[[#This Row],[Exchange Rate]]</f>
        <v>251.17157821901375</v>
      </c>
      <c r="I106" s="21" t="s">
        <v>445</v>
      </c>
      <c r="J106" s="29" t="s">
        <v>23</v>
      </c>
      <c r="K106" s="183" t="str">
        <f>IF(tbTransactions[[#This Row],[Sub-Type]]="Transfer","Neutral",IF(tbTransactions[[#This Row],[Qty]]&lt;0,"Debit",IF(tbTransactions[[#This Row],[Qty]]&gt;0,"Credit","Neutral")))</f>
        <v>Credit</v>
      </c>
      <c r="L106" s="313" t="s">
        <v>647</v>
      </c>
      <c r="M106" s="312" t="s">
        <v>651</v>
      </c>
    </row>
    <row r="107" spans="3:13" ht="30" customHeight="1" x14ac:dyDescent="0.25">
      <c r="C107" s="26">
        <v>105</v>
      </c>
      <c r="D107" s="27">
        <v>44331</v>
      </c>
      <c r="E107" s="23">
        <v>4.6639524200000002</v>
      </c>
      <c r="F107" s="23">
        <f t="shared" si="0"/>
        <v>10.119059114346962</v>
      </c>
      <c r="G107" s="24">
        <v>1</v>
      </c>
      <c r="H107" s="28">
        <f>tbTransactions[[#This Row],[Qty]]*tbTransactions[[#This Row],[Unit Cost]]*tbTransactions[[#This Row],[Exchange Rate]]</f>
        <v>47.194810244481573</v>
      </c>
      <c r="I107" s="21" t="s">
        <v>531</v>
      </c>
      <c r="J107" s="29" t="s">
        <v>23</v>
      </c>
      <c r="K107" s="183" t="str">
        <f>IF(tbTransactions[[#This Row],[Sub-Type]]="Transfer","Neutral",IF(tbTransactions[[#This Row],[Qty]]&lt;0,"Debit",IF(tbTransactions[[#This Row],[Qty]]&gt;0,"Credit","Neutral")))</f>
        <v>Credit</v>
      </c>
      <c r="L107" s="174" t="s">
        <v>36</v>
      </c>
      <c r="M107" s="23"/>
    </row>
    <row r="108" spans="3:13" ht="30" customHeight="1" x14ac:dyDescent="0.25">
      <c r="C108" s="26">
        <v>106</v>
      </c>
      <c r="D108" s="27">
        <v>44331</v>
      </c>
      <c r="E108" s="23">
        <v>-9.3465900000000001E-3</v>
      </c>
      <c r="F108" s="23">
        <f t="shared" si="0"/>
        <v>10.119059114346962</v>
      </c>
      <c r="G108" s="24">
        <v>1</v>
      </c>
      <c r="H108" s="28">
        <f>tbTransactions[[#This Row],[Qty]]*tbTransactions[[#This Row],[Unit Cost]]*tbTransactions[[#This Row],[Exchange Rate]]</f>
        <v>-9.4578696727564179E-2</v>
      </c>
      <c r="I108" s="21" t="s">
        <v>531</v>
      </c>
      <c r="J108" s="29" t="s">
        <v>23</v>
      </c>
      <c r="K108" s="183" t="str">
        <f>IF(tbTransactions[[#This Row],[Sub-Type]]="Transfer","Neutral",IF(tbTransactions[[#This Row],[Qty]]&lt;0,"Debit",IF(tbTransactions[[#This Row],[Qty]]&gt;0,"Credit","Neutral")))</f>
        <v>Debit</v>
      </c>
      <c r="L108" s="174" t="s">
        <v>14</v>
      </c>
      <c r="M108" s="172" t="s">
        <v>549</v>
      </c>
    </row>
    <row r="109" spans="3:13" ht="30" customHeight="1" x14ac:dyDescent="0.25">
      <c r="C109" s="26">
        <v>107</v>
      </c>
      <c r="D109" s="27">
        <v>44331</v>
      </c>
      <c r="E109" s="23">
        <v>-138.22112870000001</v>
      </c>
      <c r="F109" s="23">
        <f t="shared" si="0"/>
        <v>10.119059114346962</v>
      </c>
      <c r="G109" s="24">
        <v>1</v>
      </c>
      <c r="H109" s="28">
        <f>tbTransactions[[#This Row],[Qty]]*tbTransactions[[#This Row],[Unit Cost]]*tbTransactions[[#This Row],[Exchange Rate]]</f>
        <v>-1398.6677721670596</v>
      </c>
      <c r="I109" s="21" t="s">
        <v>531</v>
      </c>
      <c r="J109" s="29" t="s">
        <v>23</v>
      </c>
      <c r="K109" s="183" t="str">
        <f>IF(tbTransactions[[#This Row],[Sub-Type]]="Transfer","Neutral",IF(tbTransactions[[#This Row],[Qty]]&lt;0,"Debit",IF(tbTransactions[[#This Row],[Qty]]&gt;0,"Credit","Neutral")))</f>
        <v>Neutral</v>
      </c>
      <c r="L109" s="29" t="s">
        <v>39</v>
      </c>
      <c r="M109" s="172" t="s">
        <v>549</v>
      </c>
    </row>
    <row r="110" spans="3:13" ht="30" customHeight="1" x14ac:dyDescent="0.25">
      <c r="C110" s="26">
        <v>108</v>
      </c>
      <c r="D110" s="27">
        <v>44331</v>
      </c>
      <c r="E110" s="23">
        <v>-5.0000000000000001E-4</v>
      </c>
      <c r="F110" s="23">
        <f t="shared" si="0"/>
        <v>10.119059114346962</v>
      </c>
      <c r="G110" s="24">
        <v>1</v>
      </c>
      <c r="H110" s="28">
        <f>tbTransactions[[#This Row],[Qty]]*tbTransactions[[#This Row],[Unit Cost]]*tbTransactions[[#This Row],[Exchange Rate]]</f>
        <v>-5.0595295571734811E-3</v>
      </c>
      <c r="I110" s="21" t="s">
        <v>531</v>
      </c>
      <c r="J110" s="29" t="s">
        <v>23</v>
      </c>
      <c r="K110" s="183" t="str">
        <f>IF(tbTransactions[[#This Row],[Sub-Type]]="Transfer","Neutral",IF(tbTransactions[[#This Row],[Qty]]&lt;0,"Debit",IF(tbTransactions[[#This Row],[Qty]]&gt;0,"Credit","Neutral")))</f>
        <v>Debit</v>
      </c>
      <c r="L110" s="174" t="s">
        <v>14</v>
      </c>
      <c r="M110" s="172" t="s">
        <v>549</v>
      </c>
    </row>
    <row r="111" spans="3:13" ht="30" customHeight="1" x14ac:dyDescent="0.25">
      <c r="C111" s="26">
        <v>109</v>
      </c>
      <c r="D111" s="27">
        <v>44331</v>
      </c>
      <c r="E111" s="23">
        <v>138.22062869999999</v>
      </c>
      <c r="F111" s="23">
        <f t="shared" si="0"/>
        <v>10.119059114346962</v>
      </c>
      <c r="G111" s="24">
        <v>1</v>
      </c>
      <c r="H111" s="28">
        <f>tbTransactions[[#This Row],[Qty]]*tbTransactions[[#This Row],[Unit Cost]]*tbTransactions[[#This Row],[Exchange Rate]]</f>
        <v>1398.6627126375022</v>
      </c>
      <c r="I111" s="21" t="s">
        <v>445</v>
      </c>
      <c r="J111" s="29" t="s">
        <v>23</v>
      </c>
      <c r="K111" s="183" t="str">
        <f>IF(tbTransactions[[#This Row],[Sub-Type]]="Transfer","Neutral",IF(tbTransactions[[#This Row],[Qty]]&lt;0,"Debit",IF(tbTransactions[[#This Row],[Qty]]&gt;0,"Credit","Neutral")))</f>
        <v>Neutral</v>
      </c>
      <c r="L111" s="29" t="s">
        <v>39</v>
      </c>
      <c r="M111" s="172" t="s">
        <v>549</v>
      </c>
    </row>
    <row r="112" spans="3:13" ht="30" customHeight="1" x14ac:dyDescent="0.25">
      <c r="C112" s="26">
        <v>110</v>
      </c>
      <c r="D112" s="27">
        <v>44331</v>
      </c>
      <c r="E112" s="23">
        <v>-1518.1593057</v>
      </c>
      <c r="F112" s="23">
        <v>0.67624099999999998</v>
      </c>
      <c r="G112" s="24">
        <v>1</v>
      </c>
      <c r="H112" s="28">
        <f>tbTransactions[[#This Row],[Qty]]*tbTransactions[[#This Row],[Unit Cost]]*tbTransactions[[#This Row],[Exchange Rate]]</f>
        <v>-1026.6415670458737</v>
      </c>
      <c r="I112" s="21" t="s">
        <v>445</v>
      </c>
      <c r="J112" s="29" t="s">
        <v>27</v>
      </c>
      <c r="K112" s="183" t="str">
        <f>IF(tbTransactions[[#This Row],[Sub-Type]]="Transfer","Neutral",IF(tbTransactions[[#This Row],[Qty]]&lt;0,"Debit",IF(tbTransactions[[#This Row],[Qty]]&gt;0,"Credit","Neutral")))</f>
        <v>Debit</v>
      </c>
      <c r="L112" s="313" t="s">
        <v>647</v>
      </c>
      <c r="M112" s="312" t="s">
        <v>652</v>
      </c>
    </row>
    <row r="113" spans="3:13" ht="30" customHeight="1" x14ac:dyDescent="0.25">
      <c r="C113" s="26">
        <v>111</v>
      </c>
      <c r="D113" s="27">
        <v>44331</v>
      </c>
      <c r="E113" s="23">
        <v>96.978999999999999</v>
      </c>
      <c r="F113" s="23">
        <f>1040.52/96.979</f>
        <v>10.72933315460048</v>
      </c>
      <c r="G113" s="24">
        <v>1.2109000000000001</v>
      </c>
      <c r="H113" s="28">
        <f>tbTransactions[[#This Row],[Qty]]*tbTransactions[[#This Row],[Unit Cost]]*tbTransactions[[#This Row],[Exchange Rate]]</f>
        <v>1259.9656680000001</v>
      </c>
      <c r="I113" s="21" t="s">
        <v>445</v>
      </c>
      <c r="J113" s="29" t="s">
        <v>23</v>
      </c>
      <c r="K113" s="183" t="str">
        <f>IF(tbTransactions[[#This Row],[Sub-Type]]="Transfer","Neutral",IF(tbTransactions[[#This Row],[Qty]]&lt;0,"Debit",IF(tbTransactions[[#This Row],[Qty]]&gt;0,"Credit","Neutral")))</f>
        <v>Credit</v>
      </c>
      <c r="L113" s="313" t="s">
        <v>647</v>
      </c>
      <c r="M113" s="312" t="s">
        <v>652</v>
      </c>
    </row>
    <row r="114" spans="3:13" ht="30" customHeight="1" x14ac:dyDescent="0.25">
      <c r="C114" s="26">
        <v>112</v>
      </c>
      <c r="D114" s="27">
        <v>44331</v>
      </c>
      <c r="E114" s="23">
        <v>-0.24666627999999999</v>
      </c>
      <c r="F114" s="23">
        <v>3750</v>
      </c>
      <c r="G114" s="24">
        <v>1</v>
      </c>
      <c r="H114" s="28">
        <f>tbTransactions[[#This Row],[Qty]]*tbTransactions[[#This Row],[Unit Cost]]*tbTransactions[[#This Row],[Exchange Rate]]</f>
        <v>-924.99854999999991</v>
      </c>
      <c r="I114" s="21" t="s">
        <v>445</v>
      </c>
      <c r="J114" s="29" t="s">
        <v>24</v>
      </c>
      <c r="K114" s="183" t="str">
        <f>IF(tbTransactions[[#This Row],[Sub-Type]]="Transfer","Neutral",IF(tbTransactions[[#This Row],[Qty]]&lt;0,"Debit",IF(tbTransactions[[#This Row],[Qty]]&gt;0,"Credit","Neutral")))</f>
        <v>Debit</v>
      </c>
      <c r="L114" s="313" t="s">
        <v>647</v>
      </c>
      <c r="M114" s="312" t="s">
        <v>653</v>
      </c>
    </row>
    <row r="115" spans="3:13" ht="30" customHeight="1" x14ac:dyDescent="0.25">
      <c r="C115" s="26">
        <v>113</v>
      </c>
      <c r="D115" s="27">
        <v>44331</v>
      </c>
      <c r="E115" s="23">
        <v>35.725245000000001</v>
      </c>
      <c r="F115" s="23">
        <f>913.73/35.725245</f>
        <v>25.576591567111716</v>
      </c>
      <c r="G115" s="24">
        <v>1.2109000000000001</v>
      </c>
      <c r="H115" s="28">
        <f>tbTransactions[[#This Row],[Qty]]*tbTransactions[[#This Row],[Unit Cost]]*tbTransactions[[#This Row],[Exchange Rate]]</f>
        <v>1106.435657</v>
      </c>
      <c r="I115" s="21" t="s">
        <v>445</v>
      </c>
      <c r="J115" s="29" t="s">
        <v>20</v>
      </c>
      <c r="K115" s="183" t="str">
        <f>IF(tbTransactions[[#This Row],[Sub-Type]]="Transfer","Neutral",IF(tbTransactions[[#This Row],[Qty]]&lt;0,"Debit",IF(tbTransactions[[#This Row],[Qty]]&gt;0,"Credit","Neutral")))</f>
        <v>Credit</v>
      </c>
      <c r="L115" s="313" t="s">
        <v>647</v>
      </c>
      <c r="M115" s="312" t="s">
        <v>653</v>
      </c>
    </row>
    <row r="116" spans="3:13" ht="30" customHeight="1" x14ac:dyDescent="0.25">
      <c r="C116" s="26">
        <v>114</v>
      </c>
      <c r="D116" s="27">
        <v>44333</v>
      </c>
      <c r="E116" s="23">
        <v>-0.64194965000000004</v>
      </c>
      <c r="F116" s="23">
        <v>1</v>
      </c>
      <c r="G116" s="24">
        <v>1</v>
      </c>
      <c r="H116" s="28">
        <f>tbTransactions[[#This Row],[Qty]]*tbTransactions[[#This Row],[Unit Cost]]*tbTransactions[[#This Row],[Exchange Rate]]</f>
        <v>-0.64194965000000004</v>
      </c>
      <c r="I116" s="21" t="s">
        <v>535</v>
      </c>
      <c r="J116" s="29" t="s">
        <v>24</v>
      </c>
      <c r="K116" s="183" t="str">
        <f>IF(tbTransactions[[#This Row],[Sub-Type]]="Transfer","Neutral",IF(tbTransactions[[#This Row],[Qty]]&lt;0,"Debit",IF(tbTransactions[[#This Row],[Qty]]&gt;0,"Credit","Neutral")))</f>
        <v>Neutral</v>
      </c>
      <c r="L116" s="29" t="s">
        <v>39</v>
      </c>
      <c r="M116" s="172" t="s">
        <v>425</v>
      </c>
    </row>
    <row r="117" spans="3:13" ht="30" customHeight="1" x14ac:dyDescent="0.25">
      <c r="C117" s="26">
        <v>115</v>
      </c>
      <c r="D117" s="27">
        <v>44333</v>
      </c>
      <c r="E117" s="23">
        <v>0.63194965000000003</v>
      </c>
      <c r="F117" s="23">
        <v>1</v>
      </c>
      <c r="G117" s="24">
        <v>1</v>
      </c>
      <c r="H117" s="28">
        <f>tbTransactions[[#This Row],[Qty]]*tbTransactions[[#This Row],[Unit Cost]]*tbTransactions[[#This Row],[Exchange Rate]]</f>
        <v>0.63194965000000003</v>
      </c>
      <c r="I117" s="21" t="s">
        <v>445</v>
      </c>
      <c r="J117" s="29" t="s">
        <v>24</v>
      </c>
      <c r="K117" s="183" t="str">
        <f>IF(tbTransactions[[#This Row],[Sub-Type]]="Transfer","Neutral",IF(tbTransactions[[#This Row],[Qty]]&lt;0,"Debit",IF(tbTransactions[[#This Row],[Qty]]&gt;0,"Credit","Neutral")))</f>
        <v>Neutral</v>
      </c>
      <c r="L117" s="29" t="s">
        <v>39</v>
      </c>
      <c r="M117" s="172" t="s">
        <v>425</v>
      </c>
    </row>
    <row r="118" spans="3:13" ht="30" customHeight="1" x14ac:dyDescent="0.25">
      <c r="C118" s="26">
        <v>116</v>
      </c>
      <c r="D118" s="27">
        <v>44333</v>
      </c>
      <c r="E118" s="23">
        <v>-0.01</v>
      </c>
      <c r="F118" s="23">
        <v>1</v>
      </c>
      <c r="G118" s="24">
        <v>1</v>
      </c>
      <c r="H118" s="28">
        <f>tbTransactions[[#This Row],[Qty]]*tbTransactions[[#This Row],[Unit Cost]]*tbTransactions[[#This Row],[Exchange Rate]]</f>
        <v>-0.01</v>
      </c>
      <c r="I118" s="21" t="s">
        <v>535</v>
      </c>
      <c r="J118" s="29" t="s">
        <v>24</v>
      </c>
      <c r="K118" s="183" t="str">
        <f>IF(tbTransactions[[#This Row],[Sub-Type]]="Transfer","Neutral",IF(tbTransactions[[#This Row],[Qty]]&lt;0,"Debit",IF(tbTransactions[[#This Row],[Qty]]&gt;0,"Credit","Neutral")))</f>
        <v>Debit</v>
      </c>
      <c r="L118" s="174" t="s">
        <v>14</v>
      </c>
      <c r="M118" s="172" t="s">
        <v>425</v>
      </c>
    </row>
    <row r="119" spans="3:13" ht="30" customHeight="1" x14ac:dyDescent="0.25">
      <c r="C119" s="26">
        <v>117</v>
      </c>
      <c r="D119" s="27">
        <v>44333</v>
      </c>
      <c r="E119" s="23">
        <v>-0.62304886000000004</v>
      </c>
      <c r="F119" s="23">
        <v>1</v>
      </c>
      <c r="G119" s="24">
        <v>1</v>
      </c>
      <c r="H119" s="28">
        <f>tbTransactions[[#This Row],[Qty]]*tbTransactions[[#This Row],[Unit Cost]]*tbTransactions[[#This Row],[Exchange Rate]]</f>
        <v>-0.62304886000000004</v>
      </c>
      <c r="I119" s="21" t="s">
        <v>536</v>
      </c>
      <c r="J119" s="29" t="s">
        <v>24</v>
      </c>
      <c r="K119" s="183" t="str">
        <f>IF(tbTransactions[[#This Row],[Sub-Type]]="Transfer","Neutral",IF(tbTransactions[[#This Row],[Qty]]&lt;0,"Debit",IF(tbTransactions[[#This Row],[Qty]]&gt;0,"Credit","Neutral")))</f>
        <v>Neutral</v>
      </c>
      <c r="L119" s="29" t="s">
        <v>39</v>
      </c>
      <c r="M119" s="172" t="s">
        <v>425</v>
      </c>
    </row>
    <row r="120" spans="3:13" ht="30" customHeight="1" x14ac:dyDescent="0.25">
      <c r="C120" s="26">
        <v>118</v>
      </c>
      <c r="D120" s="27">
        <v>44333</v>
      </c>
      <c r="E120" s="23">
        <v>0.62304886000000004</v>
      </c>
      <c r="F120" s="23">
        <v>1</v>
      </c>
      <c r="G120" s="24">
        <v>1</v>
      </c>
      <c r="H120" s="28">
        <f>tbTransactions[[#This Row],[Qty]]*tbTransactions[[#This Row],[Unit Cost]]*tbTransactions[[#This Row],[Exchange Rate]]</f>
        <v>0.62304886000000004</v>
      </c>
      <c r="I120" s="21" t="s">
        <v>445</v>
      </c>
      <c r="J120" s="29" t="s">
        <v>24</v>
      </c>
      <c r="K120" s="183" t="str">
        <f>IF(tbTransactions[[#This Row],[Sub-Type]]="Transfer","Neutral",IF(tbTransactions[[#This Row],[Qty]]&lt;0,"Debit",IF(tbTransactions[[#This Row],[Qty]]&gt;0,"Credit","Neutral")))</f>
        <v>Neutral</v>
      </c>
      <c r="L120" s="29" t="s">
        <v>39</v>
      </c>
      <c r="M120" s="172" t="s">
        <v>425</v>
      </c>
    </row>
    <row r="121" spans="3:13" ht="30" customHeight="1" x14ac:dyDescent="0.25">
      <c r="C121" s="26">
        <v>119</v>
      </c>
      <c r="D121" s="27">
        <v>44333</v>
      </c>
      <c r="E121" s="23">
        <v>5.0000000000000001E-3</v>
      </c>
      <c r="F121" s="23">
        <v>1</v>
      </c>
      <c r="G121" s="24">
        <v>1</v>
      </c>
      <c r="H121" s="28">
        <f>tbTransactions[[#This Row],[Qty]]*tbTransactions[[#This Row],[Unit Cost]]*tbTransactions[[#This Row],[Exchange Rate]]</f>
        <v>5.0000000000000001E-3</v>
      </c>
      <c r="I121" s="21" t="s">
        <v>536</v>
      </c>
      <c r="J121" s="29" t="s">
        <v>24</v>
      </c>
      <c r="K121" s="183" t="str">
        <f>IF(tbTransactions[[#This Row],[Sub-Type]]="Transfer","Neutral",IF(tbTransactions[[#This Row],[Qty]]&lt;0,"Debit",IF(tbTransactions[[#This Row],[Qty]]&gt;0,"Credit","Neutral")))</f>
        <v>Credit</v>
      </c>
      <c r="L121" s="174" t="s">
        <v>14</v>
      </c>
      <c r="M121" s="29" t="s">
        <v>39</v>
      </c>
    </row>
    <row r="122" spans="3:13" ht="30" customHeight="1" x14ac:dyDescent="0.25">
      <c r="C122" s="26">
        <v>120</v>
      </c>
      <c r="D122" s="27">
        <v>44333</v>
      </c>
      <c r="E122" s="23">
        <v>8.4256499999999512E-3</v>
      </c>
      <c r="F122" s="23">
        <v>1</v>
      </c>
      <c r="G122" s="24">
        <v>1</v>
      </c>
      <c r="H122" s="28">
        <f>tbTransactions[[#This Row],[Qty]]*tbTransactions[[#This Row],[Unit Cost]]*tbTransactions[[#This Row],[Exchange Rate]]</f>
        <v>8.4256499999999512E-3</v>
      </c>
      <c r="I122" s="21" t="s">
        <v>445</v>
      </c>
      <c r="J122" s="29" t="s">
        <v>24</v>
      </c>
      <c r="K122" s="183" t="str">
        <f>IF(tbTransactions[[#This Row],[Sub-Type]]="Transfer","Neutral",IF(tbTransactions[[#This Row],[Qty]]&lt;0,"Debit",IF(tbTransactions[[#This Row],[Qty]]&gt;0,"Credit","Neutral")))</f>
        <v>Credit</v>
      </c>
      <c r="L122" s="23" t="s">
        <v>36</v>
      </c>
      <c r="M122" s="23"/>
    </row>
    <row r="123" spans="3:13" ht="30" customHeight="1" x14ac:dyDescent="0.25">
      <c r="C123" s="26">
        <v>121</v>
      </c>
      <c r="D123" s="27">
        <v>44333</v>
      </c>
      <c r="E123" s="23">
        <v>-0.25783176999999569</v>
      </c>
      <c r="F123" s="23">
        <f>209.59/20.7124</f>
        <v>10.119059114346962</v>
      </c>
      <c r="G123" s="24">
        <v>1</v>
      </c>
      <c r="H123" s="28">
        <f>tbTransactions[[#This Row],[Qty]]*tbTransactions[[#This Row],[Unit Cost]]*tbTransactions[[#This Row],[Exchange Rate]]</f>
        <v>-2.6090149221866659</v>
      </c>
      <c r="I123" s="21" t="s">
        <v>445</v>
      </c>
      <c r="J123" s="29" t="s">
        <v>23</v>
      </c>
      <c r="K123" s="183" t="str">
        <f>IF(tbTransactions[[#This Row],[Sub-Type]]="Transfer","Neutral",IF(tbTransactions[[#This Row],[Qty]]&lt;0,"Debit",IF(tbTransactions[[#This Row],[Qty]]&gt;0,"Credit","Neutral")))</f>
        <v>Debit</v>
      </c>
      <c r="L123" s="23" t="s">
        <v>36</v>
      </c>
      <c r="M123" s="23"/>
    </row>
    <row r="124" spans="3:13" ht="30" customHeight="1" x14ac:dyDescent="0.25">
      <c r="C124" s="26">
        <v>122</v>
      </c>
      <c r="D124" s="27">
        <v>44333</v>
      </c>
      <c r="E124" s="23">
        <v>-5.0749999999979423E-3</v>
      </c>
      <c r="F124" s="23">
        <v>1</v>
      </c>
      <c r="G124" s="24">
        <v>1</v>
      </c>
      <c r="H124" s="28">
        <f>tbTransactions[[#This Row],[Qty]]*tbTransactions[[#This Row],[Unit Cost]]*tbTransactions[[#This Row],[Exchange Rate]]</f>
        <v>-5.0749999999979423E-3</v>
      </c>
      <c r="I124" s="21" t="s">
        <v>445</v>
      </c>
      <c r="J124" s="29" t="s">
        <v>20</v>
      </c>
      <c r="K124" s="183" t="str">
        <f>IF(tbTransactions[[#This Row],[Sub-Type]]="Transfer","Neutral",IF(tbTransactions[[#This Row],[Qty]]&lt;0,"Debit",IF(tbTransactions[[#This Row],[Qty]]&gt;0,"Credit","Neutral")))</f>
        <v>Debit</v>
      </c>
      <c r="L124" s="23" t="s">
        <v>36</v>
      </c>
      <c r="M124" s="23"/>
    </row>
    <row r="125" spans="3:13" ht="30" customHeight="1" x14ac:dyDescent="0.25">
      <c r="C125" s="26">
        <v>123</v>
      </c>
      <c r="D125" s="27">
        <v>44335</v>
      </c>
      <c r="E125" s="23">
        <v>-3000</v>
      </c>
      <c r="F125" s="23">
        <v>1</v>
      </c>
      <c r="G125" s="24">
        <v>1</v>
      </c>
      <c r="H125" s="28">
        <f>tbTransactions[[#This Row],[Qty]]*tbTransactions[[#This Row],[Unit Cost]]*tbTransactions[[#This Row],[Exchange Rate]]</f>
        <v>-3000</v>
      </c>
      <c r="I125" s="21" t="s">
        <v>526</v>
      </c>
      <c r="J125" s="29" t="s">
        <v>418</v>
      </c>
      <c r="K125" s="183" t="str">
        <f>IF(tbTransactions[[#This Row],[Sub-Type]]="Transfer","Neutral",IF(tbTransactions[[#This Row],[Qty]]&lt;0,"Debit",IF(tbTransactions[[#This Row],[Qty]]&gt;0,"Credit","Neutral")))</f>
        <v>Debit</v>
      </c>
      <c r="L125" s="161" t="s">
        <v>529</v>
      </c>
      <c r="M125" s="23"/>
    </row>
    <row r="126" spans="3:13" ht="30" customHeight="1" x14ac:dyDescent="0.25">
      <c r="C126" s="26">
        <v>124</v>
      </c>
      <c r="D126" s="27">
        <v>44335</v>
      </c>
      <c r="E126" s="23">
        <v>3000</v>
      </c>
      <c r="F126" s="23">
        <v>1</v>
      </c>
      <c r="G126" s="24">
        <v>1</v>
      </c>
      <c r="H126" s="28">
        <f>tbTransactions[[#This Row],[Qty]]*tbTransactions[[#This Row],[Unit Cost]]*tbTransactions[[#This Row],[Exchange Rate]]</f>
        <v>3000</v>
      </c>
      <c r="I126" s="21" t="s">
        <v>536</v>
      </c>
      <c r="J126" s="29" t="s">
        <v>418</v>
      </c>
      <c r="K126" s="183" t="str">
        <f>IF(tbTransactions[[#This Row],[Sub-Type]]="Transfer","Neutral",IF(tbTransactions[[#This Row],[Qty]]&lt;0,"Debit",IF(tbTransactions[[#This Row],[Qty]]&gt;0,"Credit","Neutral")))</f>
        <v>Credit</v>
      </c>
      <c r="L126" s="174" t="s">
        <v>527</v>
      </c>
      <c r="M126" s="23"/>
    </row>
    <row r="127" spans="3:13" ht="30" customHeight="1" x14ac:dyDescent="0.25">
      <c r="C127" s="26">
        <v>125</v>
      </c>
      <c r="D127" s="27">
        <v>44335</v>
      </c>
      <c r="E127" s="23">
        <v>-14.99</v>
      </c>
      <c r="F127" s="23">
        <v>1</v>
      </c>
      <c r="G127" s="24">
        <v>1</v>
      </c>
      <c r="H127" s="28">
        <f>tbTransactions[[#This Row],[Qty]]*tbTransactions[[#This Row],[Unit Cost]]*tbTransactions[[#This Row],[Exchange Rate]]</f>
        <v>-14.99</v>
      </c>
      <c r="I127" s="21" t="s">
        <v>536</v>
      </c>
      <c r="J127" s="29" t="s">
        <v>418</v>
      </c>
      <c r="K127" s="183" t="str">
        <f>IF(tbTransactions[[#This Row],[Sub-Type]]="Transfer","Neutral",IF(tbTransactions[[#This Row],[Qty]]&lt;0,"Debit",IF(tbTransactions[[#This Row],[Qty]]&gt;0,"Credit","Neutral")))</f>
        <v>Debit</v>
      </c>
      <c r="L127" s="174" t="s">
        <v>14</v>
      </c>
      <c r="M127" s="23"/>
    </row>
    <row r="128" spans="3:13" ht="30" customHeight="1" x14ac:dyDescent="0.25">
      <c r="C128" s="26">
        <v>126</v>
      </c>
      <c r="D128" s="27">
        <v>44335</v>
      </c>
      <c r="E128" s="23">
        <v>0.93780631000000003</v>
      </c>
      <c r="F128" s="23">
        <v>3182.9600293476378</v>
      </c>
      <c r="G128" s="24">
        <v>1</v>
      </c>
      <c r="H128" s="28">
        <f>tbTransactions[[#This Row],[Qty]]*tbTransactions[[#This Row],[Unit Cost]]*tbTransactions[[#This Row],[Exchange Rate]]</f>
        <v>2985</v>
      </c>
      <c r="I128" s="21" t="s">
        <v>536</v>
      </c>
      <c r="J128" s="29" t="s">
        <v>24</v>
      </c>
      <c r="K128" s="183" t="str">
        <f>IF(tbTransactions[[#This Row],[Sub-Type]]="Transfer","Neutral",IF(tbTransactions[[#This Row],[Qty]]&lt;0,"Debit",IF(tbTransactions[[#This Row],[Qty]]&gt;0,"Credit","Neutral")))</f>
        <v>Credit</v>
      </c>
      <c r="L128" s="174" t="s">
        <v>532</v>
      </c>
      <c r="M128" s="111" t="s">
        <v>454</v>
      </c>
    </row>
    <row r="129" spans="3:13" ht="30" customHeight="1" x14ac:dyDescent="0.25">
      <c r="C129" s="26">
        <v>127</v>
      </c>
      <c r="D129" s="27">
        <v>44335</v>
      </c>
      <c r="E129" s="23">
        <v>-2985</v>
      </c>
      <c r="F129" s="23">
        <v>1</v>
      </c>
      <c r="G129" s="24">
        <v>1</v>
      </c>
      <c r="H129" s="28">
        <f>tbTransactions[[#This Row],[Qty]]*tbTransactions[[#This Row],[Unit Cost]]*tbTransactions[[#This Row],[Exchange Rate]]</f>
        <v>-2985</v>
      </c>
      <c r="I129" s="21" t="s">
        <v>536</v>
      </c>
      <c r="J129" s="29" t="s">
        <v>418</v>
      </c>
      <c r="K129" s="183" t="str">
        <f>IF(tbTransactions[[#This Row],[Sub-Type]]="Transfer","Neutral",IF(tbTransactions[[#This Row],[Qty]]&lt;0,"Debit",IF(tbTransactions[[#This Row],[Qty]]&gt;0,"Credit","Neutral")))</f>
        <v>Debit</v>
      </c>
      <c r="L129" s="174" t="s">
        <v>528</v>
      </c>
      <c r="M129" s="23"/>
    </row>
    <row r="130" spans="3:13" ht="30" customHeight="1" x14ac:dyDescent="0.25">
      <c r="C130" s="26">
        <v>128</v>
      </c>
      <c r="D130" s="27">
        <v>44337</v>
      </c>
      <c r="E130" s="23">
        <v>-3000</v>
      </c>
      <c r="F130" s="23">
        <v>1</v>
      </c>
      <c r="G130" s="24">
        <v>1</v>
      </c>
      <c r="H130" s="28">
        <f>tbTransactions[[#This Row],[Qty]]*tbTransactions[[#This Row],[Unit Cost]]*tbTransactions[[#This Row],[Exchange Rate]]</f>
        <v>-3000</v>
      </c>
      <c r="I130" s="21" t="s">
        <v>526</v>
      </c>
      <c r="J130" s="29" t="s">
        <v>418</v>
      </c>
      <c r="K130" s="183" t="str">
        <f>IF(tbTransactions[[#This Row],[Sub-Type]]="Transfer","Neutral",IF(tbTransactions[[#This Row],[Qty]]&lt;0,"Debit",IF(tbTransactions[[#This Row],[Qty]]&gt;0,"Credit","Neutral")))</f>
        <v>Debit</v>
      </c>
      <c r="L130" s="161" t="s">
        <v>529</v>
      </c>
      <c r="M130" s="23"/>
    </row>
    <row r="131" spans="3:13" ht="30" customHeight="1" x14ac:dyDescent="0.25">
      <c r="C131" s="26">
        <v>129</v>
      </c>
      <c r="D131" s="27">
        <v>44337</v>
      </c>
      <c r="E131" s="23">
        <v>3000</v>
      </c>
      <c r="F131" s="23">
        <v>1</v>
      </c>
      <c r="G131" s="24">
        <v>1</v>
      </c>
      <c r="H131" s="28">
        <f>tbTransactions[[#This Row],[Qty]]*tbTransactions[[#This Row],[Unit Cost]]*tbTransactions[[#This Row],[Exchange Rate]]</f>
        <v>3000</v>
      </c>
      <c r="I131" s="21" t="s">
        <v>536</v>
      </c>
      <c r="J131" s="29" t="s">
        <v>418</v>
      </c>
      <c r="K131" s="183" t="str">
        <f>IF(tbTransactions[[#This Row],[Sub-Type]]="Transfer","Neutral",IF(tbTransactions[[#This Row],[Qty]]&lt;0,"Debit",IF(tbTransactions[[#This Row],[Qty]]&gt;0,"Credit","Neutral")))</f>
        <v>Credit</v>
      </c>
      <c r="L131" s="174" t="s">
        <v>527</v>
      </c>
      <c r="M131" s="23"/>
    </row>
    <row r="132" spans="3:13" ht="30" customHeight="1" x14ac:dyDescent="0.25">
      <c r="C132" s="26">
        <v>130</v>
      </c>
      <c r="D132" s="27">
        <v>44337</v>
      </c>
      <c r="E132" s="23">
        <v>-14.99</v>
      </c>
      <c r="F132" s="23">
        <v>1</v>
      </c>
      <c r="G132" s="24">
        <v>1</v>
      </c>
      <c r="H132" s="28">
        <f>tbTransactions[[#This Row],[Qty]]*tbTransactions[[#This Row],[Unit Cost]]*tbTransactions[[#This Row],[Exchange Rate]]</f>
        <v>-14.99</v>
      </c>
      <c r="I132" s="21" t="s">
        <v>536</v>
      </c>
      <c r="J132" s="29" t="s">
        <v>418</v>
      </c>
      <c r="K132" s="183" t="str">
        <f>IF(tbTransactions[[#This Row],[Sub-Type]]="Transfer","Neutral",IF(tbTransactions[[#This Row],[Qty]]&lt;0,"Debit",IF(tbTransactions[[#This Row],[Qty]]&gt;0,"Credit","Neutral")))</f>
        <v>Debit</v>
      </c>
      <c r="L132" s="174" t="s">
        <v>14</v>
      </c>
      <c r="M132" s="23"/>
    </row>
    <row r="133" spans="3:13" ht="30" customHeight="1" x14ac:dyDescent="0.25">
      <c r="C133" s="26">
        <v>131</v>
      </c>
      <c r="D133" s="27">
        <v>44337</v>
      </c>
      <c r="E133" s="23">
        <v>1.016866</v>
      </c>
      <c r="F133" s="23">
        <v>2935.4900252343964</v>
      </c>
      <c r="G133" s="24">
        <v>1</v>
      </c>
      <c r="H133" s="28">
        <f>tbTransactions[[#This Row],[Qty]]*tbTransactions[[#This Row],[Unit Cost]]*tbTransactions[[#This Row],[Exchange Rate]]</f>
        <v>2985</v>
      </c>
      <c r="I133" s="21" t="s">
        <v>536</v>
      </c>
      <c r="J133" s="29" t="s">
        <v>24</v>
      </c>
      <c r="K133" s="183" t="str">
        <f>IF(tbTransactions[[#This Row],[Sub-Type]]="Transfer","Neutral",IF(tbTransactions[[#This Row],[Qty]]&lt;0,"Debit",IF(tbTransactions[[#This Row],[Qty]]&gt;0,"Credit","Neutral")))</f>
        <v>Credit</v>
      </c>
      <c r="L133" s="174" t="s">
        <v>532</v>
      </c>
      <c r="M133" s="111" t="s">
        <v>454</v>
      </c>
    </row>
    <row r="134" spans="3:13" ht="30" customHeight="1" x14ac:dyDescent="0.25">
      <c r="C134" s="26">
        <v>132</v>
      </c>
      <c r="D134" s="27">
        <v>44337</v>
      </c>
      <c r="E134" s="23">
        <v>-2985</v>
      </c>
      <c r="F134" s="23">
        <v>1</v>
      </c>
      <c r="G134" s="24">
        <v>1</v>
      </c>
      <c r="H134" s="28">
        <f>tbTransactions[[#This Row],[Qty]]*tbTransactions[[#This Row],[Unit Cost]]*tbTransactions[[#This Row],[Exchange Rate]]</f>
        <v>-2985</v>
      </c>
      <c r="I134" s="21" t="s">
        <v>536</v>
      </c>
      <c r="J134" s="29" t="s">
        <v>418</v>
      </c>
      <c r="K134" s="183" t="str">
        <f>IF(tbTransactions[[#This Row],[Sub-Type]]="Transfer","Neutral",IF(tbTransactions[[#This Row],[Qty]]&lt;0,"Debit",IF(tbTransactions[[#This Row],[Qty]]&gt;0,"Credit","Neutral")))</f>
        <v>Debit</v>
      </c>
      <c r="L134" s="174" t="s">
        <v>528</v>
      </c>
      <c r="M134" s="23"/>
    </row>
    <row r="135" spans="3:13" ht="30" customHeight="1" x14ac:dyDescent="0.25">
      <c r="C135" s="26">
        <v>133</v>
      </c>
      <c r="D135" s="27">
        <v>44339</v>
      </c>
      <c r="E135" s="23">
        <v>-1.2139050300000001</v>
      </c>
      <c r="F135" s="23">
        <v>2200</v>
      </c>
      <c r="G135" s="24">
        <v>1</v>
      </c>
      <c r="H135" s="28">
        <f>tbTransactions[[#This Row],[Qty]]*tbTransactions[[#This Row],[Unit Cost]]*tbTransactions[[#This Row],[Exchange Rate]]</f>
        <v>-2670.591066</v>
      </c>
      <c r="I135" s="31" t="s">
        <v>445</v>
      </c>
      <c r="J135" s="29" t="s">
        <v>24</v>
      </c>
      <c r="K135" s="183" t="str">
        <f>IF(tbTransactions[[#This Row],[Sub-Type]]="Transfer","Neutral",IF(tbTransactions[[#This Row],[Qty]]&lt;0,"Debit",IF(tbTransactions[[#This Row],[Qty]]&gt;0,"Credit","Neutral")))</f>
        <v>Debit</v>
      </c>
      <c r="L135" s="313" t="s">
        <v>647</v>
      </c>
      <c r="M135" s="312" t="s">
        <v>654</v>
      </c>
    </row>
    <row r="136" spans="3:13" ht="30" customHeight="1" x14ac:dyDescent="0.25">
      <c r="C136" s="26">
        <v>134</v>
      </c>
      <c r="D136" s="27">
        <v>44339</v>
      </c>
      <c r="E136" s="23">
        <v>1900</v>
      </c>
      <c r="F136" s="23">
        <v>1.5672253836842105</v>
      </c>
      <c r="G136" s="24">
        <v>1.2060999999999999</v>
      </c>
      <c r="H136" s="28">
        <f>tbTransactions[[#This Row],[Qty]]*tbTransactions[[#This Row],[Unit Cost]]*tbTransactions[[#This Row],[Exchange Rate]]</f>
        <v>3591.4380169968995</v>
      </c>
      <c r="I136" s="31" t="s">
        <v>445</v>
      </c>
      <c r="J136" s="29" t="s">
        <v>19</v>
      </c>
      <c r="K136" s="183" t="str">
        <f>IF(tbTransactions[[#This Row],[Sub-Type]]="Transfer","Neutral",IF(tbTransactions[[#This Row],[Qty]]&lt;0,"Debit",IF(tbTransactions[[#This Row],[Qty]]&gt;0,"Credit","Neutral")))</f>
        <v>Credit</v>
      </c>
      <c r="L136" s="313" t="s">
        <v>647</v>
      </c>
      <c r="M136" s="312" t="s">
        <v>654</v>
      </c>
    </row>
    <row r="137" spans="3:13" ht="30" customHeight="1" x14ac:dyDescent="0.25">
      <c r="C137" s="26">
        <v>135</v>
      </c>
      <c r="D137" s="27">
        <v>44339</v>
      </c>
      <c r="E137" s="23">
        <v>-3000</v>
      </c>
      <c r="F137" s="23">
        <v>1</v>
      </c>
      <c r="G137" s="24">
        <v>1</v>
      </c>
      <c r="H137" s="28">
        <f>tbTransactions[[#This Row],[Qty]]*tbTransactions[[#This Row],[Unit Cost]]*tbTransactions[[#This Row],[Exchange Rate]]</f>
        <v>-3000</v>
      </c>
      <c r="I137" s="31" t="s">
        <v>526</v>
      </c>
      <c r="J137" s="29" t="s">
        <v>418</v>
      </c>
      <c r="K137" s="183" t="str">
        <f>IF(tbTransactions[[#This Row],[Sub-Type]]="Transfer","Neutral",IF(tbTransactions[[#This Row],[Qty]]&lt;0,"Debit",IF(tbTransactions[[#This Row],[Qty]]&gt;0,"Credit","Neutral")))</f>
        <v>Debit</v>
      </c>
      <c r="L137" s="161" t="s">
        <v>529</v>
      </c>
      <c r="M137" s="23"/>
    </row>
    <row r="138" spans="3:13" ht="30" customHeight="1" x14ac:dyDescent="0.25">
      <c r="C138" s="26">
        <v>136</v>
      </c>
      <c r="D138" s="27">
        <v>44339</v>
      </c>
      <c r="E138" s="23">
        <v>3000</v>
      </c>
      <c r="F138" s="23">
        <v>1</v>
      </c>
      <c r="G138" s="24">
        <v>1</v>
      </c>
      <c r="H138" s="28">
        <f>tbTransactions[[#This Row],[Qty]]*tbTransactions[[#This Row],[Unit Cost]]*tbTransactions[[#This Row],[Exchange Rate]]</f>
        <v>3000</v>
      </c>
      <c r="I138" s="31" t="s">
        <v>536</v>
      </c>
      <c r="J138" s="29" t="s">
        <v>418</v>
      </c>
      <c r="K138" s="183" t="str">
        <f>IF(tbTransactions[[#This Row],[Sub-Type]]="Transfer","Neutral",IF(tbTransactions[[#This Row],[Qty]]&lt;0,"Debit",IF(tbTransactions[[#This Row],[Qty]]&gt;0,"Credit","Neutral")))</f>
        <v>Credit</v>
      </c>
      <c r="L138" s="174" t="s">
        <v>527</v>
      </c>
      <c r="M138" s="23"/>
    </row>
    <row r="139" spans="3:13" ht="30" customHeight="1" x14ac:dyDescent="0.25">
      <c r="C139" s="26">
        <v>137</v>
      </c>
      <c r="D139" s="27">
        <v>44339</v>
      </c>
      <c r="E139" s="23">
        <v>-14.99</v>
      </c>
      <c r="F139" s="23">
        <v>1</v>
      </c>
      <c r="G139" s="24">
        <v>1</v>
      </c>
      <c r="H139" s="28">
        <f>tbTransactions[[#This Row],[Qty]]*tbTransactions[[#This Row],[Unit Cost]]*tbTransactions[[#This Row],[Exchange Rate]]</f>
        <v>-14.99</v>
      </c>
      <c r="I139" s="31" t="s">
        <v>536</v>
      </c>
      <c r="J139" s="29" t="s">
        <v>418</v>
      </c>
      <c r="K139" s="183" t="str">
        <f>IF(tbTransactions[[#This Row],[Sub-Type]]="Transfer","Neutral",IF(tbTransactions[[#This Row],[Qty]]&lt;0,"Debit",IF(tbTransactions[[#This Row],[Qty]]&gt;0,"Credit","Neutral")))</f>
        <v>Debit</v>
      </c>
      <c r="L139" s="174" t="s">
        <v>14</v>
      </c>
      <c r="M139" s="23"/>
    </row>
    <row r="140" spans="3:13" ht="30" customHeight="1" x14ac:dyDescent="0.25">
      <c r="C140" s="26">
        <v>138</v>
      </c>
      <c r="D140" s="27">
        <v>44339</v>
      </c>
      <c r="E140" s="23">
        <v>1.15311513</v>
      </c>
      <c r="F140" s="23">
        <v>2588.64</v>
      </c>
      <c r="G140" s="24">
        <v>1</v>
      </c>
      <c r="H140" s="28">
        <f>tbTransactions[[#This Row],[Qty]]*tbTransactions[[#This Row],[Unit Cost]]*tbTransactions[[#This Row],[Exchange Rate]]</f>
        <v>2984.9999501231996</v>
      </c>
      <c r="I140" s="31" t="s">
        <v>536</v>
      </c>
      <c r="J140" s="29" t="s">
        <v>24</v>
      </c>
      <c r="K140" s="183" t="str">
        <f>IF(tbTransactions[[#This Row],[Sub-Type]]="Transfer","Neutral",IF(tbTransactions[[#This Row],[Qty]]&lt;0,"Debit",IF(tbTransactions[[#This Row],[Qty]]&gt;0,"Credit","Neutral")))</f>
        <v>Credit</v>
      </c>
      <c r="L140" s="174" t="s">
        <v>532</v>
      </c>
      <c r="M140" s="111" t="s">
        <v>454</v>
      </c>
    </row>
    <row r="141" spans="3:13" ht="30" customHeight="1" x14ac:dyDescent="0.25">
      <c r="C141" s="26">
        <v>139</v>
      </c>
      <c r="D141" s="27">
        <v>44339</v>
      </c>
      <c r="E141" s="23">
        <v>-2985</v>
      </c>
      <c r="F141" s="23">
        <v>1</v>
      </c>
      <c r="G141" s="24">
        <v>1</v>
      </c>
      <c r="H141" s="28">
        <f>tbTransactions[[#This Row],[Qty]]*tbTransactions[[#This Row],[Unit Cost]]*tbTransactions[[#This Row],[Exchange Rate]]</f>
        <v>-2985</v>
      </c>
      <c r="I141" s="31" t="s">
        <v>536</v>
      </c>
      <c r="J141" s="29" t="s">
        <v>418</v>
      </c>
      <c r="K141" s="183" t="str">
        <f>IF(tbTransactions[[#This Row],[Sub-Type]]="Transfer","Neutral",IF(tbTransactions[[#This Row],[Qty]]&lt;0,"Debit",IF(tbTransactions[[#This Row],[Qty]]&gt;0,"Credit","Neutral")))</f>
        <v>Debit</v>
      </c>
      <c r="L141" s="174" t="s">
        <v>528</v>
      </c>
      <c r="M141" s="23"/>
    </row>
    <row r="142" spans="3:13" ht="30" customHeight="1" x14ac:dyDescent="0.25">
      <c r="C142" s="26">
        <v>140</v>
      </c>
      <c r="D142" s="27">
        <v>44339</v>
      </c>
      <c r="E142" s="23">
        <v>-1900</v>
      </c>
      <c r="F142" s="23">
        <v>1</v>
      </c>
      <c r="G142" s="24">
        <v>1</v>
      </c>
      <c r="H142" s="28">
        <f>tbTransactions[[#This Row],[Qty]]*tbTransactions[[#This Row],[Unit Cost]]*tbTransactions[[#This Row],[Exchange Rate]]</f>
        <v>-1900</v>
      </c>
      <c r="I142" s="31" t="s">
        <v>445</v>
      </c>
      <c r="J142" s="29" t="s">
        <v>19</v>
      </c>
      <c r="K142" s="183" t="str">
        <f>IF(tbTransactions[[#This Row],[Sub-Type]]="Transfer","Neutral",IF(tbTransactions[[#This Row],[Qty]]&lt;0,"Debit",IF(tbTransactions[[#This Row],[Qty]]&gt;0,"Credit","Neutral")))</f>
        <v>Neutral</v>
      </c>
      <c r="L142" s="174" t="s">
        <v>39</v>
      </c>
      <c r="M142" s="33" t="s">
        <v>42</v>
      </c>
    </row>
    <row r="143" spans="3:13" ht="30" customHeight="1" x14ac:dyDescent="0.25">
      <c r="C143" s="26">
        <v>141</v>
      </c>
      <c r="D143" s="27">
        <v>44339</v>
      </c>
      <c r="E143" s="23">
        <v>1899.813461</v>
      </c>
      <c r="F143" s="23">
        <v>1</v>
      </c>
      <c r="G143" s="24">
        <v>1</v>
      </c>
      <c r="H143" s="28">
        <f>tbTransactions[[#This Row],[Qty]]*tbTransactions[[#This Row],[Unit Cost]]*tbTransactions[[#This Row],[Exchange Rate]]</f>
        <v>1899.813461</v>
      </c>
      <c r="I143" s="31" t="s">
        <v>534</v>
      </c>
      <c r="J143" s="29" t="s">
        <v>19</v>
      </c>
      <c r="K143" s="183" t="str">
        <f>IF(tbTransactions[[#This Row],[Sub-Type]]="Transfer","Neutral",IF(tbTransactions[[#This Row],[Qty]]&lt;0,"Debit",IF(tbTransactions[[#This Row],[Qty]]&gt;0,"Credit","Neutral")))</f>
        <v>Neutral</v>
      </c>
      <c r="L143" s="174" t="s">
        <v>39</v>
      </c>
      <c r="M143" s="33" t="s">
        <v>42</v>
      </c>
    </row>
    <row r="144" spans="3:13" ht="30" customHeight="1" x14ac:dyDescent="0.25">
      <c r="C144" s="26">
        <v>142</v>
      </c>
      <c r="D144" s="27">
        <v>44339</v>
      </c>
      <c r="E144" s="23">
        <v>-0.18653900000003901</v>
      </c>
      <c r="F144" s="23">
        <v>1</v>
      </c>
      <c r="G144" s="24">
        <v>1</v>
      </c>
      <c r="H144" s="28">
        <f>tbTransactions[[#This Row],[Qty]]*tbTransactions[[#This Row],[Unit Cost]]*tbTransactions[[#This Row],[Exchange Rate]]</f>
        <v>-0.18653900000003901</v>
      </c>
      <c r="I144" s="31" t="s">
        <v>445</v>
      </c>
      <c r="J144" s="29" t="s">
        <v>19</v>
      </c>
      <c r="K144" s="183" t="str">
        <f>IF(tbTransactions[[#This Row],[Sub-Type]]="Transfer","Neutral",IF(tbTransactions[[#This Row],[Qty]]&lt;0,"Debit",IF(tbTransactions[[#This Row],[Qty]]&gt;0,"Credit","Neutral")))</f>
        <v>Debit</v>
      </c>
      <c r="L144" s="174" t="s">
        <v>14</v>
      </c>
      <c r="M144" s="33" t="s">
        <v>42</v>
      </c>
    </row>
    <row r="145" spans="3:13" ht="30" customHeight="1" x14ac:dyDescent="0.25">
      <c r="C145" s="26">
        <v>143</v>
      </c>
      <c r="D145" s="27">
        <v>44339</v>
      </c>
      <c r="E145" s="23">
        <v>-0.81731560000000003</v>
      </c>
      <c r="F145" s="23">
        <v>2200</v>
      </c>
      <c r="G145" s="24">
        <v>1</v>
      </c>
      <c r="H145" s="28">
        <f>tbTransactions[[#This Row],[Qty]]*tbTransactions[[#This Row],[Unit Cost]]*tbTransactions[[#This Row],[Exchange Rate]]</f>
        <v>-1798.0943200000002</v>
      </c>
      <c r="I145" s="31" t="s">
        <v>445</v>
      </c>
      <c r="J145" s="29" t="s">
        <v>24</v>
      </c>
      <c r="K145" s="183" t="str">
        <f>IF(tbTransactions[[#This Row],[Sub-Type]]="Transfer","Neutral",IF(tbTransactions[[#This Row],[Qty]]&lt;0,"Debit",IF(tbTransactions[[#This Row],[Qty]]&gt;0,"Credit","Neutral")))</f>
        <v>Debit</v>
      </c>
      <c r="L145" s="42" t="s">
        <v>38</v>
      </c>
      <c r="M145" s="33" t="s">
        <v>43</v>
      </c>
    </row>
    <row r="146" spans="3:13" ht="30" customHeight="1" x14ac:dyDescent="0.25">
      <c r="C146" s="26">
        <v>144</v>
      </c>
      <c r="D146" s="27">
        <v>44339</v>
      </c>
      <c r="E146" s="32">
        <v>87.258659390000005</v>
      </c>
      <c r="F146" s="38">
        <f>1978.01/87.25865939</f>
        <v>22.668351930085731</v>
      </c>
      <c r="G146" s="24">
        <v>1</v>
      </c>
      <c r="H146" s="28">
        <f>tbTransactions[[#This Row],[Qty]]*tbTransactions[[#This Row],[Unit Cost]]*tbTransactions[[#This Row],[Exchange Rate]]</f>
        <v>1978.01</v>
      </c>
      <c r="I146" s="31" t="s">
        <v>445</v>
      </c>
      <c r="J146" s="29" t="s">
        <v>22</v>
      </c>
      <c r="K146" s="183" t="str">
        <f>IF(tbTransactions[[#This Row],[Sub-Type]]="Transfer","Neutral",IF(tbTransactions[[#This Row],[Qty]]&lt;0,"Debit",IF(tbTransactions[[#This Row],[Qty]]&gt;0,"Credit","Neutral")))</f>
        <v>Credit</v>
      </c>
      <c r="L146" s="174" t="s">
        <v>545</v>
      </c>
      <c r="M146" s="111" t="s">
        <v>470</v>
      </c>
    </row>
    <row r="147" spans="3:13" ht="30" customHeight="1" x14ac:dyDescent="0.25">
      <c r="C147" s="26">
        <v>145</v>
      </c>
      <c r="D147" s="27">
        <v>44339</v>
      </c>
      <c r="E147" s="23">
        <v>-375</v>
      </c>
      <c r="F147" s="23">
        <v>1</v>
      </c>
      <c r="G147" s="24">
        <v>1</v>
      </c>
      <c r="H147" s="28">
        <f>tbTransactions[[#This Row],[Qty]]*tbTransactions[[#This Row],[Unit Cost]]*tbTransactions[[#This Row],[Exchange Rate]]</f>
        <v>-375</v>
      </c>
      <c r="I147" s="40" t="s">
        <v>526</v>
      </c>
      <c r="J147" s="29" t="s">
        <v>418</v>
      </c>
      <c r="K147" s="183" t="str">
        <f>IF(tbTransactions[[#This Row],[Sub-Type]]="Transfer","Neutral",IF(tbTransactions[[#This Row],[Qty]]&lt;0,"Debit",IF(tbTransactions[[#This Row],[Qty]]&gt;0,"Credit","Neutral")))</f>
        <v>Debit</v>
      </c>
      <c r="L147" s="161" t="s">
        <v>529</v>
      </c>
      <c r="M147" s="23"/>
    </row>
    <row r="148" spans="3:13" ht="30" customHeight="1" x14ac:dyDescent="0.25">
      <c r="C148" s="26">
        <v>146</v>
      </c>
      <c r="D148" s="27">
        <v>44339</v>
      </c>
      <c r="E148" s="23">
        <v>0.14247898000000001</v>
      </c>
      <c r="F148" s="23">
        <f>360.61/0.14247898</f>
        <v>2530.9698314797033</v>
      </c>
      <c r="G148" s="24">
        <v>1</v>
      </c>
      <c r="H148" s="28">
        <f>tbTransactions[[#This Row],[Qty]]*tbTransactions[[#This Row],[Unit Cost]]*tbTransactions[[#This Row],[Exchange Rate]]</f>
        <v>360.61</v>
      </c>
      <c r="I148" s="40" t="s">
        <v>430</v>
      </c>
      <c r="J148" s="29" t="s">
        <v>24</v>
      </c>
      <c r="K148" s="183" t="str">
        <f>IF(tbTransactions[[#This Row],[Sub-Type]]="Transfer","Neutral",IF(tbTransactions[[#This Row],[Qty]]&lt;0,"Debit",IF(tbTransactions[[#This Row],[Qty]]&gt;0,"Credit","Neutral")))</f>
        <v>Credit</v>
      </c>
      <c r="L148" s="174" t="s">
        <v>532</v>
      </c>
      <c r="M148" s="111" t="s">
        <v>454</v>
      </c>
    </row>
    <row r="149" spans="3:13" ht="30" customHeight="1" x14ac:dyDescent="0.25">
      <c r="C149" s="26">
        <v>147</v>
      </c>
      <c r="D149" s="27">
        <v>44339</v>
      </c>
      <c r="E149" s="23">
        <v>14.39</v>
      </c>
      <c r="F149" s="23">
        <v>1</v>
      </c>
      <c r="G149" s="24">
        <v>1</v>
      </c>
      <c r="H149" s="28">
        <f>tbTransactions[[#This Row],[Qty]]*tbTransactions[[#This Row],[Unit Cost]]*tbTransactions[[#This Row],[Exchange Rate]]</f>
        <v>14.39</v>
      </c>
      <c r="I149" s="40" t="s">
        <v>430</v>
      </c>
      <c r="J149" s="29" t="s">
        <v>418</v>
      </c>
      <c r="K149" s="183" t="str">
        <f>IF(tbTransactions[[#This Row],[Sub-Type]]="Transfer","Neutral",IF(tbTransactions[[#This Row],[Qty]]&lt;0,"Debit",IF(tbTransactions[[#This Row],[Qty]]&gt;0,"Credit","Neutral")))</f>
        <v>Credit</v>
      </c>
      <c r="L149" s="174" t="s">
        <v>14</v>
      </c>
      <c r="M149" s="23"/>
    </row>
    <row r="150" spans="3:13" ht="30" customHeight="1" x14ac:dyDescent="0.25">
      <c r="C150" s="26">
        <v>148</v>
      </c>
      <c r="D150" s="27">
        <v>44343</v>
      </c>
      <c r="E150" s="23">
        <v>5.76</v>
      </c>
      <c r="F150" s="23">
        <v>1</v>
      </c>
      <c r="G150" s="24">
        <v>1</v>
      </c>
      <c r="H150" s="28">
        <f>tbTransactions[[#This Row],[Qty]]*tbTransactions[[#This Row],[Unit Cost]]*tbTransactions[[#This Row],[Exchange Rate]]</f>
        <v>5.76</v>
      </c>
      <c r="I150" s="40" t="s">
        <v>430</v>
      </c>
      <c r="J150" s="29" t="s">
        <v>418</v>
      </c>
      <c r="K150" s="183" t="str">
        <f>IF(tbTransactions[[#This Row],[Sub-Type]]="Transfer","Neutral",IF(tbTransactions[[#This Row],[Qty]]&lt;0,"Debit",IF(tbTransactions[[#This Row],[Qty]]&gt;0,"Credit","Neutral")))</f>
        <v>Credit</v>
      </c>
      <c r="L150" s="174" t="s">
        <v>14</v>
      </c>
      <c r="M150" s="41"/>
    </row>
    <row r="151" spans="3:13" ht="30" customHeight="1" x14ac:dyDescent="0.25">
      <c r="C151" s="26">
        <v>149</v>
      </c>
      <c r="D151" s="27">
        <v>44343</v>
      </c>
      <c r="E151" s="23">
        <v>-150</v>
      </c>
      <c r="F151" s="23">
        <v>1</v>
      </c>
      <c r="G151" s="24">
        <v>1</v>
      </c>
      <c r="H151" s="28">
        <f>tbTransactions[[#This Row],[Qty]]*tbTransactions[[#This Row],[Unit Cost]]*tbTransactions[[#This Row],[Exchange Rate]]</f>
        <v>-150</v>
      </c>
      <c r="I151" s="40" t="s">
        <v>526</v>
      </c>
      <c r="J151" s="29" t="s">
        <v>418</v>
      </c>
      <c r="K151" s="183" t="str">
        <f>IF(tbTransactions[[#This Row],[Sub-Type]]="Transfer","Neutral",IF(tbTransactions[[#This Row],[Qty]]&lt;0,"Debit",IF(tbTransactions[[#This Row],[Qty]]&gt;0,"Credit","Neutral")))</f>
        <v>Debit</v>
      </c>
      <c r="L151" s="161" t="s">
        <v>529</v>
      </c>
      <c r="M151" s="41"/>
    </row>
    <row r="152" spans="3:13" ht="30" customHeight="1" x14ac:dyDescent="0.25">
      <c r="C152" s="26">
        <v>150</v>
      </c>
      <c r="D152" s="27">
        <v>44343</v>
      </c>
      <c r="E152" s="23">
        <v>54.368400000000001</v>
      </c>
      <c r="F152" s="23">
        <v>2.653</v>
      </c>
      <c r="G152" s="24">
        <v>1</v>
      </c>
      <c r="H152" s="28">
        <f>tbTransactions[[#This Row],[Qty]]*tbTransactions[[#This Row],[Unit Cost]]*tbTransactions[[#This Row],[Exchange Rate]]</f>
        <v>144.23936520000001</v>
      </c>
      <c r="I152" s="49" t="s">
        <v>430</v>
      </c>
      <c r="J152" s="29" t="s">
        <v>437</v>
      </c>
      <c r="K152" s="183" t="str">
        <f>IF(tbTransactions[[#This Row],[Sub-Type]]="Transfer","Neutral",IF(tbTransactions[[#This Row],[Qty]]&lt;0,"Debit",IF(tbTransactions[[#This Row],[Qty]]&gt;0,"Credit","Neutral")))</f>
        <v>Credit</v>
      </c>
      <c r="L152" s="174" t="s">
        <v>532</v>
      </c>
      <c r="M152" s="111" t="s">
        <v>454</v>
      </c>
    </row>
    <row r="153" spans="3:13" ht="30" customHeight="1" x14ac:dyDescent="0.25">
      <c r="C153" s="26">
        <v>151</v>
      </c>
      <c r="D153" s="27">
        <v>44343</v>
      </c>
      <c r="E153" s="23">
        <v>22.7827372</v>
      </c>
      <c r="F153" s="23">
        <v>0</v>
      </c>
      <c r="G153" s="24">
        <v>1</v>
      </c>
      <c r="H153" s="28">
        <f>tbTransactions[[#This Row],[Qty]]*tbTransactions[[#This Row],[Unit Cost]]*tbTransactions[[#This Row],[Exchange Rate]]</f>
        <v>0</v>
      </c>
      <c r="I153" s="52" t="s">
        <v>430</v>
      </c>
      <c r="J153" s="29" t="s">
        <v>27</v>
      </c>
      <c r="K153" s="183" t="str">
        <f>IF(tbTransactions[[#This Row],[Sub-Type]]="Transfer","Neutral",IF(tbTransactions[[#This Row],[Qty]]&lt;0,"Debit",IF(tbTransactions[[#This Row],[Qty]]&gt;0,"Credit","Neutral")))</f>
        <v>Credit</v>
      </c>
      <c r="L153" s="174" t="s">
        <v>532</v>
      </c>
      <c r="M153" s="109" t="s">
        <v>459</v>
      </c>
    </row>
    <row r="154" spans="3:13" ht="30" customHeight="1" x14ac:dyDescent="0.25">
      <c r="C154" s="26">
        <v>152</v>
      </c>
      <c r="D154" s="27">
        <v>44343</v>
      </c>
      <c r="E154" s="23">
        <v>7.1999999999999998E-3</v>
      </c>
      <c r="F154" s="23">
        <v>0</v>
      </c>
      <c r="G154" s="24">
        <v>1</v>
      </c>
      <c r="H154" s="28">
        <f>tbTransactions[[#This Row],[Qty]]*tbTransactions[[#This Row],[Unit Cost]]*tbTransactions[[#This Row],[Exchange Rate]]</f>
        <v>0</v>
      </c>
      <c r="I154" s="110" t="s">
        <v>430</v>
      </c>
      <c r="J154" s="29" t="s">
        <v>438</v>
      </c>
      <c r="K154" s="183" t="str">
        <f>IF(tbTransactions[[#This Row],[Sub-Type]]="Transfer","Neutral",IF(tbTransactions[[#This Row],[Qty]]&lt;0,"Debit",IF(tbTransactions[[#This Row],[Qty]]&gt;0,"Credit","Neutral")))</f>
        <v>Credit</v>
      </c>
      <c r="L154" s="174" t="s">
        <v>544</v>
      </c>
      <c r="M154" s="109" t="s">
        <v>462</v>
      </c>
    </row>
    <row r="155" spans="3:13" ht="30" customHeight="1" x14ac:dyDescent="0.25">
      <c r="C155" s="26">
        <v>153</v>
      </c>
      <c r="D155" s="27">
        <v>44343</v>
      </c>
      <c r="E155" s="23">
        <v>7.1999999999999998E-3</v>
      </c>
      <c r="F155" s="23">
        <v>0</v>
      </c>
      <c r="G155" s="24">
        <v>1</v>
      </c>
      <c r="H155" s="28">
        <f>tbTransactions[[#This Row],[Qty]]*tbTransactions[[#This Row],[Unit Cost]]*tbTransactions[[#This Row],[Exchange Rate]]</f>
        <v>0</v>
      </c>
      <c r="I155" s="110" t="s">
        <v>430</v>
      </c>
      <c r="J155" s="29" t="s">
        <v>438</v>
      </c>
      <c r="K155" s="183" t="str">
        <f>IF(tbTransactions[[#This Row],[Sub-Type]]="Transfer","Neutral",IF(tbTransactions[[#This Row],[Qty]]&lt;0,"Debit",IF(tbTransactions[[#This Row],[Qty]]&gt;0,"Credit","Neutral")))</f>
        <v>Credit</v>
      </c>
      <c r="L155" s="174" t="s">
        <v>544</v>
      </c>
      <c r="M155" s="109" t="s">
        <v>462</v>
      </c>
    </row>
    <row r="156" spans="3:13" ht="30" customHeight="1" x14ac:dyDescent="0.25">
      <c r="C156" s="26">
        <v>154</v>
      </c>
      <c r="D156" s="27">
        <v>44343</v>
      </c>
      <c r="E156" s="23">
        <v>7.1999999999999998E-3</v>
      </c>
      <c r="F156" s="23">
        <v>0</v>
      </c>
      <c r="G156" s="24">
        <v>1</v>
      </c>
      <c r="H156" s="28">
        <f>tbTransactions[[#This Row],[Qty]]*tbTransactions[[#This Row],[Unit Cost]]*tbTransactions[[#This Row],[Exchange Rate]]</f>
        <v>0</v>
      </c>
      <c r="I156" s="110" t="s">
        <v>430</v>
      </c>
      <c r="J156" s="29" t="s">
        <v>438</v>
      </c>
      <c r="K156" s="183" t="str">
        <f>IF(tbTransactions[[#This Row],[Sub-Type]]="Transfer","Neutral",IF(tbTransactions[[#This Row],[Qty]]&lt;0,"Debit",IF(tbTransactions[[#This Row],[Qty]]&gt;0,"Credit","Neutral")))</f>
        <v>Credit</v>
      </c>
      <c r="L156" s="174" t="s">
        <v>544</v>
      </c>
      <c r="M156" s="109" t="s">
        <v>462</v>
      </c>
    </row>
    <row r="157" spans="3:13" ht="30" customHeight="1" x14ac:dyDescent="0.25">
      <c r="C157" s="26">
        <v>155</v>
      </c>
      <c r="D157" s="27">
        <v>44343</v>
      </c>
      <c r="E157" s="23">
        <v>1.3099000000000001</v>
      </c>
      <c r="F157" s="23">
        <v>0</v>
      </c>
      <c r="G157" s="24">
        <v>1</v>
      </c>
      <c r="H157" s="28">
        <f>tbTransactions[[#This Row],[Qty]]*tbTransactions[[#This Row],[Unit Cost]]*tbTransactions[[#This Row],[Exchange Rate]]</f>
        <v>0</v>
      </c>
      <c r="I157" s="110" t="s">
        <v>430</v>
      </c>
      <c r="J157" s="29" t="s">
        <v>439</v>
      </c>
      <c r="K157" s="183" t="str">
        <f>IF(tbTransactions[[#This Row],[Sub-Type]]="Transfer","Neutral",IF(tbTransactions[[#This Row],[Qty]]&lt;0,"Debit",IF(tbTransactions[[#This Row],[Qty]]&gt;0,"Credit","Neutral")))</f>
        <v>Credit</v>
      </c>
      <c r="L157" s="174" t="s">
        <v>544</v>
      </c>
      <c r="M157" s="109" t="s">
        <v>463</v>
      </c>
    </row>
    <row r="158" spans="3:13" ht="30" customHeight="1" x14ac:dyDescent="0.25">
      <c r="C158" s="26">
        <v>156</v>
      </c>
      <c r="D158" s="27">
        <v>44343</v>
      </c>
      <c r="E158" s="23">
        <v>1.3101</v>
      </c>
      <c r="F158" s="23">
        <v>0</v>
      </c>
      <c r="G158" s="24">
        <v>1</v>
      </c>
      <c r="H158" s="28">
        <f>tbTransactions[[#This Row],[Qty]]*tbTransactions[[#This Row],[Unit Cost]]*tbTransactions[[#This Row],[Exchange Rate]]</f>
        <v>0</v>
      </c>
      <c r="I158" s="110" t="s">
        <v>430</v>
      </c>
      <c r="J158" s="29" t="s">
        <v>439</v>
      </c>
      <c r="K158" s="183" t="str">
        <f>IF(tbTransactions[[#This Row],[Sub-Type]]="Transfer","Neutral",IF(tbTransactions[[#This Row],[Qty]]&lt;0,"Debit",IF(tbTransactions[[#This Row],[Qty]]&gt;0,"Credit","Neutral")))</f>
        <v>Credit</v>
      </c>
      <c r="L158" s="174" t="s">
        <v>544</v>
      </c>
      <c r="M158" s="109" t="s">
        <v>463</v>
      </c>
    </row>
    <row r="159" spans="3:13" ht="30" customHeight="1" x14ac:dyDescent="0.25">
      <c r="C159" s="26">
        <v>157</v>
      </c>
      <c r="D159" s="27">
        <v>44343</v>
      </c>
      <c r="E159" s="23">
        <v>1.3153999999999999</v>
      </c>
      <c r="F159" s="23">
        <v>0</v>
      </c>
      <c r="G159" s="24">
        <v>1</v>
      </c>
      <c r="H159" s="28">
        <f>tbTransactions[[#This Row],[Qty]]*tbTransactions[[#This Row],[Unit Cost]]*tbTransactions[[#This Row],[Exchange Rate]]</f>
        <v>0</v>
      </c>
      <c r="I159" s="110" t="s">
        <v>430</v>
      </c>
      <c r="J159" s="29" t="s">
        <v>439</v>
      </c>
      <c r="K159" s="183" t="str">
        <f>IF(tbTransactions[[#This Row],[Sub-Type]]="Transfer","Neutral",IF(tbTransactions[[#This Row],[Qty]]&lt;0,"Debit",IF(tbTransactions[[#This Row],[Qty]]&gt;0,"Credit","Neutral")))</f>
        <v>Credit</v>
      </c>
      <c r="L159" s="174" t="s">
        <v>544</v>
      </c>
      <c r="M159" s="109" t="s">
        <v>463</v>
      </c>
    </row>
    <row r="160" spans="3:13" ht="30" customHeight="1" x14ac:dyDescent="0.25">
      <c r="C160" s="26">
        <v>158</v>
      </c>
      <c r="D160" s="27">
        <v>44343</v>
      </c>
      <c r="E160" s="23">
        <v>4.2500000000000003E-2</v>
      </c>
      <c r="F160" s="23">
        <v>0</v>
      </c>
      <c r="G160" s="24">
        <v>1</v>
      </c>
      <c r="H160" s="28">
        <f>tbTransactions[[#This Row],[Qty]]*tbTransactions[[#This Row],[Unit Cost]]*tbTransactions[[#This Row],[Exchange Rate]]</f>
        <v>0</v>
      </c>
      <c r="I160" s="110" t="s">
        <v>430</v>
      </c>
      <c r="J160" s="29" t="s">
        <v>440</v>
      </c>
      <c r="K160" s="183" t="str">
        <f>IF(tbTransactions[[#This Row],[Sub-Type]]="Transfer","Neutral",IF(tbTransactions[[#This Row],[Qty]]&lt;0,"Debit",IF(tbTransactions[[#This Row],[Qty]]&gt;0,"Credit","Neutral")))</f>
        <v>Credit</v>
      </c>
      <c r="L160" s="174" t="s">
        <v>544</v>
      </c>
      <c r="M160" s="109" t="s">
        <v>464</v>
      </c>
    </row>
    <row r="161" spans="3:13" ht="30" customHeight="1" x14ac:dyDescent="0.25">
      <c r="C161" s="26">
        <v>159</v>
      </c>
      <c r="D161" s="27">
        <v>44343</v>
      </c>
      <c r="E161" s="23">
        <v>4.2500000000000003E-2</v>
      </c>
      <c r="F161" s="23">
        <v>0</v>
      </c>
      <c r="G161" s="24">
        <v>1</v>
      </c>
      <c r="H161" s="28">
        <f>tbTransactions[[#This Row],[Qty]]*tbTransactions[[#This Row],[Unit Cost]]*tbTransactions[[#This Row],[Exchange Rate]]</f>
        <v>0</v>
      </c>
      <c r="I161" s="110" t="s">
        <v>430</v>
      </c>
      <c r="J161" s="29" t="s">
        <v>440</v>
      </c>
      <c r="K161" s="183" t="str">
        <f>IF(tbTransactions[[#This Row],[Sub-Type]]="Transfer","Neutral",IF(tbTransactions[[#This Row],[Qty]]&lt;0,"Debit",IF(tbTransactions[[#This Row],[Qty]]&gt;0,"Credit","Neutral")))</f>
        <v>Credit</v>
      </c>
      <c r="L161" s="174" t="s">
        <v>544</v>
      </c>
      <c r="M161" s="109" t="s">
        <v>464</v>
      </c>
    </row>
    <row r="162" spans="3:13" ht="30" customHeight="1" x14ac:dyDescent="0.25">
      <c r="C162" s="26">
        <v>160</v>
      </c>
      <c r="D162" s="27">
        <v>44343</v>
      </c>
      <c r="E162" s="23">
        <v>4.2500000000000003E-2</v>
      </c>
      <c r="F162" s="23">
        <v>0</v>
      </c>
      <c r="G162" s="24">
        <v>1</v>
      </c>
      <c r="H162" s="28">
        <f>tbTransactions[[#This Row],[Qty]]*tbTransactions[[#This Row],[Unit Cost]]*tbTransactions[[#This Row],[Exchange Rate]]</f>
        <v>0</v>
      </c>
      <c r="I162" s="110" t="s">
        <v>430</v>
      </c>
      <c r="J162" s="29" t="s">
        <v>440</v>
      </c>
      <c r="K162" s="183" t="str">
        <f>IF(tbTransactions[[#This Row],[Sub-Type]]="Transfer","Neutral",IF(tbTransactions[[#This Row],[Qty]]&lt;0,"Debit",IF(tbTransactions[[#This Row],[Qty]]&gt;0,"Credit","Neutral")))</f>
        <v>Credit</v>
      </c>
      <c r="L162" s="174" t="s">
        <v>544</v>
      </c>
      <c r="M162" s="109" t="s">
        <v>464</v>
      </c>
    </row>
    <row r="163" spans="3:13" ht="30" customHeight="1" x14ac:dyDescent="0.25">
      <c r="C163" s="26">
        <v>161</v>
      </c>
      <c r="D163" s="27">
        <v>44344</v>
      </c>
      <c r="E163" s="23">
        <v>-3000</v>
      </c>
      <c r="F163" s="23">
        <v>1</v>
      </c>
      <c r="G163" s="24">
        <v>1</v>
      </c>
      <c r="H163" s="28">
        <f>tbTransactions[[#This Row],[Qty]]*tbTransactions[[#This Row],[Unit Cost]]*tbTransactions[[#This Row],[Exchange Rate]]</f>
        <v>-3000</v>
      </c>
      <c r="I163" s="40" t="s">
        <v>526</v>
      </c>
      <c r="J163" s="29" t="s">
        <v>418</v>
      </c>
      <c r="K163" s="183" t="str">
        <f>IF(tbTransactions[[#This Row],[Sub-Type]]="Transfer","Neutral",IF(tbTransactions[[#This Row],[Qty]]&lt;0,"Debit",IF(tbTransactions[[#This Row],[Qty]]&gt;0,"Credit","Neutral")))</f>
        <v>Debit</v>
      </c>
      <c r="L163" s="161" t="s">
        <v>529</v>
      </c>
      <c r="M163" s="41"/>
    </row>
    <row r="164" spans="3:13" ht="30" customHeight="1" x14ac:dyDescent="0.25">
      <c r="C164" s="26">
        <v>162</v>
      </c>
      <c r="D164" s="27">
        <v>44344</v>
      </c>
      <c r="E164" s="23">
        <v>3000</v>
      </c>
      <c r="F164" s="23">
        <v>1</v>
      </c>
      <c r="G164" s="24">
        <v>1</v>
      </c>
      <c r="H164" s="28">
        <f>tbTransactions[[#This Row],[Qty]]*tbTransactions[[#This Row],[Unit Cost]]*tbTransactions[[#This Row],[Exchange Rate]]</f>
        <v>3000</v>
      </c>
      <c r="I164" s="31" t="s">
        <v>536</v>
      </c>
      <c r="J164" s="29" t="s">
        <v>418</v>
      </c>
      <c r="K164" s="183" t="str">
        <f>IF(tbTransactions[[#This Row],[Sub-Type]]="Transfer","Neutral",IF(tbTransactions[[#This Row],[Qty]]&lt;0,"Debit",IF(tbTransactions[[#This Row],[Qty]]&gt;0,"Credit","Neutral")))</f>
        <v>Credit</v>
      </c>
      <c r="L164" s="174" t="s">
        <v>527</v>
      </c>
      <c r="M164" s="41"/>
    </row>
    <row r="165" spans="3:13" ht="30" customHeight="1" x14ac:dyDescent="0.25">
      <c r="C165" s="26">
        <v>163</v>
      </c>
      <c r="D165" s="27">
        <v>44344</v>
      </c>
      <c r="E165" s="23">
        <v>0.112382</v>
      </c>
      <c r="F165" s="23">
        <v>0</v>
      </c>
      <c r="G165" s="24">
        <v>1</v>
      </c>
      <c r="H165" s="28">
        <f>tbTransactions[[#This Row],[Qty]]*tbTransactions[[#This Row],[Unit Cost]]*tbTransactions[[#This Row],[Exchange Rate]]</f>
        <v>0</v>
      </c>
      <c r="I165" s="50" t="s">
        <v>445</v>
      </c>
      <c r="J165" s="29" t="s">
        <v>20</v>
      </c>
      <c r="K165" s="183" t="str">
        <f>IF(tbTransactions[[#This Row],[Sub-Type]]="Transfer","Neutral",IF(tbTransactions[[#This Row],[Qty]]&lt;0,"Debit",IF(tbTransactions[[#This Row],[Qty]]&gt;0,"Credit","Neutral")))</f>
        <v>Credit</v>
      </c>
      <c r="L165" s="174" t="s">
        <v>546</v>
      </c>
      <c r="M165" s="51" t="s">
        <v>47</v>
      </c>
    </row>
    <row r="166" spans="3:13" ht="30" customHeight="1" x14ac:dyDescent="0.25">
      <c r="C166" s="26">
        <v>164</v>
      </c>
      <c r="D166" s="27">
        <v>44344</v>
      </c>
      <c r="E166" s="23">
        <v>-14.99</v>
      </c>
      <c r="F166" s="23">
        <v>1</v>
      </c>
      <c r="G166" s="24">
        <v>1</v>
      </c>
      <c r="H166" s="28">
        <f>tbTransactions[[#This Row],[Qty]]*tbTransactions[[#This Row],[Unit Cost]]*tbTransactions[[#This Row],[Exchange Rate]]</f>
        <v>-14.99</v>
      </c>
      <c r="I166" s="40" t="s">
        <v>430</v>
      </c>
      <c r="J166" s="29" t="s">
        <v>418</v>
      </c>
      <c r="K166" s="183" t="str">
        <f>IF(tbTransactions[[#This Row],[Sub-Type]]="Transfer","Neutral",IF(tbTransactions[[#This Row],[Qty]]&lt;0,"Debit",IF(tbTransactions[[#This Row],[Qty]]&gt;0,"Credit","Neutral")))</f>
        <v>Debit</v>
      </c>
      <c r="L166" s="174" t="s">
        <v>14</v>
      </c>
      <c r="M166" s="41"/>
    </row>
    <row r="167" spans="3:13" ht="30" customHeight="1" x14ac:dyDescent="0.25">
      <c r="C167" s="26">
        <v>165</v>
      </c>
      <c r="D167" s="27">
        <v>44344</v>
      </c>
      <c r="E167" s="23">
        <v>1.0275421600000001</v>
      </c>
      <c r="F167" s="23">
        <f>(3000-14.99)/tbTransactions[[#This Row],[Qty]]</f>
        <v>2905.000024524541</v>
      </c>
      <c r="G167" s="24">
        <v>1</v>
      </c>
      <c r="H167" s="28">
        <f>tbTransactions[[#This Row],[Qty]]*tbTransactions[[#This Row],[Unit Cost]]*tbTransactions[[#This Row],[Exchange Rate]]</f>
        <v>2985.01</v>
      </c>
      <c r="I167" s="83" t="s">
        <v>536</v>
      </c>
      <c r="J167" s="29" t="s">
        <v>24</v>
      </c>
      <c r="K167" s="183" t="str">
        <f>IF(tbTransactions[[#This Row],[Sub-Type]]="Transfer","Neutral",IF(tbTransactions[[#This Row],[Qty]]&lt;0,"Debit",IF(tbTransactions[[#This Row],[Qty]]&gt;0,"Credit","Neutral")))</f>
        <v>Credit</v>
      </c>
      <c r="L167" s="174" t="s">
        <v>547</v>
      </c>
      <c r="M167" s="111" t="s">
        <v>454</v>
      </c>
    </row>
    <row r="168" spans="3:13" ht="30" customHeight="1" x14ac:dyDescent="0.25">
      <c r="C168" s="26">
        <v>166</v>
      </c>
      <c r="D168" s="27">
        <v>44351</v>
      </c>
      <c r="E168" s="23">
        <v>3.2817980000000002</v>
      </c>
      <c r="F168" s="23">
        <v>0</v>
      </c>
      <c r="G168" s="24">
        <v>1</v>
      </c>
      <c r="H168" s="28">
        <f>tbTransactions[[#This Row],[Qty]]*tbTransactions[[#This Row],[Unit Cost]]*tbTransactions[[#This Row],[Exchange Rate]]</f>
        <v>0</v>
      </c>
      <c r="I168" s="63" t="s">
        <v>534</v>
      </c>
      <c r="J168" s="29" t="s">
        <v>19</v>
      </c>
      <c r="K168" s="183" t="str">
        <f>IF(tbTransactions[[#This Row],[Sub-Type]]="Transfer","Neutral",IF(tbTransactions[[#This Row],[Qty]]&lt;0,"Debit",IF(tbTransactions[[#This Row],[Qty]]&gt;0,"Credit","Neutral")))</f>
        <v>Credit</v>
      </c>
      <c r="L168" s="174" t="s">
        <v>546</v>
      </c>
      <c r="M168" s="75" t="s">
        <v>441</v>
      </c>
    </row>
    <row r="169" spans="3:13" ht="30" customHeight="1" x14ac:dyDescent="0.25">
      <c r="C169" s="26">
        <v>167</v>
      </c>
      <c r="D169" s="27">
        <v>44351</v>
      </c>
      <c r="E169" s="23">
        <v>0.60893923000000005</v>
      </c>
      <c r="F169" s="23">
        <v>0</v>
      </c>
      <c r="G169" s="24">
        <v>1</v>
      </c>
      <c r="H169" s="28">
        <f>tbTransactions[[#This Row],[Qty]]*tbTransactions[[#This Row],[Unit Cost]]*tbTransactions[[#This Row],[Exchange Rate]]</f>
        <v>0</v>
      </c>
      <c r="I169" s="49" t="s">
        <v>430</v>
      </c>
      <c r="J169" s="29" t="s">
        <v>437</v>
      </c>
      <c r="K169" s="183" t="str">
        <f>IF(tbTransactions[[#This Row],[Sub-Type]]="Transfer","Neutral",IF(tbTransactions[[#This Row],[Qty]]&lt;0,"Debit",IF(tbTransactions[[#This Row],[Qty]]&gt;0,"Credit","Neutral")))</f>
        <v>Credit</v>
      </c>
      <c r="L169" s="174" t="s">
        <v>544</v>
      </c>
      <c r="M169" s="109" t="s">
        <v>460</v>
      </c>
    </row>
    <row r="170" spans="3:13" ht="30" customHeight="1" x14ac:dyDescent="0.25">
      <c r="C170" s="26">
        <v>168</v>
      </c>
      <c r="D170" s="27">
        <v>44351</v>
      </c>
      <c r="E170" s="23">
        <v>0.60912469000000002</v>
      </c>
      <c r="F170" s="23">
        <v>0</v>
      </c>
      <c r="G170" s="24">
        <v>1</v>
      </c>
      <c r="H170" s="28">
        <f>tbTransactions[[#This Row],[Qty]]*tbTransactions[[#This Row],[Unit Cost]]*tbTransactions[[#This Row],[Exchange Rate]]</f>
        <v>0</v>
      </c>
      <c r="I170" s="49" t="s">
        <v>430</v>
      </c>
      <c r="J170" s="29" t="s">
        <v>437</v>
      </c>
      <c r="K170" s="183" t="str">
        <f>IF(tbTransactions[[#This Row],[Sub-Type]]="Transfer","Neutral",IF(tbTransactions[[#This Row],[Qty]]&lt;0,"Debit",IF(tbTransactions[[#This Row],[Qty]]&gt;0,"Credit","Neutral")))</f>
        <v>Credit</v>
      </c>
      <c r="L170" s="174" t="s">
        <v>544</v>
      </c>
      <c r="M170" s="109" t="s">
        <v>460</v>
      </c>
    </row>
    <row r="171" spans="3:13" ht="30" customHeight="1" x14ac:dyDescent="0.25">
      <c r="C171" s="26">
        <v>169</v>
      </c>
      <c r="D171" s="27">
        <v>44351</v>
      </c>
      <c r="E171" s="23">
        <v>0.60845755999999995</v>
      </c>
      <c r="F171" s="23">
        <v>0</v>
      </c>
      <c r="G171" s="24">
        <v>1</v>
      </c>
      <c r="H171" s="28">
        <f>tbTransactions[[#This Row],[Qty]]*tbTransactions[[#This Row],[Unit Cost]]*tbTransactions[[#This Row],[Exchange Rate]]</f>
        <v>0</v>
      </c>
      <c r="I171" s="49" t="s">
        <v>430</v>
      </c>
      <c r="J171" s="29" t="s">
        <v>437</v>
      </c>
      <c r="K171" s="183" t="str">
        <f>IF(tbTransactions[[#This Row],[Sub-Type]]="Transfer","Neutral",IF(tbTransactions[[#This Row],[Qty]]&lt;0,"Debit",IF(tbTransactions[[#This Row],[Qty]]&gt;0,"Credit","Neutral")))</f>
        <v>Credit</v>
      </c>
      <c r="L171" s="174" t="s">
        <v>544</v>
      </c>
      <c r="M171" s="109" t="s">
        <v>460</v>
      </c>
    </row>
    <row r="172" spans="3:13" ht="30" customHeight="1" x14ac:dyDescent="0.25">
      <c r="C172" s="26">
        <v>170</v>
      </c>
      <c r="D172" s="27">
        <v>44351</v>
      </c>
      <c r="E172" s="23">
        <v>144.15404275</v>
      </c>
      <c r="F172" s="23">
        <v>2.0012619451839826</v>
      </c>
      <c r="G172" s="24">
        <v>1</v>
      </c>
      <c r="H172" s="28">
        <f>tbTransactions[[#This Row],[Qty]]*tbTransactions[[#This Row],[Unit Cost]]*tbTransactions[[#This Row],[Exchange Rate]]</f>
        <v>288.49</v>
      </c>
      <c r="I172" s="49" t="s">
        <v>430</v>
      </c>
      <c r="J172" s="29" t="s">
        <v>437</v>
      </c>
      <c r="K172" s="183" t="str">
        <f>IF(tbTransactions[[#This Row],[Sub-Type]]="Transfer","Neutral",IF(tbTransactions[[#This Row],[Qty]]&lt;0,"Debit",IF(tbTransactions[[#This Row],[Qty]]&gt;0,"Credit","Neutral")))</f>
        <v>Credit</v>
      </c>
      <c r="L172" s="174" t="s">
        <v>532</v>
      </c>
      <c r="M172" s="111" t="s">
        <v>471</v>
      </c>
    </row>
    <row r="173" spans="3:13" ht="30" customHeight="1" x14ac:dyDescent="0.25">
      <c r="C173" s="26">
        <v>171</v>
      </c>
      <c r="D173" s="27">
        <v>44351</v>
      </c>
      <c r="E173" s="23">
        <v>-288.49</v>
      </c>
      <c r="F173" s="23">
        <v>1</v>
      </c>
      <c r="G173" s="24">
        <v>1</v>
      </c>
      <c r="H173" s="28">
        <f>tbTransactions[[#This Row],[Qty]]*tbTransactions[[#This Row],[Unit Cost]]*tbTransactions[[#This Row],[Exchange Rate]]</f>
        <v>-288.49</v>
      </c>
      <c r="I173" s="40" t="s">
        <v>526</v>
      </c>
      <c r="J173" s="29" t="s">
        <v>418</v>
      </c>
      <c r="K173" s="183" t="str">
        <f>IF(tbTransactions[[#This Row],[Sub-Type]]="Transfer","Neutral",IF(tbTransactions[[#This Row],[Qty]]&lt;0,"Debit",IF(tbTransactions[[#This Row],[Qty]]&gt;0,"Credit","Neutral")))</f>
        <v>Debit</v>
      </c>
      <c r="L173" s="161" t="s">
        <v>529</v>
      </c>
      <c r="M173" s="41"/>
    </row>
    <row r="174" spans="3:13" ht="30" customHeight="1" x14ac:dyDescent="0.25">
      <c r="C174" s="26">
        <v>172</v>
      </c>
      <c r="D174" s="27">
        <v>44351</v>
      </c>
      <c r="E174" s="23">
        <v>-11.509999999999991</v>
      </c>
      <c r="F174" s="23">
        <v>1</v>
      </c>
      <c r="G174" s="24">
        <v>1</v>
      </c>
      <c r="H174" s="28">
        <f>tbTransactions[[#This Row],[Qty]]*tbTransactions[[#This Row],[Unit Cost]]*tbTransactions[[#This Row],[Exchange Rate]]</f>
        <v>-11.509999999999991</v>
      </c>
      <c r="I174" s="40" t="s">
        <v>526</v>
      </c>
      <c r="J174" s="29" t="s">
        <v>418</v>
      </c>
      <c r="K174" s="183" t="str">
        <f>IF(tbTransactions[[#This Row],[Sub-Type]]="Transfer","Neutral",IF(tbTransactions[[#This Row],[Qty]]&lt;0,"Debit",IF(tbTransactions[[#This Row],[Qty]]&gt;0,"Credit","Neutral")))</f>
        <v>Debit</v>
      </c>
      <c r="L174" s="144" t="s">
        <v>14</v>
      </c>
      <c r="M174" s="41"/>
    </row>
    <row r="175" spans="3:13" ht="30" customHeight="1" x14ac:dyDescent="0.25">
      <c r="C175" s="26">
        <v>173</v>
      </c>
      <c r="D175" s="27">
        <v>44352</v>
      </c>
      <c r="E175" s="23">
        <v>50.865945830000001</v>
      </c>
      <c r="F175" s="23">
        <v>33.052958567191553</v>
      </c>
      <c r="G175" s="24">
        <v>1</v>
      </c>
      <c r="H175" s="28">
        <f>tbTransactions[[#This Row],[Qty]]*tbTransactions[[#This Row],[Unit Cost]]*tbTransactions[[#This Row],[Exchange Rate]]</f>
        <v>1681.27</v>
      </c>
      <c r="I175" s="69" t="s">
        <v>445</v>
      </c>
      <c r="J175" s="29" t="s">
        <v>26</v>
      </c>
      <c r="K175" s="183" t="str">
        <f>IF(tbTransactions[[#This Row],[Sub-Type]]="Transfer","Neutral",IF(tbTransactions[[#This Row],[Qty]]&lt;0,"Debit",IF(tbTransactions[[#This Row],[Qty]]&gt;0,"Credit","Neutral")))</f>
        <v>Credit</v>
      </c>
      <c r="L175" s="313" t="s">
        <v>647</v>
      </c>
      <c r="M175" s="312" t="s">
        <v>655</v>
      </c>
    </row>
    <row r="176" spans="3:13" ht="30" customHeight="1" x14ac:dyDescent="0.25">
      <c r="C176" s="26">
        <v>174</v>
      </c>
      <c r="D176" s="27">
        <v>44352</v>
      </c>
      <c r="E176" s="23">
        <v>-255.6953</v>
      </c>
      <c r="F176" s="23">
        <f>1810/tbTransactions[[#This Row],[Qty]]*-1</f>
        <v>7.0787378571291688</v>
      </c>
      <c r="G176" s="24">
        <v>1</v>
      </c>
      <c r="H176" s="28">
        <f>tbTransactions[[#This Row],[Qty]]*tbTransactions[[#This Row],[Unit Cost]]*tbTransactions[[#This Row],[Exchange Rate]]</f>
        <v>-1810</v>
      </c>
      <c r="I176" s="69" t="s">
        <v>445</v>
      </c>
      <c r="J176" s="29" t="s">
        <v>23</v>
      </c>
      <c r="K176" s="183" t="str">
        <f>IF(tbTransactions[[#This Row],[Sub-Type]]="Transfer","Neutral",IF(tbTransactions[[#This Row],[Qty]]&lt;0,"Debit",IF(tbTransactions[[#This Row],[Qty]]&gt;0,"Credit","Neutral")))</f>
        <v>Debit</v>
      </c>
      <c r="L176" s="313" t="s">
        <v>647</v>
      </c>
      <c r="M176" s="312" t="s">
        <v>655</v>
      </c>
    </row>
    <row r="177" spans="3:16" ht="30" customHeight="1" x14ac:dyDescent="0.25">
      <c r="C177" s="26">
        <v>175</v>
      </c>
      <c r="D177" s="27">
        <v>44355</v>
      </c>
      <c r="E177" s="23">
        <v>-3000</v>
      </c>
      <c r="F177" s="23">
        <v>1</v>
      </c>
      <c r="G177" s="24">
        <v>1</v>
      </c>
      <c r="H177" s="28">
        <f>tbTransactions[[#This Row],[Qty]]*tbTransactions[[#This Row],[Unit Cost]]*tbTransactions[[#This Row],[Exchange Rate]]</f>
        <v>-3000</v>
      </c>
      <c r="I177" s="84" t="s">
        <v>526</v>
      </c>
      <c r="J177" s="29" t="s">
        <v>418</v>
      </c>
      <c r="K177" s="183" t="str">
        <f>IF(tbTransactions[[#This Row],[Sub-Type]]="Transfer","Neutral",IF(tbTransactions[[#This Row],[Qty]]&lt;0,"Debit",IF(tbTransactions[[#This Row],[Qty]]&gt;0,"Credit","Neutral")))</f>
        <v>Debit</v>
      </c>
      <c r="L177" s="161" t="s">
        <v>529</v>
      </c>
      <c r="M177" s="41"/>
    </row>
    <row r="178" spans="3:16" ht="30" customHeight="1" x14ac:dyDescent="0.25">
      <c r="C178" s="26">
        <v>176</v>
      </c>
      <c r="D178" s="27">
        <v>44355</v>
      </c>
      <c r="E178" s="91">
        <v>3000</v>
      </c>
      <c r="F178" s="91">
        <v>1</v>
      </c>
      <c r="G178" s="92">
        <v>1</v>
      </c>
      <c r="H178" s="95">
        <v>3000</v>
      </c>
      <c r="I178" s="90" t="s">
        <v>536</v>
      </c>
      <c r="J178" s="29" t="s">
        <v>418</v>
      </c>
      <c r="K178" s="183" t="str">
        <f>IF(tbTransactions[[#This Row],[Sub-Type]]="Transfer","Neutral",IF(tbTransactions[[#This Row],[Qty]]&lt;0,"Debit",IF(tbTransactions[[#This Row],[Qty]]&gt;0,"Credit","Neutral")))</f>
        <v>Credit</v>
      </c>
      <c r="L178" s="174" t="s">
        <v>527</v>
      </c>
      <c r="M178" s="41"/>
    </row>
    <row r="179" spans="3:16" ht="30" customHeight="1" x14ac:dyDescent="0.25">
      <c r="C179" s="26">
        <v>177</v>
      </c>
      <c r="D179" s="27">
        <v>44356</v>
      </c>
      <c r="E179" s="23">
        <v>2.214442</v>
      </c>
      <c r="F179" s="23">
        <v>0</v>
      </c>
      <c r="G179" s="24">
        <v>1</v>
      </c>
      <c r="H179" s="28">
        <f>tbTransactions[[#This Row],[Qty]]*tbTransactions[[#This Row],[Unit Cost]]*tbTransactions[[#This Row],[Exchange Rate]]</f>
        <v>0</v>
      </c>
      <c r="I179" s="63" t="s">
        <v>534</v>
      </c>
      <c r="J179" s="29" t="s">
        <v>19</v>
      </c>
      <c r="K179" s="183" t="str">
        <f>IF(tbTransactions[[#This Row],[Sub-Type]]="Transfer","Neutral",IF(tbTransactions[[#This Row],[Qty]]&lt;0,"Debit",IF(tbTransactions[[#This Row],[Qty]]&gt;0,"Credit","Neutral")))</f>
        <v>Credit</v>
      </c>
      <c r="L179" s="174" t="s">
        <v>546</v>
      </c>
      <c r="M179" s="75" t="s">
        <v>441</v>
      </c>
    </row>
    <row r="180" spans="3:16" ht="30" customHeight="1" x14ac:dyDescent="0.25">
      <c r="C180" s="26">
        <v>178</v>
      </c>
      <c r="D180" s="27">
        <v>44356</v>
      </c>
      <c r="E180" s="23">
        <v>0.11006199999999999</v>
      </c>
      <c r="F180" s="23">
        <v>0</v>
      </c>
      <c r="G180" s="24">
        <v>1</v>
      </c>
      <c r="H180" s="28">
        <f>tbTransactions[[#This Row],[Qty]]*tbTransactions[[#This Row],[Unit Cost]]*tbTransactions[[#This Row],[Exchange Rate]]</f>
        <v>0</v>
      </c>
      <c r="I180" s="77" t="s">
        <v>445</v>
      </c>
      <c r="J180" s="29" t="s">
        <v>20</v>
      </c>
      <c r="K180" s="183" t="str">
        <f>IF(tbTransactions[[#This Row],[Sub-Type]]="Transfer","Neutral",IF(tbTransactions[[#This Row],[Qty]]&lt;0,"Debit",IF(tbTransactions[[#This Row],[Qty]]&gt;0,"Credit","Neutral")))</f>
        <v>Credit</v>
      </c>
      <c r="L180" s="174" t="s">
        <v>546</v>
      </c>
      <c r="M180" s="51" t="s">
        <v>47</v>
      </c>
    </row>
    <row r="181" spans="3:16" ht="30" customHeight="1" x14ac:dyDescent="0.25">
      <c r="C181" s="26">
        <v>179</v>
      </c>
      <c r="D181" s="27">
        <v>44357</v>
      </c>
      <c r="E181" s="23">
        <v>67</v>
      </c>
      <c r="F181" s="23">
        <v>220.5</v>
      </c>
      <c r="G181" s="24">
        <v>1</v>
      </c>
      <c r="H181" s="28">
        <f>tbTransactions[[#This Row],[Qty]]*tbTransactions[[#This Row],[Unit Cost]]*tbTransactions[[#This Row],[Exchange Rate]]</f>
        <v>14773.5</v>
      </c>
      <c r="I181" s="552" t="s">
        <v>761</v>
      </c>
      <c r="J181" s="29" t="s">
        <v>48</v>
      </c>
      <c r="K181" s="183" t="str">
        <f>IF(tbTransactions[[#This Row],[Sub-Type]]="Transfer","Neutral",IF(tbTransactions[[#This Row],[Qty]]&lt;0,"Debit",IF(tbTransactions[[#This Row],[Qty]]&gt;0,"Credit","Neutral")))</f>
        <v>Credit</v>
      </c>
      <c r="L181" s="174" t="s">
        <v>547</v>
      </c>
      <c r="M181" s="78" t="s">
        <v>443</v>
      </c>
    </row>
    <row r="182" spans="3:16" ht="30" customHeight="1" x14ac:dyDescent="0.25">
      <c r="C182" s="26">
        <v>180</v>
      </c>
      <c r="D182" s="27">
        <v>44357</v>
      </c>
      <c r="E182" s="23">
        <v>-14773.5</v>
      </c>
      <c r="F182" s="23">
        <v>1</v>
      </c>
      <c r="G182" s="24">
        <v>1</v>
      </c>
      <c r="H182" s="28">
        <f>tbTransactions[[#This Row],[Qty]]*tbTransactions[[#This Row],[Unit Cost]]*tbTransactions[[#This Row],[Exchange Rate]]</f>
        <v>-14773.5</v>
      </c>
      <c r="I182" s="552" t="s">
        <v>761</v>
      </c>
      <c r="J182" s="29" t="s">
        <v>418</v>
      </c>
      <c r="K182" s="183" t="str">
        <f>IF(tbTransactions[[#This Row],[Sub-Type]]="Transfer","Neutral",IF(tbTransactions[[#This Row],[Qty]]&lt;0,"Debit",IF(tbTransactions[[#This Row],[Qty]]&gt;0,"Credit","Neutral")))</f>
        <v>Debit</v>
      </c>
      <c r="L182" s="174" t="s">
        <v>550</v>
      </c>
      <c r="M182" s="78" t="s">
        <v>443</v>
      </c>
    </row>
    <row r="183" spans="3:16" ht="30" customHeight="1" x14ac:dyDescent="0.25">
      <c r="C183" s="26">
        <v>181</v>
      </c>
      <c r="D183" s="27">
        <v>44357</v>
      </c>
      <c r="E183" s="23">
        <v>12.813408089999999</v>
      </c>
      <c r="F183" s="23">
        <v>28.14</v>
      </c>
      <c r="G183" s="24">
        <v>1</v>
      </c>
      <c r="H183" s="28">
        <f>tbTransactions[[#This Row],[Qty]]*tbTransactions[[#This Row],[Unit Cost]]*tbTransactions[[#This Row],[Exchange Rate]]</f>
        <v>360.56930365260001</v>
      </c>
      <c r="I183" s="79" t="s">
        <v>430</v>
      </c>
      <c r="J183" s="29" t="s">
        <v>26</v>
      </c>
      <c r="K183" s="183" t="str">
        <f>IF(tbTransactions[[#This Row],[Sub-Type]]="Transfer","Neutral",IF(tbTransactions[[#This Row],[Qty]]&lt;0,"Debit",IF(tbTransactions[[#This Row],[Qty]]&gt;0,"Credit","Neutral")))</f>
        <v>Credit</v>
      </c>
      <c r="L183" s="174" t="s">
        <v>532</v>
      </c>
      <c r="M183" s="80" t="s">
        <v>444</v>
      </c>
      <c r="P183" s="106"/>
    </row>
    <row r="184" spans="3:16" ht="30" customHeight="1" x14ac:dyDescent="0.25">
      <c r="C184" s="26">
        <v>182</v>
      </c>
      <c r="D184" s="27">
        <v>44357</v>
      </c>
      <c r="E184" s="23">
        <v>-14.39</v>
      </c>
      <c r="F184" s="23">
        <v>1</v>
      </c>
      <c r="G184" s="24">
        <v>1</v>
      </c>
      <c r="H184" s="28">
        <f>tbTransactions[[#This Row],[Qty]]*tbTransactions[[#This Row],[Unit Cost]]*tbTransactions[[#This Row],[Exchange Rate]]</f>
        <v>-14.39</v>
      </c>
      <c r="I184" s="79" t="s">
        <v>526</v>
      </c>
      <c r="J184" s="29" t="s">
        <v>418</v>
      </c>
      <c r="K184" s="183" t="str">
        <f>IF(tbTransactions[[#This Row],[Sub-Type]]="Transfer","Neutral",IF(tbTransactions[[#This Row],[Qty]]&lt;0,"Debit",IF(tbTransactions[[#This Row],[Qty]]&gt;0,"Credit","Neutral")))</f>
        <v>Debit</v>
      </c>
      <c r="L184" s="144" t="s">
        <v>14</v>
      </c>
      <c r="M184" s="41"/>
    </row>
    <row r="185" spans="3:16" ht="30" customHeight="1" x14ac:dyDescent="0.25">
      <c r="C185" s="26">
        <v>183</v>
      </c>
      <c r="D185" s="27">
        <v>44357</v>
      </c>
      <c r="E185" s="23">
        <v>-360.5693</v>
      </c>
      <c r="F185" s="23">
        <v>1</v>
      </c>
      <c r="G185" s="24">
        <v>1</v>
      </c>
      <c r="H185" s="28">
        <f>tbTransactions[[#This Row],[Qty]]*tbTransactions[[#This Row],[Unit Cost]]*tbTransactions[[#This Row],[Exchange Rate]]</f>
        <v>-360.5693</v>
      </c>
      <c r="I185" s="79" t="s">
        <v>526</v>
      </c>
      <c r="J185" s="29" t="s">
        <v>418</v>
      </c>
      <c r="K185" s="183" t="str">
        <f>IF(tbTransactions[[#This Row],[Sub-Type]]="Transfer","Neutral",IF(tbTransactions[[#This Row],[Qty]]&lt;0,"Debit",IF(tbTransactions[[#This Row],[Qty]]&gt;0,"Credit","Neutral")))</f>
        <v>Debit</v>
      </c>
      <c r="L185" s="161" t="s">
        <v>529</v>
      </c>
      <c r="M185" s="41"/>
    </row>
    <row r="186" spans="3:16" ht="30" customHeight="1" x14ac:dyDescent="0.25">
      <c r="C186" s="26">
        <v>184</v>
      </c>
      <c r="D186" s="27">
        <v>44357</v>
      </c>
      <c r="E186" s="23">
        <v>-3000</v>
      </c>
      <c r="F186" s="23">
        <v>1</v>
      </c>
      <c r="G186" s="24">
        <v>1</v>
      </c>
      <c r="H186" s="28">
        <f>tbTransactions[[#This Row],[Qty]]*tbTransactions[[#This Row],[Unit Cost]]*tbTransactions[[#This Row],[Exchange Rate]]</f>
        <v>-3000</v>
      </c>
      <c r="I186" s="96" t="s">
        <v>526</v>
      </c>
      <c r="J186" s="29" t="s">
        <v>418</v>
      </c>
      <c r="K186" s="183" t="str">
        <f>IF(tbTransactions[[#This Row],[Sub-Type]]="Transfer","Neutral",IF(tbTransactions[[#This Row],[Qty]]&lt;0,"Debit",IF(tbTransactions[[#This Row],[Qty]]&gt;0,"Credit","Neutral")))</f>
        <v>Debit</v>
      </c>
      <c r="L186" s="161" t="s">
        <v>529</v>
      </c>
      <c r="M186" s="41"/>
    </row>
    <row r="187" spans="3:16" ht="30" customHeight="1" x14ac:dyDescent="0.25">
      <c r="C187" s="26">
        <v>185</v>
      </c>
      <c r="D187" s="27">
        <v>44357</v>
      </c>
      <c r="E187" s="23">
        <v>3000</v>
      </c>
      <c r="F187" s="23">
        <v>1</v>
      </c>
      <c r="G187" s="24">
        <v>1</v>
      </c>
      <c r="H187" s="28">
        <f>tbTransactions[[#This Row],[Qty]]*tbTransactions[[#This Row],[Unit Cost]]*tbTransactions[[#This Row],[Exchange Rate]]</f>
        <v>3000</v>
      </c>
      <c r="I187" s="90" t="s">
        <v>536</v>
      </c>
      <c r="J187" s="29" t="s">
        <v>418</v>
      </c>
      <c r="K187" s="183" t="str">
        <f>IF(tbTransactions[[#This Row],[Sub-Type]]="Transfer","Neutral",IF(tbTransactions[[#This Row],[Qty]]&lt;0,"Debit",IF(tbTransactions[[#This Row],[Qty]]&gt;0,"Credit","Neutral")))</f>
        <v>Credit</v>
      </c>
      <c r="L187" s="174" t="s">
        <v>527</v>
      </c>
      <c r="M187" s="41"/>
    </row>
    <row r="188" spans="3:16" ht="30" customHeight="1" x14ac:dyDescent="0.25">
      <c r="C188" s="26">
        <v>186</v>
      </c>
      <c r="D188" s="27">
        <v>44358</v>
      </c>
      <c r="E188" s="23">
        <f>-6000+29.99</f>
        <v>-5970.01</v>
      </c>
      <c r="F188" s="23">
        <v>1</v>
      </c>
      <c r="G188" s="24">
        <v>1</v>
      </c>
      <c r="H188" s="28">
        <f>tbTransactions[[#This Row],[Qty]]*tbTransactions[[#This Row],[Unit Cost]]*tbTransactions[[#This Row],[Exchange Rate]]</f>
        <v>-5970.01</v>
      </c>
      <c r="I188" s="83" t="s">
        <v>536</v>
      </c>
      <c r="J188" s="29" t="s">
        <v>418</v>
      </c>
      <c r="K188" s="183" t="str">
        <f>IF(tbTransactions[[#This Row],[Sub-Type]]="Transfer","Neutral",IF(tbTransactions[[#This Row],[Qty]]&lt;0,"Debit",IF(tbTransactions[[#This Row],[Qty]]&gt;0,"Credit","Neutral")))</f>
        <v>Debit</v>
      </c>
      <c r="L188" s="174" t="s">
        <v>528</v>
      </c>
      <c r="M188" s="41"/>
    </row>
    <row r="189" spans="3:16" ht="30" customHeight="1" x14ac:dyDescent="0.25">
      <c r="C189" s="26">
        <v>187</v>
      </c>
      <c r="D189" s="27">
        <v>44358</v>
      </c>
      <c r="E189" s="23">
        <v>2.0445239700000002</v>
      </c>
      <c r="F189" s="23">
        <v>2920.0000037172467</v>
      </c>
      <c r="G189" s="24">
        <v>1</v>
      </c>
      <c r="H189" s="28">
        <f>tbTransactions[[#This Row],[Qty]]*tbTransactions[[#This Row],[Unit Cost]]*tbTransactions[[#This Row],[Exchange Rate]]</f>
        <v>5970.01</v>
      </c>
      <c r="I189" s="83" t="s">
        <v>536</v>
      </c>
      <c r="J189" s="29" t="s">
        <v>24</v>
      </c>
      <c r="K189" s="183" t="str">
        <f>IF(tbTransactions[[#This Row],[Sub-Type]]="Transfer","Neutral",IF(tbTransactions[[#This Row],[Qty]]&lt;0,"Debit",IF(tbTransactions[[#This Row],[Qty]]&gt;0,"Credit","Neutral")))</f>
        <v>Credit</v>
      </c>
      <c r="L189" s="174" t="s">
        <v>532</v>
      </c>
      <c r="M189" s="111" t="s">
        <v>454</v>
      </c>
    </row>
    <row r="190" spans="3:16" ht="30" customHeight="1" x14ac:dyDescent="0.25">
      <c r="C190" s="26">
        <v>188</v>
      </c>
      <c r="D190" s="27">
        <v>44358</v>
      </c>
      <c r="E190" s="23">
        <v>-29.99</v>
      </c>
      <c r="F190" s="23">
        <v>1</v>
      </c>
      <c r="G190" s="24">
        <v>1</v>
      </c>
      <c r="H190" s="28">
        <f>tbTransactions[[#This Row],[Qty]]*tbTransactions[[#This Row],[Unit Cost]]*tbTransactions[[#This Row],[Exchange Rate]]</f>
        <v>-29.99</v>
      </c>
      <c r="I190" s="83" t="s">
        <v>536</v>
      </c>
      <c r="J190" s="29" t="s">
        <v>418</v>
      </c>
      <c r="K190" s="183" t="str">
        <f>IF(tbTransactions[[#This Row],[Sub-Type]]="Transfer","Neutral",IF(tbTransactions[[#This Row],[Qty]]&lt;0,"Debit",IF(tbTransactions[[#This Row],[Qty]]&gt;0,"Credit","Neutral")))</f>
        <v>Debit</v>
      </c>
      <c r="L190" s="174" t="s">
        <v>14</v>
      </c>
      <c r="M190" s="41"/>
    </row>
    <row r="191" spans="3:16" ht="30" customHeight="1" x14ac:dyDescent="0.25">
      <c r="C191" s="26">
        <v>189</v>
      </c>
      <c r="D191" s="27">
        <v>44358</v>
      </c>
      <c r="E191" s="23">
        <v>-14.99</v>
      </c>
      <c r="F191" s="23">
        <v>1</v>
      </c>
      <c r="G191" s="24">
        <v>1</v>
      </c>
      <c r="H191" s="28">
        <f>tbTransactions[[#This Row],[Qty]]*tbTransactions[[#This Row],[Unit Cost]]*tbTransactions[[#This Row],[Exchange Rate]]</f>
        <v>-14.99</v>
      </c>
      <c r="I191" s="83" t="s">
        <v>536</v>
      </c>
      <c r="J191" s="29" t="s">
        <v>418</v>
      </c>
      <c r="K191" s="183" t="str">
        <f>IF(tbTransactions[[#This Row],[Sub-Type]]="Transfer","Neutral",IF(tbTransactions[[#This Row],[Qty]]&lt;0,"Debit",IF(tbTransactions[[#This Row],[Qty]]&gt;0,"Credit","Neutral")))</f>
        <v>Debit</v>
      </c>
      <c r="L191" s="174" t="s">
        <v>14</v>
      </c>
      <c r="M191" s="41"/>
    </row>
    <row r="192" spans="3:16" ht="30" customHeight="1" x14ac:dyDescent="0.25">
      <c r="C192" s="26">
        <v>190</v>
      </c>
      <c r="D192" s="27">
        <v>44358</v>
      </c>
      <c r="E192" s="23">
        <v>-3000</v>
      </c>
      <c r="F192" s="23">
        <v>1</v>
      </c>
      <c r="G192" s="24">
        <v>1</v>
      </c>
      <c r="H192" s="28">
        <f>tbTransactions[[#This Row],[Qty]]*tbTransactions[[#This Row],[Unit Cost]]*tbTransactions[[#This Row],[Exchange Rate]]</f>
        <v>-3000</v>
      </c>
      <c r="I192" s="84" t="s">
        <v>526</v>
      </c>
      <c r="J192" s="29" t="s">
        <v>418</v>
      </c>
      <c r="K192" s="183" t="str">
        <f>IF(tbTransactions[[#This Row],[Sub-Type]]="Transfer","Neutral",IF(tbTransactions[[#This Row],[Qty]]&lt;0,"Debit",IF(tbTransactions[[#This Row],[Qty]]&gt;0,"Credit","Neutral")))</f>
        <v>Debit</v>
      </c>
      <c r="L192" s="161" t="s">
        <v>529</v>
      </c>
      <c r="M192" s="41"/>
    </row>
    <row r="193" spans="3:13" ht="30" customHeight="1" x14ac:dyDescent="0.25">
      <c r="C193" s="26">
        <v>191</v>
      </c>
      <c r="D193" s="27">
        <v>44358</v>
      </c>
      <c r="E193" s="23">
        <v>1.0222636899999999</v>
      </c>
      <c r="F193" s="23">
        <v>2920</v>
      </c>
      <c r="G193" s="24">
        <v>1</v>
      </c>
      <c r="H193" s="28">
        <f>tbTransactions[[#This Row],[Qty]]*tbTransactions[[#This Row],[Unit Cost]]*tbTransactions[[#This Row],[Exchange Rate]]</f>
        <v>2985.0099747999998</v>
      </c>
      <c r="I193" s="83" t="s">
        <v>536</v>
      </c>
      <c r="J193" s="29" t="s">
        <v>24</v>
      </c>
      <c r="K193" s="183" t="str">
        <f>IF(tbTransactions[[#This Row],[Sub-Type]]="Transfer","Neutral",IF(tbTransactions[[#This Row],[Qty]]&lt;0,"Debit",IF(tbTransactions[[#This Row],[Qty]]&gt;0,"Credit","Neutral")))</f>
        <v>Credit</v>
      </c>
      <c r="L193" s="174" t="s">
        <v>532</v>
      </c>
      <c r="M193" s="111" t="s">
        <v>454</v>
      </c>
    </row>
    <row r="194" spans="3:13" ht="30" customHeight="1" x14ac:dyDescent="0.25">
      <c r="C194" s="26">
        <v>192</v>
      </c>
      <c r="D194" s="27">
        <v>44358</v>
      </c>
      <c r="E194" s="23">
        <v>-5.0000000000000001E-3</v>
      </c>
      <c r="F194" s="23">
        <v>2863.54</v>
      </c>
      <c r="G194" s="24">
        <v>1</v>
      </c>
      <c r="H194" s="28">
        <f>tbTransactions[[#This Row],[Qty]]*tbTransactions[[#This Row],[Unit Cost]]*tbTransactions[[#This Row],[Exchange Rate]]</f>
        <v>-14.3177</v>
      </c>
      <c r="I194" s="83" t="s">
        <v>536</v>
      </c>
      <c r="J194" s="29" t="s">
        <v>24</v>
      </c>
      <c r="K194" s="183" t="str">
        <f>IF(tbTransactions[[#This Row],[Sub-Type]]="Transfer","Neutral",IF(tbTransactions[[#This Row],[Qty]]&lt;0,"Debit",IF(tbTransactions[[#This Row],[Qty]]&gt;0,"Credit","Neutral")))</f>
        <v>Debit</v>
      </c>
      <c r="L194" s="174" t="s">
        <v>14</v>
      </c>
      <c r="M194" s="41"/>
    </row>
    <row r="195" spans="3:13" ht="30" customHeight="1" x14ac:dyDescent="0.25">
      <c r="C195" s="26">
        <v>193</v>
      </c>
      <c r="D195" s="27">
        <v>44358</v>
      </c>
      <c r="E195" s="23">
        <v>-7.1971172699999997</v>
      </c>
      <c r="F195" s="23">
        <v>2863.54</v>
      </c>
      <c r="G195" s="24">
        <v>1</v>
      </c>
      <c r="H195" s="28">
        <f>tbTransactions[[#This Row],[Qty]]*tbTransactions[[#This Row],[Unit Cost]]*tbTransactions[[#This Row],[Exchange Rate]]</f>
        <v>-20609.233187335798</v>
      </c>
      <c r="I195" s="83" t="s">
        <v>536</v>
      </c>
      <c r="J195" s="29" t="s">
        <v>24</v>
      </c>
      <c r="K195" s="183" t="str">
        <f>IF(tbTransactions[[#This Row],[Sub-Type]]="Transfer","Neutral",IF(tbTransactions[[#This Row],[Qty]]&lt;0,"Debit",IF(tbTransactions[[#This Row],[Qty]]&gt;0,"Credit","Neutral")))</f>
        <v>Neutral</v>
      </c>
      <c r="L195" s="174" t="s">
        <v>39</v>
      </c>
      <c r="M195" s="86" t="s">
        <v>446</v>
      </c>
    </row>
    <row r="196" spans="3:13" ht="30" customHeight="1" x14ac:dyDescent="0.25">
      <c r="C196" s="26">
        <v>194</v>
      </c>
      <c r="D196" s="27">
        <v>44358</v>
      </c>
      <c r="E196" s="86">
        <v>7.1971172699999997</v>
      </c>
      <c r="F196" s="23">
        <v>2863.54</v>
      </c>
      <c r="G196" s="24">
        <v>1</v>
      </c>
      <c r="H196" s="28">
        <f>tbTransactions[[#This Row],[Qty]]*tbTransactions[[#This Row],[Unit Cost]]*tbTransactions[[#This Row],[Exchange Rate]]</f>
        <v>20609.233187335798</v>
      </c>
      <c r="I196" s="85" t="s">
        <v>537</v>
      </c>
      <c r="J196" s="29" t="s">
        <v>24</v>
      </c>
      <c r="K196" s="183" t="str">
        <f>IF(tbTransactions[[#This Row],[Sub-Type]]="Transfer","Neutral",IF(tbTransactions[[#This Row],[Qty]]&lt;0,"Debit",IF(tbTransactions[[#This Row],[Qty]]&gt;0,"Credit","Neutral")))</f>
        <v>Neutral</v>
      </c>
      <c r="L196" s="174" t="s">
        <v>39</v>
      </c>
      <c r="M196" s="86" t="s">
        <v>446</v>
      </c>
    </row>
    <row r="197" spans="3:13" ht="30" customHeight="1" x14ac:dyDescent="0.25">
      <c r="C197" s="26">
        <v>195</v>
      </c>
      <c r="D197" s="27">
        <v>44358</v>
      </c>
      <c r="E197" s="23">
        <v>-7</v>
      </c>
      <c r="F197" s="23">
        <v>2840.53</v>
      </c>
      <c r="G197" s="24">
        <v>1</v>
      </c>
      <c r="H197" s="28">
        <f>tbTransactions[[#This Row],[Qty]]*tbTransactions[[#This Row],[Unit Cost]]*tbTransactions[[#This Row],[Exchange Rate]]</f>
        <v>-19883.710000000003</v>
      </c>
      <c r="I197" s="85" t="s">
        <v>537</v>
      </c>
      <c r="J197" s="29" t="s">
        <v>24</v>
      </c>
      <c r="K197" s="183" t="str">
        <f>IF(tbTransactions[[#This Row],[Sub-Type]]="Transfer","Neutral",IF(tbTransactions[[#This Row],[Qty]]&lt;0,"Debit",IF(tbTransactions[[#This Row],[Qty]]&gt;0,"Credit","Neutral")))</f>
        <v>Neutral</v>
      </c>
      <c r="L197" s="174" t="s">
        <v>39</v>
      </c>
      <c r="M197" s="86" t="s">
        <v>450</v>
      </c>
    </row>
    <row r="198" spans="3:13" ht="30" customHeight="1" x14ac:dyDescent="0.25">
      <c r="C198" s="26">
        <v>196</v>
      </c>
      <c r="D198" s="27">
        <v>44358</v>
      </c>
      <c r="E198" s="23">
        <v>1</v>
      </c>
      <c r="F198" s="23">
        <v>19883.71</v>
      </c>
      <c r="G198" s="24">
        <v>1</v>
      </c>
      <c r="H198" s="28">
        <f>tbTransactions[[#This Row],[Qty]]*tbTransactions[[#This Row],[Unit Cost]]*tbTransactions[[#This Row],[Exchange Rate]]</f>
        <v>19883.71</v>
      </c>
      <c r="I198" s="85" t="s">
        <v>449</v>
      </c>
      <c r="J198" s="29" t="s">
        <v>448</v>
      </c>
      <c r="K198" s="183" t="str">
        <f>IF(tbTransactions[[#This Row],[Sub-Type]]="Transfer","Neutral",IF(tbTransactions[[#This Row],[Qty]]&lt;0,"Debit",IF(tbTransactions[[#This Row],[Qty]]&gt;0,"Credit","Neutral")))</f>
        <v>Credit</v>
      </c>
      <c r="L198" s="174" t="s">
        <v>545</v>
      </c>
      <c r="M198" s="86" t="s">
        <v>450</v>
      </c>
    </row>
    <row r="199" spans="3:13" ht="30" customHeight="1" x14ac:dyDescent="0.25">
      <c r="C199" s="26">
        <v>197</v>
      </c>
      <c r="D199" s="27">
        <v>44361</v>
      </c>
      <c r="E199" s="23">
        <v>1.697462</v>
      </c>
      <c r="F199" s="23">
        <v>0</v>
      </c>
      <c r="G199" s="24">
        <v>1</v>
      </c>
      <c r="H199" s="28">
        <f>tbTransactions[[#This Row],[Qty]]*tbTransactions[[#This Row],[Unit Cost]]*tbTransactions[[#This Row],[Exchange Rate]]</f>
        <v>0</v>
      </c>
      <c r="I199" s="63" t="s">
        <v>534</v>
      </c>
      <c r="J199" s="29" t="s">
        <v>19</v>
      </c>
      <c r="K199" s="183" t="str">
        <f>IF(tbTransactions[[#This Row],[Sub-Type]]="Transfer","Neutral",IF(tbTransactions[[#This Row],[Qty]]&lt;0,"Debit",IF(tbTransactions[[#This Row],[Qty]]&gt;0,"Credit","Neutral")))</f>
        <v>Credit</v>
      </c>
      <c r="L199" s="174" t="s">
        <v>546</v>
      </c>
      <c r="M199" s="75" t="s">
        <v>441</v>
      </c>
    </row>
    <row r="200" spans="3:13" ht="30" customHeight="1" x14ac:dyDescent="0.25">
      <c r="C200" s="26">
        <v>198</v>
      </c>
      <c r="D200" s="27">
        <v>44362</v>
      </c>
      <c r="E200" s="23">
        <v>1.5</v>
      </c>
      <c r="F200" s="23">
        <v>1</v>
      </c>
      <c r="G200" s="24">
        <v>1</v>
      </c>
      <c r="H200" s="28">
        <f>tbTransactions[[#This Row],[Qty]]*tbTransactions[[#This Row],[Unit Cost]]*tbTransactions[[#This Row],[Exchange Rate]]</f>
        <v>1.5</v>
      </c>
      <c r="I200" s="100" t="s">
        <v>538</v>
      </c>
      <c r="J200" s="29" t="s">
        <v>22</v>
      </c>
      <c r="K200" s="183" t="str">
        <f>IF(tbTransactions[[#This Row],[Sub-Type]]="Transfer","Neutral",IF(tbTransactions[[#This Row],[Qty]]&lt;0,"Debit",IF(tbTransactions[[#This Row],[Qty]]&gt;0,"Credit","Neutral")))</f>
        <v>Neutral</v>
      </c>
      <c r="L200" s="174" t="s">
        <v>39</v>
      </c>
      <c r="M200" s="172" t="s">
        <v>551</v>
      </c>
    </row>
    <row r="201" spans="3:13" ht="30" customHeight="1" x14ac:dyDescent="0.25">
      <c r="C201" s="26">
        <v>199</v>
      </c>
      <c r="D201" s="27">
        <v>44362</v>
      </c>
      <c r="E201" s="23">
        <v>-1.5</v>
      </c>
      <c r="F201" s="23">
        <v>1</v>
      </c>
      <c r="G201" s="24">
        <v>1</v>
      </c>
      <c r="H201" s="28">
        <f>tbTransactions[[#This Row],[Qty]]*tbTransactions[[#This Row],[Unit Cost]]*tbTransactions[[#This Row],[Exchange Rate]]</f>
        <v>-1.5</v>
      </c>
      <c r="I201" s="100" t="s">
        <v>445</v>
      </c>
      <c r="J201" s="29" t="s">
        <v>22</v>
      </c>
      <c r="K201" s="183" t="str">
        <f>IF(tbTransactions[[#This Row],[Sub-Type]]="Transfer","Neutral",IF(tbTransactions[[#This Row],[Qty]]&lt;0,"Debit",IF(tbTransactions[[#This Row],[Qty]]&gt;0,"Credit","Neutral")))</f>
        <v>Neutral</v>
      </c>
      <c r="L201" s="174" t="s">
        <v>39</v>
      </c>
      <c r="M201" s="172" t="s">
        <v>551</v>
      </c>
    </row>
    <row r="202" spans="3:13" ht="30" customHeight="1" x14ac:dyDescent="0.25">
      <c r="C202" s="26">
        <v>200</v>
      </c>
      <c r="D202" s="27">
        <v>44362</v>
      </c>
      <c r="E202" s="23">
        <v>84.703000000000003</v>
      </c>
      <c r="F202" s="23">
        <v>1</v>
      </c>
      <c r="G202" s="24">
        <v>1</v>
      </c>
      <c r="H202" s="28">
        <f>tbTransactions[[#This Row],[Qty]]*tbTransactions[[#This Row],[Unit Cost]]*tbTransactions[[#This Row],[Exchange Rate]]</f>
        <v>84.703000000000003</v>
      </c>
      <c r="I202" s="100" t="s">
        <v>539</v>
      </c>
      <c r="J202" s="29" t="s">
        <v>22</v>
      </c>
      <c r="K202" s="183" t="str">
        <f>IF(tbTransactions[[#This Row],[Sub-Type]]="Transfer","Neutral",IF(tbTransactions[[#This Row],[Qty]]&lt;0,"Debit",IF(tbTransactions[[#This Row],[Qty]]&gt;0,"Credit","Neutral")))</f>
        <v>Neutral</v>
      </c>
      <c r="L202" s="174" t="s">
        <v>39</v>
      </c>
      <c r="M202" s="172" t="s">
        <v>552</v>
      </c>
    </row>
    <row r="203" spans="3:13" ht="30" customHeight="1" x14ac:dyDescent="0.25">
      <c r="C203" s="26">
        <v>201</v>
      </c>
      <c r="D203" s="27">
        <v>44362</v>
      </c>
      <c r="E203" s="23">
        <v>-84.703000000000003</v>
      </c>
      <c r="F203" s="23">
        <v>1</v>
      </c>
      <c r="G203" s="24">
        <v>1</v>
      </c>
      <c r="H203" s="28">
        <f>tbTransactions[[#This Row],[Qty]]*tbTransactions[[#This Row],[Unit Cost]]*tbTransactions[[#This Row],[Exchange Rate]]</f>
        <v>-84.703000000000003</v>
      </c>
      <c r="I203" s="100" t="s">
        <v>445</v>
      </c>
      <c r="J203" s="29" t="s">
        <v>22</v>
      </c>
      <c r="K203" s="183" t="str">
        <f>IF(tbTransactions[[#This Row],[Sub-Type]]="Transfer","Neutral",IF(tbTransactions[[#This Row],[Qty]]&lt;0,"Debit",IF(tbTransactions[[#This Row],[Qty]]&gt;0,"Credit","Neutral")))</f>
        <v>Neutral</v>
      </c>
      <c r="L203" s="174" t="s">
        <v>39</v>
      </c>
      <c r="M203" s="172" t="s">
        <v>552</v>
      </c>
    </row>
    <row r="204" spans="3:13" ht="30" customHeight="1" x14ac:dyDescent="0.25">
      <c r="C204" s="26">
        <v>202</v>
      </c>
      <c r="D204" s="27">
        <v>44363</v>
      </c>
      <c r="E204" s="23">
        <v>-3000</v>
      </c>
      <c r="F204" s="23">
        <v>1</v>
      </c>
      <c r="G204" s="24">
        <v>1</v>
      </c>
      <c r="H204" s="28">
        <f>tbTransactions[[#This Row],[Qty]]*tbTransactions[[#This Row],[Unit Cost]]*tbTransactions[[#This Row],[Exchange Rate]]</f>
        <v>-3000</v>
      </c>
      <c r="I204" s="96" t="s">
        <v>526</v>
      </c>
      <c r="J204" s="29" t="s">
        <v>418</v>
      </c>
      <c r="K204" s="183" t="str">
        <f>IF(tbTransactions[[#This Row],[Sub-Type]]="Transfer","Neutral",IF(tbTransactions[[#This Row],[Qty]]&lt;0,"Debit",IF(tbTransactions[[#This Row],[Qty]]&gt;0,"Credit","Neutral")))</f>
        <v>Debit</v>
      </c>
      <c r="L204" s="161" t="s">
        <v>529</v>
      </c>
      <c r="M204" s="41"/>
    </row>
    <row r="205" spans="3:13" ht="30" customHeight="1" x14ac:dyDescent="0.25">
      <c r="C205" s="26">
        <v>203</v>
      </c>
      <c r="D205" s="27">
        <v>44363</v>
      </c>
      <c r="E205" s="23">
        <v>3000</v>
      </c>
      <c r="F205" s="23">
        <v>1</v>
      </c>
      <c r="G205" s="24">
        <v>1</v>
      </c>
      <c r="H205" s="28">
        <f>tbTransactions[[#This Row],[Qty]]*tbTransactions[[#This Row],[Unit Cost]]*tbTransactions[[#This Row],[Exchange Rate]]</f>
        <v>3000</v>
      </c>
      <c r="I205" s="90" t="s">
        <v>536</v>
      </c>
      <c r="J205" s="29" t="s">
        <v>418</v>
      </c>
      <c r="K205" s="183" t="str">
        <f>IF(tbTransactions[[#This Row],[Sub-Type]]="Transfer","Neutral",IF(tbTransactions[[#This Row],[Qty]]&lt;0,"Debit",IF(tbTransactions[[#This Row],[Qty]]&gt;0,"Credit","Neutral")))</f>
        <v>Credit</v>
      </c>
      <c r="L205" s="174" t="s">
        <v>527</v>
      </c>
      <c r="M205" s="41"/>
    </row>
    <row r="206" spans="3:13" ht="30" customHeight="1" x14ac:dyDescent="0.25">
      <c r="C206" s="26">
        <v>204</v>
      </c>
      <c r="D206" s="27">
        <v>44365</v>
      </c>
      <c r="E206" s="23">
        <v>-3000</v>
      </c>
      <c r="F206" s="23">
        <v>1</v>
      </c>
      <c r="G206" s="24">
        <v>1</v>
      </c>
      <c r="H206" s="28">
        <f>tbTransactions[[#This Row],[Qty]]*tbTransactions[[#This Row],[Unit Cost]]*tbTransactions[[#This Row],[Exchange Rate]]</f>
        <v>-3000</v>
      </c>
      <c r="I206" s="96" t="s">
        <v>526</v>
      </c>
      <c r="J206" s="29" t="s">
        <v>418</v>
      </c>
      <c r="K206" s="183" t="str">
        <f>IF(tbTransactions[[#This Row],[Sub-Type]]="Transfer","Neutral",IF(tbTransactions[[#This Row],[Qty]]&lt;0,"Debit",IF(tbTransactions[[#This Row],[Qty]]&gt;0,"Credit","Neutral")))</f>
        <v>Debit</v>
      </c>
      <c r="L206" s="161" t="s">
        <v>529</v>
      </c>
      <c r="M206" s="41"/>
    </row>
    <row r="207" spans="3:13" ht="30" customHeight="1" x14ac:dyDescent="0.25">
      <c r="C207" s="26">
        <v>205</v>
      </c>
      <c r="D207" s="27">
        <v>44365</v>
      </c>
      <c r="E207" s="23">
        <v>3000</v>
      </c>
      <c r="F207" s="23">
        <v>1</v>
      </c>
      <c r="G207" s="24">
        <v>1</v>
      </c>
      <c r="H207" s="28">
        <f>tbTransactions[[#This Row],[Qty]]*tbTransactions[[#This Row],[Unit Cost]]*tbTransactions[[#This Row],[Exchange Rate]]</f>
        <v>3000</v>
      </c>
      <c r="I207" s="90" t="s">
        <v>536</v>
      </c>
      <c r="J207" s="29" t="s">
        <v>418</v>
      </c>
      <c r="K207" s="183" t="str">
        <f>IF(tbTransactions[[#This Row],[Sub-Type]]="Transfer","Neutral",IF(tbTransactions[[#This Row],[Qty]]&lt;0,"Debit",IF(tbTransactions[[#This Row],[Qty]]&gt;0,"Credit","Neutral")))</f>
        <v>Credit</v>
      </c>
      <c r="L207" s="174" t="s">
        <v>527</v>
      </c>
      <c r="M207" s="41"/>
    </row>
    <row r="208" spans="3:13" ht="30" customHeight="1" x14ac:dyDescent="0.25">
      <c r="C208" s="26">
        <v>206</v>
      </c>
      <c r="D208" s="27">
        <v>44366</v>
      </c>
      <c r="E208" s="23">
        <v>1.194342</v>
      </c>
      <c r="F208" s="23">
        <v>0</v>
      </c>
      <c r="G208" s="24">
        <v>1</v>
      </c>
      <c r="H208" s="28">
        <f>tbTransactions[[#This Row],[Qty]]*tbTransactions[[#This Row],[Unit Cost]]*tbTransactions[[#This Row],[Exchange Rate]]</f>
        <v>0</v>
      </c>
      <c r="I208" s="63" t="s">
        <v>534</v>
      </c>
      <c r="J208" s="29" t="s">
        <v>19</v>
      </c>
      <c r="K208" s="183" t="str">
        <f>IF(tbTransactions[[#This Row],[Sub-Type]]="Transfer","Neutral",IF(tbTransactions[[#This Row],[Qty]]&lt;0,"Debit",IF(tbTransactions[[#This Row],[Qty]]&gt;0,"Credit","Neutral")))</f>
        <v>Credit</v>
      </c>
      <c r="L208" s="174" t="s">
        <v>546</v>
      </c>
      <c r="M208" s="75" t="s">
        <v>441</v>
      </c>
    </row>
    <row r="209" spans="3:13" ht="30" customHeight="1" x14ac:dyDescent="0.25">
      <c r="C209" s="26">
        <v>207</v>
      </c>
      <c r="D209" s="27">
        <v>44366</v>
      </c>
      <c r="E209" s="23">
        <v>-3000</v>
      </c>
      <c r="F209" s="23">
        <v>1</v>
      </c>
      <c r="G209" s="24">
        <v>1</v>
      </c>
      <c r="H209" s="28">
        <f>tbTransactions[[#This Row],[Qty]]*tbTransactions[[#This Row],[Unit Cost]]*tbTransactions[[#This Row],[Exchange Rate]]</f>
        <v>-3000</v>
      </c>
      <c r="I209" s="96" t="s">
        <v>526</v>
      </c>
      <c r="J209" s="29" t="s">
        <v>418</v>
      </c>
      <c r="K209" s="183" t="str">
        <f>IF(tbTransactions[[#This Row],[Sub-Type]]="Transfer","Neutral",IF(tbTransactions[[#This Row],[Qty]]&lt;0,"Debit",IF(tbTransactions[[#This Row],[Qty]]&gt;0,"Credit","Neutral")))</f>
        <v>Debit</v>
      </c>
      <c r="L209" s="161" t="s">
        <v>529</v>
      </c>
      <c r="M209" s="41"/>
    </row>
    <row r="210" spans="3:13" ht="30" customHeight="1" x14ac:dyDescent="0.25">
      <c r="C210" s="26">
        <v>208</v>
      </c>
      <c r="D210" s="27">
        <v>44366</v>
      </c>
      <c r="E210" s="23">
        <v>3000</v>
      </c>
      <c r="F210" s="23">
        <v>1</v>
      </c>
      <c r="G210" s="24">
        <v>1</v>
      </c>
      <c r="H210" s="28">
        <f>tbTransactions[[#This Row],[Qty]]*tbTransactions[[#This Row],[Unit Cost]]*tbTransactions[[#This Row],[Exchange Rate]]</f>
        <v>3000</v>
      </c>
      <c r="I210" s="90" t="s">
        <v>536</v>
      </c>
      <c r="J210" s="29" t="s">
        <v>418</v>
      </c>
      <c r="K210" s="183" t="str">
        <f>IF(tbTransactions[[#This Row],[Sub-Type]]="Transfer","Neutral",IF(tbTransactions[[#This Row],[Qty]]&lt;0,"Debit",IF(tbTransactions[[#This Row],[Qty]]&gt;0,"Credit","Neutral")))</f>
        <v>Credit</v>
      </c>
      <c r="L210" s="174" t="s">
        <v>527</v>
      </c>
      <c r="M210" s="41"/>
    </row>
    <row r="211" spans="3:13" ht="30" customHeight="1" x14ac:dyDescent="0.25">
      <c r="C211" s="26">
        <v>209</v>
      </c>
      <c r="D211" s="27">
        <v>44367</v>
      </c>
      <c r="E211" s="23">
        <v>3.4244741799999998</v>
      </c>
      <c r="F211" s="23">
        <v>2615</v>
      </c>
      <c r="G211" s="24">
        <v>1</v>
      </c>
      <c r="H211" s="28">
        <f>tbTransactions[[#This Row],[Qty]]*tbTransactions[[#This Row],[Unit Cost]]*tbTransactions[[#This Row],[Exchange Rate]]</f>
        <v>8954.9999807000004</v>
      </c>
      <c r="I211" s="101" t="s">
        <v>536</v>
      </c>
      <c r="J211" s="29" t="s">
        <v>24</v>
      </c>
      <c r="K211" s="183" t="str">
        <f>IF(tbTransactions[[#This Row],[Sub-Type]]="Transfer","Neutral",IF(tbTransactions[[#This Row],[Qty]]&lt;0,"Debit",IF(tbTransactions[[#This Row],[Qty]]&gt;0,"Credit","Neutral")))</f>
        <v>Credit</v>
      </c>
      <c r="L211" s="174" t="s">
        <v>532</v>
      </c>
      <c r="M211" s="102" t="s">
        <v>454</v>
      </c>
    </row>
    <row r="212" spans="3:13" ht="30" customHeight="1" x14ac:dyDescent="0.25">
      <c r="C212" s="26">
        <v>210</v>
      </c>
      <c r="D212" s="27">
        <v>44367</v>
      </c>
      <c r="E212" s="23">
        <v>-8954.9999807000004</v>
      </c>
      <c r="F212" s="23">
        <v>1</v>
      </c>
      <c r="G212" s="24">
        <v>1</v>
      </c>
      <c r="H212" s="28">
        <f>tbTransactions[[#This Row],[Qty]]*tbTransactions[[#This Row],[Unit Cost]]*tbTransactions[[#This Row],[Exchange Rate]]</f>
        <v>-8954.9999807000004</v>
      </c>
      <c r="I212" s="90" t="s">
        <v>536</v>
      </c>
      <c r="J212" s="29" t="s">
        <v>418</v>
      </c>
      <c r="K212" s="183" t="str">
        <f>IF(tbTransactions[[#This Row],[Sub-Type]]="Transfer","Neutral",IF(tbTransactions[[#This Row],[Qty]]&lt;0,"Debit",IF(tbTransactions[[#This Row],[Qty]]&gt;0,"Credit","Neutral")))</f>
        <v>Debit</v>
      </c>
      <c r="L212" s="174" t="s">
        <v>528</v>
      </c>
      <c r="M212" s="102" t="s">
        <v>454</v>
      </c>
    </row>
    <row r="213" spans="3:13" ht="30" customHeight="1" x14ac:dyDescent="0.25">
      <c r="C213" s="26">
        <v>211</v>
      </c>
      <c r="D213" s="27">
        <v>44367</v>
      </c>
      <c r="E213" s="23">
        <v>-44.99</v>
      </c>
      <c r="F213" s="23">
        <v>1</v>
      </c>
      <c r="G213" s="24">
        <v>1</v>
      </c>
      <c r="H213" s="28">
        <f>tbTransactions[[#This Row],[Qty]]*tbTransactions[[#This Row],[Unit Cost]]*tbTransactions[[#This Row],[Exchange Rate]]</f>
        <v>-44.99</v>
      </c>
      <c r="I213" s="90" t="s">
        <v>536</v>
      </c>
      <c r="J213" s="29" t="s">
        <v>418</v>
      </c>
      <c r="K213" s="183" t="str">
        <f>IF(tbTransactions[[#This Row],[Sub-Type]]="Transfer","Neutral",IF(tbTransactions[[#This Row],[Qty]]&lt;0,"Debit",IF(tbTransactions[[#This Row],[Qty]]&gt;0,"Credit","Neutral")))</f>
        <v>Debit</v>
      </c>
      <c r="L213" s="174" t="s">
        <v>14</v>
      </c>
      <c r="M213" s="41"/>
    </row>
    <row r="214" spans="3:13" ht="30" customHeight="1" x14ac:dyDescent="0.25">
      <c r="C214" s="26">
        <v>212</v>
      </c>
      <c r="D214" s="27">
        <v>44367</v>
      </c>
      <c r="E214" s="23">
        <v>-14.39</v>
      </c>
      <c r="F214" s="23">
        <v>1</v>
      </c>
      <c r="G214" s="24">
        <v>1</v>
      </c>
      <c r="H214" s="28">
        <f>tbTransactions[[#This Row],[Qty]]*tbTransactions[[#This Row],[Unit Cost]]*tbTransactions[[#This Row],[Exchange Rate]]</f>
        <v>-14.39</v>
      </c>
      <c r="I214" s="103" t="s">
        <v>526</v>
      </c>
      <c r="J214" s="29" t="s">
        <v>418</v>
      </c>
      <c r="K214" s="183" t="str">
        <f>IF(tbTransactions[[#This Row],[Sub-Type]]="Transfer","Neutral",IF(tbTransactions[[#This Row],[Qty]]&lt;0,"Debit",IF(tbTransactions[[#This Row],[Qty]]&gt;0,"Credit","Neutral")))</f>
        <v>Debit</v>
      </c>
      <c r="L214" s="144" t="s">
        <v>14</v>
      </c>
      <c r="M214" s="41"/>
    </row>
    <row r="215" spans="3:13" ht="30" customHeight="1" x14ac:dyDescent="0.25">
      <c r="C215" s="26">
        <v>213</v>
      </c>
      <c r="D215" s="27">
        <v>44367</v>
      </c>
      <c r="E215" s="23">
        <v>3271.0660650200002</v>
      </c>
      <c r="F215" s="23">
        <v>0.11020000000000001</v>
      </c>
      <c r="G215" s="24">
        <v>1</v>
      </c>
      <c r="H215" s="28">
        <f>tbTransactions[[#This Row],[Qty]]*tbTransactions[[#This Row],[Unit Cost]]*tbTransactions[[#This Row],[Exchange Rate]]</f>
        <v>360.47148036520406</v>
      </c>
      <c r="I215" s="103" t="s">
        <v>430</v>
      </c>
      <c r="J215" s="29" t="s">
        <v>455</v>
      </c>
      <c r="K215" s="183" t="str">
        <f>IF(tbTransactions[[#This Row],[Sub-Type]]="Transfer","Neutral",IF(tbTransactions[[#This Row],[Qty]]&lt;0,"Debit",IF(tbTransactions[[#This Row],[Qty]]&gt;0,"Credit","Neutral")))</f>
        <v>Credit</v>
      </c>
      <c r="L215" s="174" t="s">
        <v>532</v>
      </c>
      <c r="M215" s="111" t="s">
        <v>472</v>
      </c>
    </row>
    <row r="216" spans="3:13" ht="30" customHeight="1" x14ac:dyDescent="0.25">
      <c r="C216" s="26">
        <v>214</v>
      </c>
      <c r="D216" s="27">
        <v>44367</v>
      </c>
      <c r="E216" s="23">
        <v>11.258699999999999</v>
      </c>
      <c r="F216" s="23">
        <v>0</v>
      </c>
      <c r="G216" s="24">
        <v>1</v>
      </c>
      <c r="H216" s="28">
        <f>tbTransactions[[#This Row],[Qty]]*tbTransactions[[#This Row],[Unit Cost]]*tbTransactions[[#This Row],[Exchange Rate]]</f>
        <v>0</v>
      </c>
      <c r="I216" s="103" t="s">
        <v>430</v>
      </c>
      <c r="J216" s="29" t="s">
        <v>455</v>
      </c>
      <c r="K216" s="183" t="str">
        <f>IF(tbTransactions[[#This Row],[Sub-Type]]="Transfer","Neutral",IF(tbTransactions[[#This Row],[Qty]]&lt;0,"Debit",IF(tbTransactions[[#This Row],[Qty]]&gt;0,"Credit","Neutral")))</f>
        <v>Credit</v>
      </c>
      <c r="L216" s="174" t="s">
        <v>544</v>
      </c>
      <c r="M216" s="109" t="s">
        <v>461</v>
      </c>
    </row>
    <row r="217" spans="3:13" ht="30" customHeight="1" x14ac:dyDescent="0.25">
      <c r="C217" s="26">
        <v>215</v>
      </c>
      <c r="D217" s="27">
        <v>44367</v>
      </c>
      <c r="E217" s="23">
        <v>11.243499999999999</v>
      </c>
      <c r="F217" s="23">
        <v>0</v>
      </c>
      <c r="G217" s="24">
        <v>1</v>
      </c>
      <c r="H217" s="28">
        <f>tbTransactions[[#This Row],[Qty]]*tbTransactions[[#This Row],[Unit Cost]]*tbTransactions[[#This Row],[Exchange Rate]]</f>
        <v>0</v>
      </c>
      <c r="I217" s="103" t="s">
        <v>430</v>
      </c>
      <c r="J217" s="29" t="s">
        <v>455</v>
      </c>
      <c r="K217" s="183" t="str">
        <f>IF(tbTransactions[[#This Row],[Sub-Type]]="Transfer","Neutral",IF(tbTransactions[[#This Row],[Qty]]&lt;0,"Debit",IF(tbTransactions[[#This Row],[Qty]]&gt;0,"Credit","Neutral")))</f>
        <v>Credit</v>
      </c>
      <c r="L217" s="174" t="s">
        <v>544</v>
      </c>
      <c r="M217" s="109" t="s">
        <v>461</v>
      </c>
    </row>
    <row r="218" spans="3:13" ht="30" customHeight="1" x14ac:dyDescent="0.25">
      <c r="C218" s="26">
        <v>216</v>
      </c>
      <c r="D218" s="27">
        <v>44367</v>
      </c>
      <c r="E218" s="23">
        <v>11.243499999999999</v>
      </c>
      <c r="F218" s="23">
        <v>0</v>
      </c>
      <c r="G218" s="24">
        <v>1</v>
      </c>
      <c r="H218" s="28">
        <f>tbTransactions[[#This Row],[Qty]]*tbTransactions[[#This Row],[Unit Cost]]*tbTransactions[[#This Row],[Exchange Rate]]</f>
        <v>0</v>
      </c>
      <c r="I218" s="103" t="s">
        <v>430</v>
      </c>
      <c r="J218" s="29" t="s">
        <v>455</v>
      </c>
      <c r="K218" s="183" t="str">
        <f>IF(tbTransactions[[#This Row],[Sub-Type]]="Transfer","Neutral",IF(tbTransactions[[#This Row],[Qty]]&lt;0,"Debit",IF(tbTransactions[[#This Row],[Qty]]&gt;0,"Credit","Neutral")))</f>
        <v>Credit</v>
      </c>
      <c r="L218" s="174" t="s">
        <v>544</v>
      </c>
      <c r="M218" s="109" t="s">
        <v>461</v>
      </c>
    </row>
    <row r="219" spans="3:13" ht="30" customHeight="1" x14ac:dyDescent="0.25">
      <c r="C219" s="26">
        <v>217</v>
      </c>
      <c r="D219" s="27">
        <v>44367</v>
      </c>
      <c r="E219" s="23">
        <v>-5.0000000000000001E-3</v>
      </c>
      <c r="F219" s="23">
        <v>2719.86</v>
      </c>
      <c r="G219" s="24">
        <v>1</v>
      </c>
      <c r="H219" s="28">
        <f>tbTransactions[[#This Row],[Qty]]*tbTransactions[[#This Row],[Unit Cost]]*tbTransactions[[#This Row],[Exchange Rate]]</f>
        <v>-13.599300000000001</v>
      </c>
      <c r="I219" s="107" t="s">
        <v>430</v>
      </c>
      <c r="J219" s="29" t="s">
        <v>24</v>
      </c>
      <c r="K219" s="183" t="str">
        <f>IF(tbTransactions[[#This Row],[Sub-Type]]="Transfer","Neutral",IF(tbTransactions[[#This Row],[Qty]]&lt;0,"Debit",IF(tbTransactions[[#This Row],[Qty]]&gt;0,"Credit","Neutral")))</f>
        <v>Debit</v>
      </c>
      <c r="L219" s="174" t="s">
        <v>14</v>
      </c>
      <c r="M219" s="172" t="s">
        <v>553</v>
      </c>
    </row>
    <row r="220" spans="3:13" ht="30" customHeight="1" x14ac:dyDescent="0.25">
      <c r="C220" s="26">
        <v>218</v>
      </c>
      <c r="D220" s="27">
        <v>44367</v>
      </c>
      <c r="E220" s="23">
        <v>-3.4194741799999999</v>
      </c>
      <c r="F220" s="23">
        <v>2719.86</v>
      </c>
      <c r="G220" s="24">
        <v>1</v>
      </c>
      <c r="H220" s="28">
        <f>tbTransactions[[#This Row],[Qty]]*tbTransactions[[#This Row],[Unit Cost]]*tbTransactions[[#This Row],[Exchange Rate]]</f>
        <v>-9300.4910432148008</v>
      </c>
      <c r="I220" s="143" t="s">
        <v>536</v>
      </c>
      <c r="J220" s="29" t="s">
        <v>24</v>
      </c>
      <c r="K220" s="183" t="str">
        <f>IF(tbTransactions[[#This Row],[Sub-Type]]="Transfer","Neutral",IF(tbTransactions[[#This Row],[Qty]]&lt;0,"Debit",IF(tbTransactions[[#This Row],[Qty]]&gt;0,"Credit","Neutral")))</f>
        <v>Neutral</v>
      </c>
      <c r="L220" s="87" t="s">
        <v>39</v>
      </c>
      <c r="M220" s="172" t="s">
        <v>553</v>
      </c>
    </row>
    <row r="221" spans="3:13" ht="30" customHeight="1" x14ac:dyDescent="0.25">
      <c r="C221" s="26">
        <v>219</v>
      </c>
      <c r="D221" s="27">
        <v>44367</v>
      </c>
      <c r="E221" s="23">
        <v>3.4244741799999998</v>
      </c>
      <c r="F221" s="23">
        <v>2719.86</v>
      </c>
      <c r="G221" s="24">
        <v>1</v>
      </c>
      <c r="H221" s="28">
        <f>tbTransactions[[#This Row],[Qty]]*tbTransactions[[#This Row],[Unit Cost]]*tbTransactions[[#This Row],[Exchange Rate]]</f>
        <v>9314.0903432148007</v>
      </c>
      <c r="I221" s="107" t="s">
        <v>537</v>
      </c>
      <c r="J221" s="29" t="s">
        <v>24</v>
      </c>
      <c r="K221" s="183" t="str">
        <f>IF(tbTransactions[[#This Row],[Sub-Type]]="Transfer","Neutral",IF(tbTransactions[[#This Row],[Qty]]&lt;0,"Debit",IF(tbTransactions[[#This Row],[Qty]]&gt;0,"Credit","Neutral")))</f>
        <v>Neutral</v>
      </c>
      <c r="L221" s="87" t="s">
        <v>39</v>
      </c>
      <c r="M221" s="172" t="s">
        <v>553</v>
      </c>
    </row>
    <row r="222" spans="3:13" ht="30" customHeight="1" x14ac:dyDescent="0.25">
      <c r="C222" s="26">
        <v>220</v>
      </c>
      <c r="D222" s="27">
        <v>44367</v>
      </c>
      <c r="E222" s="23">
        <v>-3.5</v>
      </c>
      <c r="F222" s="23">
        <v>2716</v>
      </c>
      <c r="G222" s="24">
        <v>1</v>
      </c>
      <c r="H222" s="28">
        <f>tbTransactions[[#This Row],[Qty]]*tbTransactions[[#This Row],[Unit Cost]]*tbTransactions[[#This Row],[Exchange Rate]]</f>
        <v>-9506</v>
      </c>
      <c r="I222" s="85" t="s">
        <v>537</v>
      </c>
      <c r="J222" s="29" t="s">
        <v>24</v>
      </c>
      <c r="K222" s="183" t="str">
        <f>IF(tbTransactions[[#This Row],[Sub-Type]]="Transfer","Neutral",IF(tbTransactions[[#This Row],[Qty]]&lt;0,"Debit",IF(tbTransactions[[#This Row],[Qty]]&gt;0,"Credit","Neutral")))</f>
        <v>Debit</v>
      </c>
      <c r="L222" s="174" t="s">
        <v>554</v>
      </c>
      <c r="M222" s="112" t="s">
        <v>450</v>
      </c>
    </row>
    <row r="223" spans="3:13" ht="30" customHeight="1" x14ac:dyDescent="0.25">
      <c r="C223" s="26">
        <v>221</v>
      </c>
      <c r="D223" s="27">
        <v>44367</v>
      </c>
      <c r="E223" s="23">
        <v>1</v>
      </c>
      <c r="F223" s="23">
        <f>E222*F222*-1</f>
        <v>9506</v>
      </c>
      <c r="G223" s="24">
        <v>1</v>
      </c>
      <c r="H223" s="28">
        <f>tbTransactions[[#This Row],[Qty]]*tbTransactions[[#This Row],[Unit Cost]]*tbTransactions[[#This Row],[Exchange Rate]]</f>
        <v>9506</v>
      </c>
      <c r="I223" s="85" t="s">
        <v>449</v>
      </c>
      <c r="J223" s="29" t="s">
        <v>448</v>
      </c>
      <c r="K223" s="183" t="str">
        <f>IF(tbTransactions[[#This Row],[Sub-Type]]="Transfer","Neutral",IF(tbTransactions[[#This Row],[Qty]]&lt;0,"Debit",IF(tbTransactions[[#This Row],[Qty]]&gt;0,"Credit","Neutral")))</f>
        <v>Credit</v>
      </c>
      <c r="L223" s="174" t="s">
        <v>545</v>
      </c>
      <c r="M223" s="105" t="s">
        <v>457</v>
      </c>
    </row>
    <row r="224" spans="3:13" ht="30" customHeight="1" x14ac:dyDescent="0.25">
      <c r="C224" s="26">
        <v>222</v>
      </c>
      <c r="D224" s="27">
        <v>44369</v>
      </c>
      <c r="E224" s="23">
        <v>0.110971</v>
      </c>
      <c r="F224" s="23">
        <v>0</v>
      </c>
      <c r="G224" s="24">
        <v>1</v>
      </c>
      <c r="H224" s="28">
        <f>tbTransactions[[#This Row],[Qty]]*tbTransactions[[#This Row],[Unit Cost]]*tbTransactions[[#This Row],[Exchange Rate]]</f>
        <v>0</v>
      </c>
      <c r="I224" s="107" t="s">
        <v>445</v>
      </c>
      <c r="J224" s="29" t="s">
        <v>20</v>
      </c>
      <c r="K224" s="183" t="str">
        <f>IF(tbTransactions[[#This Row],[Sub-Type]]="Transfer","Neutral",IF(tbTransactions[[#This Row],[Qty]]&lt;0,"Debit",IF(tbTransactions[[#This Row],[Qty]]&gt;0,"Credit","Neutral")))</f>
        <v>Credit</v>
      </c>
      <c r="L224" s="174" t="s">
        <v>546</v>
      </c>
      <c r="M224" s="51" t="s">
        <v>47</v>
      </c>
    </row>
    <row r="225" spans="3:13" ht="30" customHeight="1" x14ac:dyDescent="0.25">
      <c r="C225" s="26">
        <v>223</v>
      </c>
      <c r="D225" s="27">
        <v>44371</v>
      </c>
      <c r="E225" s="23">
        <v>-14.99</v>
      </c>
      <c r="F225" s="23">
        <v>1</v>
      </c>
      <c r="G225" s="24">
        <v>1</v>
      </c>
      <c r="H225" s="28">
        <f>tbTransactions[[#This Row],[Qty]]*tbTransactions[[#This Row],[Unit Cost]]*tbTransactions[[#This Row],[Exchange Rate]]</f>
        <v>-14.99</v>
      </c>
      <c r="I225" s="90" t="s">
        <v>536</v>
      </c>
      <c r="J225" s="29" t="s">
        <v>418</v>
      </c>
      <c r="K225" s="183" t="str">
        <f>IF(tbTransactions[[#This Row],[Sub-Type]]="Transfer","Neutral",IF(tbTransactions[[#This Row],[Qty]]&lt;0,"Debit",IF(tbTransactions[[#This Row],[Qty]]&gt;0,"Credit","Neutral")))</f>
        <v>Debit</v>
      </c>
      <c r="L225" s="174" t="s">
        <v>14</v>
      </c>
      <c r="M225" s="41"/>
    </row>
    <row r="226" spans="3:13" ht="30" customHeight="1" x14ac:dyDescent="0.25">
      <c r="C226" s="26">
        <v>224</v>
      </c>
      <c r="D226" s="27">
        <v>44371</v>
      </c>
      <c r="E226" s="23">
        <v>-3000</v>
      </c>
      <c r="F226" s="23">
        <v>1</v>
      </c>
      <c r="G226" s="24">
        <v>1</v>
      </c>
      <c r="H226" s="28">
        <f>tbTransactions[[#This Row],[Qty]]*tbTransactions[[#This Row],[Unit Cost]]*tbTransactions[[#This Row],[Exchange Rate]]</f>
        <v>-3000</v>
      </c>
      <c r="I226" s="96" t="s">
        <v>526</v>
      </c>
      <c r="J226" s="29" t="s">
        <v>418</v>
      </c>
      <c r="K226" s="183" t="str">
        <f>IF(tbTransactions[[#This Row],[Sub-Type]]="Transfer","Neutral",IF(tbTransactions[[#This Row],[Qty]]&lt;0,"Debit",IF(tbTransactions[[#This Row],[Qty]]&gt;0,"Credit","Neutral")))</f>
        <v>Debit</v>
      </c>
      <c r="L226" s="161" t="s">
        <v>529</v>
      </c>
      <c r="M226" s="41"/>
    </row>
    <row r="227" spans="3:13" ht="30" customHeight="1" x14ac:dyDescent="0.25">
      <c r="C227" s="26">
        <v>225</v>
      </c>
      <c r="D227" s="27">
        <v>44371</v>
      </c>
      <c r="E227" s="23">
        <v>3000</v>
      </c>
      <c r="F227" s="23">
        <v>1</v>
      </c>
      <c r="G227" s="24">
        <v>1</v>
      </c>
      <c r="H227" s="28">
        <f>tbTransactions[[#This Row],[Qty]]*tbTransactions[[#This Row],[Unit Cost]]*tbTransactions[[#This Row],[Exchange Rate]]</f>
        <v>3000</v>
      </c>
      <c r="I227" s="90" t="s">
        <v>536</v>
      </c>
      <c r="J227" s="29" t="s">
        <v>418</v>
      </c>
      <c r="K227" s="183" t="str">
        <f>IF(tbTransactions[[#This Row],[Sub-Type]]="Transfer","Neutral",IF(tbTransactions[[#This Row],[Qty]]&lt;0,"Debit",IF(tbTransactions[[#This Row],[Qty]]&gt;0,"Credit","Neutral")))</f>
        <v>Credit</v>
      </c>
      <c r="L227" s="174" t="s">
        <v>527</v>
      </c>
      <c r="M227" s="41"/>
    </row>
    <row r="228" spans="3:13" ht="30" customHeight="1" x14ac:dyDescent="0.25">
      <c r="C228" s="26">
        <v>226</v>
      </c>
      <c r="D228" s="27">
        <v>44371</v>
      </c>
      <c r="E228" s="23">
        <v>1.2263209100000001</v>
      </c>
      <c r="F228" s="23">
        <v>2434.11</v>
      </c>
      <c r="G228" s="24">
        <v>1</v>
      </c>
      <c r="H228" s="28">
        <f>tbTransactions[[#This Row],[Qty]]*tbTransactions[[#This Row],[Unit Cost]]*tbTransactions[[#This Row],[Exchange Rate]]</f>
        <v>2984.9999902401005</v>
      </c>
      <c r="I228" s="101" t="s">
        <v>536</v>
      </c>
      <c r="J228" s="29" t="s">
        <v>24</v>
      </c>
      <c r="K228" s="183" t="str">
        <f>IF(tbTransactions[[#This Row],[Sub-Type]]="Transfer","Neutral",IF(tbTransactions[[#This Row],[Qty]]&lt;0,"Debit",IF(tbTransactions[[#This Row],[Qty]]&gt;0,"Credit","Neutral")))</f>
        <v>Credit</v>
      </c>
      <c r="L228" s="174" t="s">
        <v>532</v>
      </c>
      <c r="M228" s="108" t="s">
        <v>454</v>
      </c>
    </row>
    <row r="229" spans="3:13" ht="30" customHeight="1" x14ac:dyDescent="0.25">
      <c r="C229" s="26">
        <v>227</v>
      </c>
      <c r="D229" s="27">
        <v>44371</v>
      </c>
      <c r="E229" s="23">
        <v>-2985</v>
      </c>
      <c r="F229" s="23">
        <v>1</v>
      </c>
      <c r="G229" s="24">
        <v>1</v>
      </c>
      <c r="H229" s="28">
        <f>tbTransactions[[#This Row],[Qty]]*tbTransactions[[#This Row],[Unit Cost]]*tbTransactions[[#This Row],[Exchange Rate]]</f>
        <v>-2985</v>
      </c>
      <c r="I229" s="90" t="s">
        <v>536</v>
      </c>
      <c r="J229" s="29" t="s">
        <v>418</v>
      </c>
      <c r="K229" s="183" t="str">
        <f>IF(tbTransactions[[#This Row],[Sub-Type]]="Transfer","Neutral",IF(tbTransactions[[#This Row],[Qty]]&lt;0,"Debit",IF(tbTransactions[[#This Row],[Qty]]&gt;0,"Credit","Neutral")))</f>
        <v>Debit</v>
      </c>
      <c r="L229" s="174" t="s">
        <v>528</v>
      </c>
      <c r="M229" s="108" t="s">
        <v>454</v>
      </c>
    </row>
    <row r="230" spans="3:13" ht="30" customHeight="1" x14ac:dyDescent="0.25">
      <c r="C230" s="26">
        <v>228</v>
      </c>
      <c r="D230" s="27">
        <v>44371</v>
      </c>
      <c r="E230" s="23">
        <v>2.382644</v>
      </c>
      <c r="F230" s="23">
        <v>0</v>
      </c>
      <c r="G230" s="24">
        <v>1</v>
      </c>
      <c r="H230" s="28">
        <f>tbTransactions[[#This Row],[Qty]]*tbTransactions[[#This Row],[Unit Cost]]*tbTransactions[[#This Row],[Exchange Rate]]</f>
        <v>0</v>
      </c>
      <c r="I230" s="63" t="s">
        <v>534</v>
      </c>
      <c r="J230" s="29" t="s">
        <v>19</v>
      </c>
      <c r="K230" s="183" t="str">
        <f>IF(tbTransactions[[#This Row],[Sub-Type]]="Transfer","Neutral",IF(tbTransactions[[#This Row],[Qty]]&lt;0,"Debit",IF(tbTransactions[[#This Row],[Qty]]&gt;0,"Credit","Neutral")))</f>
        <v>Credit</v>
      </c>
      <c r="L230" s="174" t="s">
        <v>546</v>
      </c>
      <c r="M230" s="75" t="s">
        <v>441</v>
      </c>
    </row>
    <row r="231" spans="3:13" ht="30" customHeight="1" x14ac:dyDescent="0.25">
      <c r="C231" s="26">
        <v>229</v>
      </c>
      <c r="D231" s="27">
        <v>44372</v>
      </c>
      <c r="E231" s="23">
        <v>-3000</v>
      </c>
      <c r="F231" s="23">
        <v>1</v>
      </c>
      <c r="G231" s="24">
        <v>1</v>
      </c>
      <c r="H231" s="28">
        <f>tbTransactions[[#This Row],[Qty]]*tbTransactions[[#This Row],[Unit Cost]]*tbTransactions[[#This Row],[Exchange Rate]]</f>
        <v>-3000</v>
      </c>
      <c r="I231" s="96" t="s">
        <v>526</v>
      </c>
      <c r="J231" s="29" t="s">
        <v>418</v>
      </c>
      <c r="K231" s="183" t="str">
        <f>IF(tbTransactions[[#This Row],[Sub-Type]]="Transfer","Neutral",IF(tbTransactions[[#This Row],[Qty]]&lt;0,"Debit",IF(tbTransactions[[#This Row],[Qty]]&gt;0,"Credit","Neutral")))</f>
        <v>Debit</v>
      </c>
      <c r="L231" s="161" t="s">
        <v>529</v>
      </c>
      <c r="M231" s="41"/>
    </row>
    <row r="232" spans="3:13" ht="30" customHeight="1" x14ac:dyDescent="0.25">
      <c r="C232" s="26">
        <v>230</v>
      </c>
      <c r="D232" s="27">
        <v>44372</v>
      </c>
      <c r="E232" s="23">
        <v>3000</v>
      </c>
      <c r="F232" s="23">
        <v>1</v>
      </c>
      <c r="G232" s="24">
        <v>1</v>
      </c>
      <c r="H232" s="28">
        <f>tbTransactions[[#This Row],[Qty]]*tbTransactions[[#This Row],[Unit Cost]]*tbTransactions[[#This Row],[Exchange Rate]]</f>
        <v>3000</v>
      </c>
      <c r="I232" s="90" t="s">
        <v>536</v>
      </c>
      <c r="J232" s="29" t="s">
        <v>418</v>
      </c>
      <c r="K232" s="183" t="str">
        <f>IF(tbTransactions[[#This Row],[Sub-Type]]="Transfer","Neutral",IF(tbTransactions[[#This Row],[Qty]]&lt;0,"Debit",IF(tbTransactions[[#This Row],[Qty]]&gt;0,"Credit","Neutral")))</f>
        <v>Credit</v>
      </c>
      <c r="L232" s="178" t="s">
        <v>527</v>
      </c>
      <c r="M232" s="41"/>
    </row>
    <row r="233" spans="3:13" ht="30" customHeight="1" x14ac:dyDescent="0.25">
      <c r="C233" s="26">
        <v>231</v>
      </c>
      <c r="D233" s="27">
        <v>44372</v>
      </c>
      <c r="E233" s="23">
        <v>-14.99</v>
      </c>
      <c r="F233" s="23">
        <v>1</v>
      </c>
      <c r="G233" s="24">
        <v>1</v>
      </c>
      <c r="H233" s="28">
        <f>tbTransactions[[#This Row],[Qty]]*tbTransactions[[#This Row],[Unit Cost]]*tbTransactions[[#This Row],[Exchange Rate]]</f>
        <v>-14.99</v>
      </c>
      <c r="I233" s="90" t="s">
        <v>536</v>
      </c>
      <c r="J233" s="29" t="s">
        <v>418</v>
      </c>
      <c r="K233" s="183" t="str">
        <f>IF(tbTransactions[[#This Row],[Sub-Type]]="Transfer","Neutral",IF(tbTransactions[[#This Row],[Qty]]&lt;0,"Debit",IF(tbTransactions[[#This Row],[Qty]]&gt;0,"Credit","Neutral")))</f>
        <v>Debit</v>
      </c>
      <c r="L233" s="174" t="s">
        <v>14</v>
      </c>
      <c r="M233" s="41"/>
    </row>
    <row r="234" spans="3:13" ht="30" customHeight="1" x14ac:dyDescent="0.25">
      <c r="C234" s="26">
        <v>232</v>
      </c>
      <c r="D234" s="27">
        <v>44372</v>
      </c>
      <c r="E234" s="23">
        <v>1.3097964799999999</v>
      </c>
      <c r="F234" s="23">
        <v>2278.98</v>
      </c>
      <c r="G234" s="24">
        <v>1</v>
      </c>
      <c r="H234" s="28">
        <f>tbTransactions[[#This Row],[Qty]]*tbTransactions[[#This Row],[Unit Cost]]*tbTransactions[[#This Row],[Exchange Rate]]</f>
        <v>2984.9999819903996</v>
      </c>
      <c r="I234" s="101" t="s">
        <v>536</v>
      </c>
      <c r="J234" s="29" t="s">
        <v>24</v>
      </c>
      <c r="K234" s="183" t="str">
        <f>IF(tbTransactions[[#This Row],[Sub-Type]]="Transfer","Neutral",IF(tbTransactions[[#This Row],[Qty]]&lt;0,"Debit",IF(tbTransactions[[#This Row],[Qty]]&gt;0,"Credit","Neutral")))</f>
        <v>Credit</v>
      </c>
      <c r="L234" s="174" t="s">
        <v>532</v>
      </c>
      <c r="M234" s="112" t="s">
        <v>454</v>
      </c>
    </row>
    <row r="235" spans="3:13" ht="30" customHeight="1" x14ac:dyDescent="0.25">
      <c r="C235" s="26">
        <v>233</v>
      </c>
      <c r="D235" s="27">
        <v>44372</v>
      </c>
      <c r="E235" s="23">
        <v>-2985</v>
      </c>
      <c r="F235" s="23">
        <v>1</v>
      </c>
      <c r="G235" s="24">
        <v>1</v>
      </c>
      <c r="H235" s="28">
        <f>tbTransactions[[#This Row],[Qty]]*tbTransactions[[#This Row],[Unit Cost]]*tbTransactions[[#This Row],[Exchange Rate]]</f>
        <v>-2985</v>
      </c>
      <c r="I235" s="90" t="s">
        <v>536</v>
      </c>
      <c r="J235" s="29" t="s">
        <v>418</v>
      </c>
      <c r="K235" s="183" t="str">
        <f>IF(tbTransactions[[#This Row],[Sub-Type]]="Transfer","Neutral",IF(tbTransactions[[#This Row],[Qty]]&lt;0,"Debit",IF(tbTransactions[[#This Row],[Qty]]&gt;0,"Credit","Neutral")))</f>
        <v>Debit</v>
      </c>
      <c r="L235" s="178" t="s">
        <v>528</v>
      </c>
      <c r="M235" s="112" t="s">
        <v>454</v>
      </c>
    </row>
    <row r="236" spans="3:13" ht="30" customHeight="1" x14ac:dyDescent="0.25">
      <c r="C236" s="26">
        <v>234</v>
      </c>
      <c r="D236" s="27">
        <v>44372</v>
      </c>
      <c r="E236" s="23">
        <v>-0.05</v>
      </c>
      <c r="F236" s="23">
        <v>1</v>
      </c>
      <c r="G236" s="24">
        <v>1</v>
      </c>
      <c r="H236" s="28">
        <f>tbTransactions[[#This Row],[Qty]]*tbTransactions[[#This Row],[Unit Cost]]*tbTransactions[[#This Row],[Exchange Rate]]</f>
        <v>-0.05</v>
      </c>
      <c r="I236" s="101" t="s">
        <v>536</v>
      </c>
      <c r="J236" s="29" t="s">
        <v>24</v>
      </c>
      <c r="K236" s="183" t="str">
        <f>IF(tbTransactions[[#This Row],[Sub-Type]]="Transfer","Neutral",IF(tbTransactions[[#This Row],[Qty]]&lt;0,"Debit",IF(tbTransactions[[#This Row],[Qty]]&gt;0,"Credit","Neutral")))</f>
        <v>Debit</v>
      </c>
      <c r="L236" s="174" t="s">
        <v>14</v>
      </c>
      <c r="M236" s="172" t="s">
        <v>553</v>
      </c>
    </row>
    <row r="237" spans="3:13" ht="30" customHeight="1" x14ac:dyDescent="0.25">
      <c r="C237" s="26">
        <v>235</v>
      </c>
      <c r="D237" s="27">
        <v>44372</v>
      </c>
      <c r="E237" s="23">
        <v>-2.5311173899999999</v>
      </c>
      <c r="F237" s="23">
        <v>1</v>
      </c>
      <c r="G237" s="24">
        <v>1</v>
      </c>
      <c r="H237" s="28">
        <f>tbTransactions[[#This Row],[Qty]]*tbTransactions[[#This Row],[Unit Cost]]*tbTransactions[[#This Row],[Exchange Rate]]</f>
        <v>-2.5311173899999999</v>
      </c>
      <c r="I237" s="101" t="s">
        <v>536</v>
      </c>
      <c r="J237" s="29" t="s">
        <v>24</v>
      </c>
      <c r="K237" s="183" t="str">
        <f>IF(tbTransactions[[#This Row],[Sub-Type]]="Transfer","Neutral",IF(tbTransactions[[#This Row],[Qty]]&lt;0,"Debit",IF(tbTransactions[[#This Row],[Qty]]&gt;0,"Credit","Neutral")))</f>
        <v>Neutral</v>
      </c>
      <c r="L237" s="178" t="s">
        <v>39</v>
      </c>
      <c r="M237" s="172" t="s">
        <v>553</v>
      </c>
    </row>
    <row r="238" spans="3:13" ht="30" customHeight="1" x14ac:dyDescent="0.25">
      <c r="C238" s="26">
        <v>236</v>
      </c>
      <c r="D238" s="27">
        <v>44372</v>
      </c>
      <c r="E238" s="23">
        <v>2.5311173899999999</v>
      </c>
      <c r="F238" s="23">
        <v>1</v>
      </c>
      <c r="G238" s="24">
        <v>1</v>
      </c>
      <c r="H238" s="28">
        <f>tbTransactions[[#This Row],[Qty]]*tbTransactions[[#This Row],[Unit Cost]]*tbTransactions[[#This Row],[Exchange Rate]]</f>
        <v>2.5311173899999999</v>
      </c>
      <c r="I238" s="113" t="s">
        <v>537</v>
      </c>
      <c r="J238" s="29" t="s">
        <v>24</v>
      </c>
      <c r="K238" s="183" t="str">
        <f>IF(tbTransactions[[#This Row],[Sub-Type]]="Transfer","Neutral",IF(tbTransactions[[#This Row],[Qty]]&lt;0,"Debit",IF(tbTransactions[[#This Row],[Qty]]&gt;0,"Credit","Neutral")))</f>
        <v>Neutral</v>
      </c>
      <c r="L238" s="178" t="s">
        <v>39</v>
      </c>
      <c r="M238" s="172" t="s">
        <v>553</v>
      </c>
    </row>
    <row r="239" spans="3:13" ht="30" customHeight="1" x14ac:dyDescent="0.25">
      <c r="C239" s="26">
        <v>237</v>
      </c>
      <c r="D239" s="27">
        <v>44372</v>
      </c>
      <c r="E239" s="23">
        <v>-2.4</v>
      </c>
      <c r="F239" s="23">
        <v>2278.98</v>
      </c>
      <c r="G239" s="24">
        <v>1</v>
      </c>
      <c r="H239" s="28">
        <f>tbTransactions[[#This Row],[Qty]]*tbTransactions[[#This Row],[Unit Cost]]*tbTransactions[[#This Row],[Exchange Rate]]</f>
        <v>-5469.5519999999997</v>
      </c>
      <c r="I239" s="85" t="s">
        <v>537</v>
      </c>
      <c r="J239" s="29" t="s">
        <v>24</v>
      </c>
      <c r="K239" s="183" t="str">
        <f>IF(tbTransactions[[#This Row],[Sub-Type]]="Transfer","Neutral",IF(tbTransactions[[#This Row],[Qty]]&lt;0,"Debit",IF(tbTransactions[[#This Row],[Qty]]&gt;0,"Credit","Neutral")))</f>
        <v>Debit</v>
      </c>
      <c r="L239" s="178" t="s">
        <v>554</v>
      </c>
      <c r="M239" s="112" t="s">
        <v>450</v>
      </c>
    </row>
    <row r="240" spans="3:13" ht="30" customHeight="1" x14ac:dyDescent="0.25">
      <c r="C240" s="26">
        <v>238</v>
      </c>
      <c r="D240" s="27">
        <v>44372</v>
      </c>
      <c r="E240" s="23">
        <v>1</v>
      </c>
      <c r="F240" s="23">
        <v>5451.7</v>
      </c>
      <c r="G240" s="24">
        <v>1</v>
      </c>
      <c r="H240" s="28">
        <f>tbTransactions[[#This Row],[Qty]]*tbTransactions[[#This Row],[Unit Cost]]*tbTransactions[[#This Row],[Exchange Rate]]</f>
        <v>5451.7</v>
      </c>
      <c r="I240" s="113" t="s">
        <v>475</v>
      </c>
      <c r="J240" s="29" t="s">
        <v>473</v>
      </c>
      <c r="K240" s="183" t="str">
        <f>IF(tbTransactions[[#This Row],[Sub-Type]]="Transfer","Neutral",IF(tbTransactions[[#This Row],[Qty]]&lt;0,"Debit",IF(tbTransactions[[#This Row],[Qty]]&gt;0,"Credit","Neutral")))</f>
        <v>Credit</v>
      </c>
      <c r="L240" s="174" t="s">
        <v>545</v>
      </c>
      <c r="M240" s="112" t="s">
        <v>476</v>
      </c>
    </row>
    <row r="241" spans="3:13" ht="30" customHeight="1" x14ac:dyDescent="0.25">
      <c r="C241" s="26">
        <v>239</v>
      </c>
      <c r="D241" s="27">
        <v>44374</v>
      </c>
      <c r="E241" s="23">
        <v>-3000</v>
      </c>
      <c r="F241" s="23">
        <v>1</v>
      </c>
      <c r="G241" s="24">
        <v>1</v>
      </c>
      <c r="H241" s="28">
        <f>tbTransactions[[#This Row],[Qty]]*tbTransactions[[#This Row],[Unit Cost]]*tbTransactions[[#This Row],[Exchange Rate]]</f>
        <v>-3000</v>
      </c>
      <c r="I241" s="114" t="s">
        <v>526</v>
      </c>
      <c r="J241" s="29" t="s">
        <v>418</v>
      </c>
      <c r="K241" s="183" t="str">
        <f>IF(tbTransactions[[#This Row],[Sub-Type]]="Transfer","Neutral",IF(tbTransactions[[#This Row],[Qty]]&lt;0,"Debit",IF(tbTransactions[[#This Row],[Qty]]&gt;0,"Credit","Neutral")))</f>
        <v>Debit</v>
      </c>
      <c r="L241" s="161" t="s">
        <v>529</v>
      </c>
      <c r="M241" s="41"/>
    </row>
    <row r="242" spans="3:13" ht="30" customHeight="1" x14ac:dyDescent="0.25">
      <c r="C242" s="26">
        <v>240</v>
      </c>
      <c r="D242" s="27">
        <v>44374</v>
      </c>
      <c r="E242" s="23">
        <v>-14.99</v>
      </c>
      <c r="F242" s="23">
        <v>1</v>
      </c>
      <c r="G242" s="24">
        <v>1</v>
      </c>
      <c r="H242" s="28">
        <f>tbTransactions[[#This Row],[Qty]]*tbTransactions[[#This Row],[Unit Cost]]*tbTransactions[[#This Row],[Exchange Rate]]</f>
        <v>-14.99</v>
      </c>
      <c r="I242" s="114" t="s">
        <v>536</v>
      </c>
      <c r="J242" s="29" t="s">
        <v>418</v>
      </c>
      <c r="K242" s="183" t="str">
        <f>IF(tbTransactions[[#This Row],[Sub-Type]]="Transfer","Neutral",IF(tbTransactions[[#This Row],[Qty]]&lt;0,"Debit",IF(tbTransactions[[#This Row],[Qty]]&gt;0,"Credit","Neutral")))</f>
        <v>Debit</v>
      </c>
      <c r="L242" s="174" t="s">
        <v>14</v>
      </c>
      <c r="M242" s="41"/>
    </row>
    <row r="243" spans="3:13" ht="30" customHeight="1" x14ac:dyDescent="0.25">
      <c r="C243" s="26">
        <v>241</v>
      </c>
      <c r="D243" s="27">
        <v>44374</v>
      </c>
      <c r="E243" s="23">
        <v>-2985</v>
      </c>
      <c r="F243" s="23">
        <v>1</v>
      </c>
      <c r="G243" s="24">
        <v>1</v>
      </c>
      <c r="H243" s="28">
        <f>tbTransactions[[#This Row],[Qty]]*tbTransactions[[#This Row],[Unit Cost]]*tbTransactions[[#This Row],[Exchange Rate]]</f>
        <v>-2985</v>
      </c>
      <c r="I243" s="114" t="s">
        <v>536</v>
      </c>
      <c r="J243" s="29" t="s">
        <v>418</v>
      </c>
      <c r="K243" s="183" t="str">
        <f>IF(tbTransactions[[#This Row],[Sub-Type]]="Transfer","Neutral",IF(tbTransactions[[#This Row],[Qty]]&lt;0,"Debit",IF(tbTransactions[[#This Row],[Qty]]&gt;0,"Credit","Neutral")))</f>
        <v>Debit</v>
      </c>
      <c r="L243" s="178" t="s">
        <v>528</v>
      </c>
      <c r="M243" s="112" t="s">
        <v>454</v>
      </c>
    </row>
    <row r="244" spans="3:13" ht="30" customHeight="1" x14ac:dyDescent="0.25">
      <c r="C244" s="26">
        <v>242</v>
      </c>
      <c r="D244" s="27">
        <v>44374</v>
      </c>
      <c r="E244" s="23">
        <v>1.3079542</v>
      </c>
      <c r="F244" s="115">
        <v>2282.19</v>
      </c>
      <c r="G244" s="24">
        <v>1</v>
      </c>
      <c r="H244" s="28">
        <f>tbTransactions[[#This Row],[Qty]]*tbTransactions[[#This Row],[Unit Cost]]*tbTransactions[[#This Row],[Exchange Rate]]</f>
        <v>2984.999995698</v>
      </c>
      <c r="I244" s="114" t="s">
        <v>536</v>
      </c>
      <c r="J244" s="29" t="s">
        <v>24</v>
      </c>
      <c r="K244" s="183" t="str">
        <f>IF(tbTransactions[[#This Row],[Sub-Type]]="Transfer","Neutral",IF(tbTransactions[[#This Row],[Qty]]&lt;0,"Debit",IF(tbTransactions[[#This Row],[Qty]]&gt;0,"Credit","Neutral")))</f>
        <v>Credit</v>
      </c>
      <c r="L244" s="174" t="s">
        <v>532</v>
      </c>
      <c r="M244" s="112" t="s">
        <v>454</v>
      </c>
    </row>
    <row r="245" spans="3:13" ht="30" customHeight="1" x14ac:dyDescent="0.25">
      <c r="C245" s="26">
        <v>243</v>
      </c>
      <c r="D245" s="27">
        <v>44374</v>
      </c>
      <c r="E245" s="23">
        <v>3000</v>
      </c>
      <c r="F245" s="23">
        <v>1</v>
      </c>
      <c r="G245" s="24">
        <v>1</v>
      </c>
      <c r="H245" s="28">
        <f>tbTransactions[[#This Row],[Qty]]*tbTransactions[[#This Row],[Unit Cost]]*tbTransactions[[#This Row],[Exchange Rate]]</f>
        <v>3000</v>
      </c>
      <c r="I245" s="114" t="s">
        <v>536</v>
      </c>
      <c r="J245" s="29" t="s">
        <v>418</v>
      </c>
      <c r="K245" s="183" t="str">
        <f>IF(tbTransactions[[#This Row],[Sub-Type]]="Transfer","Neutral",IF(tbTransactions[[#This Row],[Qty]]&lt;0,"Debit",IF(tbTransactions[[#This Row],[Qty]]&gt;0,"Credit","Neutral")))</f>
        <v>Credit</v>
      </c>
      <c r="L245" s="178" t="s">
        <v>527</v>
      </c>
      <c r="M245" s="115"/>
    </row>
    <row r="246" spans="3:13" ht="30" customHeight="1" x14ac:dyDescent="0.25">
      <c r="C246" s="26">
        <v>244</v>
      </c>
      <c r="D246" s="27">
        <v>44376</v>
      </c>
      <c r="E246" s="23">
        <v>2.0906259999999999</v>
      </c>
      <c r="F246" s="23">
        <v>0</v>
      </c>
      <c r="G246" s="24">
        <v>1</v>
      </c>
      <c r="H246" s="28">
        <f>tbTransactions[[#This Row],[Qty]]*tbTransactions[[#This Row],[Unit Cost]]*tbTransactions[[#This Row],[Exchange Rate]]</f>
        <v>0</v>
      </c>
      <c r="I246" s="63" t="s">
        <v>534</v>
      </c>
      <c r="J246" s="29" t="s">
        <v>19</v>
      </c>
      <c r="K246" s="183" t="str">
        <f>IF(tbTransactions[[#This Row],[Sub-Type]]="Transfer","Neutral",IF(tbTransactions[[#This Row],[Qty]]&lt;0,"Debit",IF(tbTransactions[[#This Row],[Qty]]&gt;0,"Credit","Neutral")))</f>
        <v>Credit</v>
      </c>
      <c r="L246" s="174" t="s">
        <v>546</v>
      </c>
      <c r="M246" s="75" t="s">
        <v>441</v>
      </c>
    </row>
    <row r="247" spans="3:13" ht="30" customHeight="1" x14ac:dyDescent="0.25">
      <c r="C247" s="26">
        <v>245</v>
      </c>
      <c r="D247" s="27">
        <v>44376</v>
      </c>
      <c r="E247" s="23">
        <v>3.1685680000000001E-2</v>
      </c>
      <c r="F247" s="23">
        <v>0</v>
      </c>
      <c r="G247" s="24">
        <v>1</v>
      </c>
      <c r="H247" s="28">
        <f>tbTransactions[[#This Row],[Qty]]*tbTransactions[[#This Row],[Unit Cost]]*tbTransactions[[#This Row],[Exchange Rate]]</f>
        <v>0</v>
      </c>
      <c r="I247" s="116" t="s">
        <v>430</v>
      </c>
      <c r="J247" s="29" t="s">
        <v>503</v>
      </c>
      <c r="K247" s="183" t="str">
        <f>IF(tbTransactions[[#This Row],[Sub-Type]]="Transfer","Neutral",IF(tbTransactions[[#This Row],[Qty]]&lt;0,"Debit",IF(tbTransactions[[#This Row],[Qty]]&gt;0,"Credit","Neutral")))</f>
        <v>Credit</v>
      </c>
      <c r="L247" s="174" t="s">
        <v>544</v>
      </c>
      <c r="M247" s="117" t="s">
        <v>478</v>
      </c>
    </row>
    <row r="248" spans="3:13" ht="30" customHeight="1" x14ac:dyDescent="0.25">
      <c r="C248" s="26">
        <v>246</v>
      </c>
      <c r="D248" s="27">
        <v>44376</v>
      </c>
      <c r="E248" s="23">
        <v>3.1685680000000001E-2</v>
      </c>
      <c r="F248" s="23">
        <v>0</v>
      </c>
      <c r="G248" s="24">
        <v>1</v>
      </c>
      <c r="H248" s="28">
        <f>tbTransactions[[#This Row],[Qty]]*tbTransactions[[#This Row],[Unit Cost]]*tbTransactions[[#This Row],[Exchange Rate]]</f>
        <v>0</v>
      </c>
      <c r="I248" s="116" t="s">
        <v>430</v>
      </c>
      <c r="J248" s="29" t="s">
        <v>503</v>
      </c>
      <c r="K248" s="183" t="str">
        <f>IF(tbTransactions[[#This Row],[Sub-Type]]="Transfer","Neutral",IF(tbTransactions[[#This Row],[Qty]]&lt;0,"Debit",IF(tbTransactions[[#This Row],[Qty]]&gt;0,"Credit","Neutral")))</f>
        <v>Credit</v>
      </c>
      <c r="L248" s="174" t="s">
        <v>544</v>
      </c>
      <c r="M248" s="117" t="s">
        <v>478</v>
      </c>
    </row>
    <row r="249" spans="3:13" ht="30" customHeight="1" x14ac:dyDescent="0.25">
      <c r="C249" s="26">
        <v>247</v>
      </c>
      <c r="D249" s="27">
        <v>44376</v>
      </c>
      <c r="E249" s="23">
        <v>3.1685680000000001E-2</v>
      </c>
      <c r="F249" s="23">
        <v>0</v>
      </c>
      <c r="G249" s="24">
        <v>1</v>
      </c>
      <c r="H249" s="28">
        <f>tbTransactions[[#This Row],[Qty]]*tbTransactions[[#This Row],[Unit Cost]]*tbTransactions[[#This Row],[Exchange Rate]]</f>
        <v>0</v>
      </c>
      <c r="I249" s="116" t="s">
        <v>430</v>
      </c>
      <c r="J249" s="29" t="s">
        <v>503</v>
      </c>
      <c r="K249" s="183" t="str">
        <f>IF(tbTransactions[[#This Row],[Sub-Type]]="Transfer","Neutral",IF(tbTransactions[[#This Row],[Qty]]&lt;0,"Debit",IF(tbTransactions[[#This Row],[Qty]]&gt;0,"Credit","Neutral")))</f>
        <v>Credit</v>
      </c>
      <c r="L249" s="174" t="s">
        <v>544</v>
      </c>
      <c r="M249" s="117" t="s">
        <v>478</v>
      </c>
    </row>
    <row r="250" spans="3:13" ht="30" customHeight="1" x14ac:dyDescent="0.25">
      <c r="C250" s="26">
        <v>248</v>
      </c>
      <c r="D250" s="27">
        <v>44381</v>
      </c>
      <c r="E250" s="23">
        <v>2.731236</v>
      </c>
      <c r="F250" s="23">
        <v>0</v>
      </c>
      <c r="G250" s="24">
        <v>1</v>
      </c>
      <c r="H250" s="28">
        <f>tbTransactions[[#This Row],[Qty]]*tbTransactions[[#This Row],[Unit Cost]]*tbTransactions[[#This Row],[Exchange Rate]]</f>
        <v>0</v>
      </c>
      <c r="I250" s="118" t="s">
        <v>534</v>
      </c>
      <c r="J250" s="29" t="s">
        <v>19</v>
      </c>
      <c r="K250" s="183" t="str">
        <f>IF(tbTransactions[[#This Row],[Sub-Type]]="Transfer","Neutral",IF(tbTransactions[[#This Row],[Qty]]&lt;0,"Debit",IF(tbTransactions[[#This Row],[Qty]]&gt;0,"Credit","Neutral")))</f>
        <v>Credit</v>
      </c>
      <c r="L250" s="174" t="s">
        <v>546</v>
      </c>
      <c r="M250" s="75" t="s">
        <v>441</v>
      </c>
    </row>
    <row r="251" spans="3:13" ht="30" customHeight="1" x14ac:dyDescent="0.25">
      <c r="C251" s="26">
        <v>249</v>
      </c>
      <c r="D251" s="27">
        <v>44381</v>
      </c>
      <c r="E251" s="23">
        <v>3.1381899999999997E-2</v>
      </c>
      <c r="F251" s="23">
        <v>0</v>
      </c>
      <c r="G251" s="24">
        <v>1</v>
      </c>
      <c r="H251" s="28">
        <f>tbTransactions[[#This Row],[Qty]]*tbTransactions[[#This Row],[Unit Cost]]*tbTransactions[[#This Row],[Exchange Rate]]</f>
        <v>0</v>
      </c>
      <c r="I251" s="100" t="s">
        <v>539</v>
      </c>
      <c r="J251" s="29" t="s">
        <v>22</v>
      </c>
      <c r="K251" s="183" t="str">
        <f>IF(tbTransactions[[#This Row],[Sub-Type]]="Transfer","Neutral",IF(tbTransactions[[#This Row],[Qty]]&lt;0,"Debit",IF(tbTransactions[[#This Row],[Qty]]&gt;0,"Credit","Neutral")))</f>
        <v>Credit</v>
      </c>
      <c r="L251" s="174" t="s">
        <v>546</v>
      </c>
      <c r="M251" s="122" t="s">
        <v>481</v>
      </c>
    </row>
    <row r="252" spans="3:13" ht="30" customHeight="1" x14ac:dyDescent="0.25">
      <c r="C252" s="26">
        <v>250</v>
      </c>
      <c r="D252" s="27">
        <v>44382</v>
      </c>
      <c r="E252" s="23">
        <v>3.29278603E-2</v>
      </c>
      <c r="F252" s="23">
        <v>0</v>
      </c>
      <c r="G252" s="24">
        <v>1</v>
      </c>
      <c r="H252" s="28">
        <f>tbTransactions[[#This Row],[Qty]]*tbTransactions[[#This Row],[Unit Cost]]*tbTransactions[[#This Row],[Exchange Rate]]</f>
        <v>0</v>
      </c>
      <c r="I252" s="100" t="s">
        <v>539</v>
      </c>
      <c r="J252" s="29" t="s">
        <v>22</v>
      </c>
      <c r="K252" s="183" t="str">
        <f>IF(tbTransactions[[#This Row],[Sub-Type]]="Transfer","Neutral",IF(tbTransactions[[#This Row],[Qty]]&lt;0,"Debit",IF(tbTransactions[[#This Row],[Qty]]&gt;0,"Credit","Neutral")))</f>
        <v>Credit</v>
      </c>
      <c r="L252" s="174" t="s">
        <v>546</v>
      </c>
      <c r="M252" s="122" t="s">
        <v>481</v>
      </c>
    </row>
    <row r="253" spans="3:13" ht="30" customHeight="1" x14ac:dyDescent="0.25">
      <c r="C253" s="26">
        <v>251</v>
      </c>
      <c r="D253" s="27">
        <v>44383</v>
      </c>
      <c r="E253" s="23">
        <v>0.12429</v>
      </c>
      <c r="F253" s="23">
        <v>0</v>
      </c>
      <c r="G253" s="24">
        <v>1</v>
      </c>
      <c r="H253" s="28">
        <f>tbTransactions[[#This Row],[Qty]]*tbTransactions[[#This Row],[Unit Cost]]*tbTransactions[[#This Row],[Exchange Rate]]</f>
        <v>0</v>
      </c>
      <c r="I253" s="119" t="s">
        <v>445</v>
      </c>
      <c r="J253" s="29" t="s">
        <v>20</v>
      </c>
      <c r="K253" s="183" t="str">
        <f>IF(tbTransactions[[#This Row],[Sub-Type]]="Transfer","Neutral",IF(tbTransactions[[#This Row],[Qty]]&lt;0,"Debit",IF(tbTransactions[[#This Row],[Qty]]&gt;0,"Credit","Neutral")))</f>
        <v>Credit</v>
      </c>
      <c r="L253" s="174" t="s">
        <v>546</v>
      </c>
      <c r="M253" s="51" t="s">
        <v>47</v>
      </c>
    </row>
    <row r="254" spans="3:13" ht="30" customHeight="1" x14ac:dyDescent="0.25">
      <c r="C254" s="26">
        <v>252</v>
      </c>
      <c r="D254" s="27">
        <v>44383</v>
      </c>
      <c r="E254" s="23">
        <v>2.3384501500000002E-2</v>
      </c>
      <c r="F254" s="23">
        <v>0</v>
      </c>
      <c r="G254" s="24">
        <v>1</v>
      </c>
      <c r="H254" s="28">
        <f>tbTransactions[[#This Row],[Qty]]*tbTransactions[[#This Row],[Unit Cost]]*tbTransactions[[#This Row],[Exchange Rate]]</f>
        <v>0</v>
      </c>
      <c r="I254" s="100" t="s">
        <v>539</v>
      </c>
      <c r="J254" s="29" t="s">
        <v>22</v>
      </c>
      <c r="K254" s="183" t="str">
        <f>IF(tbTransactions[[#This Row],[Sub-Type]]="Transfer","Neutral",IF(tbTransactions[[#This Row],[Qty]]&lt;0,"Debit",IF(tbTransactions[[#This Row],[Qty]]&gt;0,"Credit","Neutral")))</f>
        <v>Credit</v>
      </c>
      <c r="L254" s="174" t="s">
        <v>546</v>
      </c>
      <c r="M254" s="122" t="s">
        <v>481</v>
      </c>
    </row>
    <row r="255" spans="3:13" ht="30" customHeight="1" x14ac:dyDescent="0.25">
      <c r="C255" s="26">
        <v>253</v>
      </c>
      <c r="D255" s="27">
        <v>44384</v>
      </c>
      <c r="E255" s="23">
        <v>3.1142782599999998E-2</v>
      </c>
      <c r="F255" s="23">
        <v>0</v>
      </c>
      <c r="G255" s="24">
        <v>1</v>
      </c>
      <c r="H255" s="28">
        <f>tbTransactions[[#This Row],[Qty]]*tbTransactions[[#This Row],[Unit Cost]]*tbTransactions[[#This Row],[Exchange Rate]]</f>
        <v>0</v>
      </c>
      <c r="I255" s="100" t="s">
        <v>539</v>
      </c>
      <c r="J255" s="29" t="s">
        <v>22</v>
      </c>
      <c r="K255" s="183" t="str">
        <f>IF(tbTransactions[[#This Row],[Sub-Type]]="Transfer","Neutral",IF(tbTransactions[[#This Row],[Qty]]&lt;0,"Debit",IF(tbTransactions[[#This Row],[Qty]]&gt;0,"Credit","Neutral")))</f>
        <v>Credit</v>
      </c>
      <c r="L255" s="174" t="s">
        <v>546</v>
      </c>
      <c r="M255" s="122" t="s">
        <v>481</v>
      </c>
    </row>
    <row r="256" spans="3:13" ht="30" customHeight="1" x14ac:dyDescent="0.25">
      <c r="C256" s="26">
        <v>254</v>
      </c>
      <c r="D256" s="27">
        <v>44385</v>
      </c>
      <c r="E256" s="23">
        <v>2.7771368800000001E-2</v>
      </c>
      <c r="F256" s="23">
        <v>0</v>
      </c>
      <c r="G256" s="24">
        <v>1</v>
      </c>
      <c r="H256" s="28">
        <f>tbTransactions[[#This Row],[Qty]]*tbTransactions[[#This Row],[Unit Cost]]*tbTransactions[[#This Row],[Exchange Rate]]</f>
        <v>0</v>
      </c>
      <c r="I256" s="100" t="s">
        <v>539</v>
      </c>
      <c r="J256" s="29" t="s">
        <v>22</v>
      </c>
      <c r="K256" s="183" t="str">
        <f>IF(tbTransactions[[#This Row],[Sub-Type]]="Transfer","Neutral",IF(tbTransactions[[#This Row],[Qty]]&lt;0,"Debit",IF(tbTransactions[[#This Row],[Qty]]&gt;0,"Credit","Neutral")))</f>
        <v>Credit</v>
      </c>
      <c r="L256" s="174" t="s">
        <v>546</v>
      </c>
      <c r="M256" s="122" t="s">
        <v>481</v>
      </c>
    </row>
    <row r="257" spans="3:13" ht="30" customHeight="1" x14ac:dyDescent="0.25">
      <c r="C257" s="26">
        <v>255</v>
      </c>
      <c r="D257" s="27">
        <v>44386</v>
      </c>
      <c r="E257" s="23">
        <v>2.5058009999999999</v>
      </c>
      <c r="F257" s="23">
        <v>0</v>
      </c>
      <c r="G257" s="24">
        <v>1</v>
      </c>
      <c r="H257" s="28">
        <f>tbTransactions[[#This Row],[Qty]]*tbTransactions[[#This Row],[Unit Cost]]*tbTransactions[[#This Row],[Exchange Rate]]</f>
        <v>0</v>
      </c>
      <c r="I257" s="118" t="s">
        <v>534</v>
      </c>
      <c r="J257" s="29" t="s">
        <v>19</v>
      </c>
      <c r="K257" s="183" t="str">
        <f>IF(tbTransactions[[#This Row],[Sub-Type]]="Transfer","Neutral",IF(tbTransactions[[#This Row],[Qty]]&lt;0,"Debit",IF(tbTransactions[[#This Row],[Qty]]&gt;0,"Credit","Neutral")))</f>
        <v>Credit</v>
      </c>
      <c r="L257" s="174" t="s">
        <v>546</v>
      </c>
      <c r="M257" s="75" t="s">
        <v>441</v>
      </c>
    </row>
    <row r="258" spans="3:13" ht="30" customHeight="1" x14ac:dyDescent="0.25">
      <c r="C258" s="26">
        <v>256</v>
      </c>
      <c r="D258" s="27">
        <v>44386</v>
      </c>
      <c r="E258" s="23">
        <v>2.1238399430118702</v>
      </c>
      <c r="F258" s="23">
        <v>0</v>
      </c>
      <c r="G258" s="24">
        <v>1</v>
      </c>
      <c r="H258" s="28">
        <f>tbTransactions[[#This Row],[Qty]]*tbTransactions[[#This Row],[Unit Cost]]*tbTransactions[[#This Row],[Exchange Rate]]</f>
        <v>0</v>
      </c>
      <c r="I258" s="120" t="s">
        <v>540</v>
      </c>
      <c r="J258" s="29" t="s">
        <v>530</v>
      </c>
      <c r="K258" s="183" t="str">
        <f>IF(tbTransactions[[#This Row],[Sub-Type]]="Transfer","Neutral",IF(tbTransactions[[#This Row],[Qty]]&lt;0,"Debit",IF(tbTransactions[[#This Row],[Qty]]&gt;0,"Credit","Neutral")))</f>
        <v>Credit</v>
      </c>
      <c r="L258" s="174" t="s">
        <v>544</v>
      </c>
      <c r="M258" s="121" t="s">
        <v>480</v>
      </c>
    </row>
    <row r="259" spans="3:13" ht="30" customHeight="1" x14ac:dyDescent="0.25">
      <c r="C259" s="26">
        <v>257</v>
      </c>
      <c r="D259" s="27">
        <v>44386</v>
      </c>
      <c r="E259" s="23">
        <v>2.6610370899999999E-2</v>
      </c>
      <c r="F259" s="23">
        <v>0</v>
      </c>
      <c r="G259" s="24">
        <v>1</v>
      </c>
      <c r="H259" s="28">
        <f>tbTransactions[[#This Row],[Qty]]*tbTransactions[[#This Row],[Unit Cost]]*tbTransactions[[#This Row],[Exchange Rate]]</f>
        <v>0</v>
      </c>
      <c r="I259" s="100" t="s">
        <v>539</v>
      </c>
      <c r="J259" s="29" t="s">
        <v>22</v>
      </c>
      <c r="K259" s="183" t="str">
        <f>IF(tbTransactions[[#This Row],[Sub-Type]]="Transfer","Neutral",IF(tbTransactions[[#This Row],[Qty]]&lt;0,"Debit",IF(tbTransactions[[#This Row],[Qty]]&gt;0,"Credit","Neutral")))</f>
        <v>Credit</v>
      </c>
      <c r="L259" s="174" t="s">
        <v>546</v>
      </c>
      <c r="M259" s="122" t="s">
        <v>481</v>
      </c>
    </row>
    <row r="260" spans="3:13" ht="30" customHeight="1" x14ac:dyDescent="0.25">
      <c r="C260" s="26">
        <v>258</v>
      </c>
      <c r="D260" s="27">
        <v>44387</v>
      </c>
      <c r="E260" s="23">
        <v>3.2435386699999999E-2</v>
      </c>
      <c r="F260" s="23">
        <v>0</v>
      </c>
      <c r="G260" s="24">
        <v>1</v>
      </c>
      <c r="H260" s="28">
        <f>tbTransactions[[#This Row],[Qty]]*tbTransactions[[#This Row],[Unit Cost]]*tbTransactions[[#This Row],[Exchange Rate]]</f>
        <v>0</v>
      </c>
      <c r="I260" s="100" t="s">
        <v>539</v>
      </c>
      <c r="J260" s="29" t="s">
        <v>22</v>
      </c>
      <c r="K260" s="183" t="str">
        <f>IF(tbTransactions[[#This Row],[Sub-Type]]="Transfer","Neutral",IF(tbTransactions[[#This Row],[Qty]]&lt;0,"Debit",IF(tbTransactions[[#This Row],[Qty]]&gt;0,"Credit","Neutral")))</f>
        <v>Credit</v>
      </c>
      <c r="L260" s="174" t="s">
        <v>546</v>
      </c>
      <c r="M260" s="122" t="s">
        <v>481</v>
      </c>
    </row>
    <row r="261" spans="3:13" ht="30" customHeight="1" x14ac:dyDescent="0.25">
      <c r="C261" s="26">
        <v>259</v>
      </c>
      <c r="D261" s="27">
        <v>44388</v>
      </c>
      <c r="E261" s="23">
        <v>2.7733334700000001E-2</v>
      </c>
      <c r="F261" s="23">
        <v>0</v>
      </c>
      <c r="G261" s="24">
        <v>1</v>
      </c>
      <c r="H261" s="28">
        <f>tbTransactions[[#This Row],[Qty]]*tbTransactions[[#This Row],[Unit Cost]]*tbTransactions[[#This Row],[Exchange Rate]]</f>
        <v>0</v>
      </c>
      <c r="I261" s="100" t="s">
        <v>539</v>
      </c>
      <c r="J261" s="29" t="s">
        <v>22</v>
      </c>
      <c r="K261" s="183" t="str">
        <f>IF(tbTransactions[[#This Row],[Sub-Type]]="Transfer","Neutral",IF(tbTransactions[[#This Row],[Qty]]&lt;0,"Debit",IF(tbTransactions[[#This Row],[Qty]]&gt;0,"Credit","Neutral")))</f>
        <v>Credit</v>
      </c>
      <c r="L261" s="174" t="s">
        <v>546</v>
      </c>
      <c r="M261" s="122" t="s">
        <v>481</v>
      </c>
    </row>
    <row r="262" spans="3:13" ht="30" customHeight="1" x14ac:dyDescent="0.25">
      <c r="C262" s="26">
        <v>260</v>
      </c>
      <c r="D262" s="27">
        <v>44389</v>
      </c>
      <c r="E262" s="23">
        <v>-2100</v>
      </c>
      <c r="F262" s="23">
        <v>1</v>
      </c>
      <c r="G262" s="24">
        <v>1</v>
      </c>
      <c r="H262" s="28">
        <f>tbTransactions[[#This Row],[Qty]]*tbTransactions[[#This Row],[Unit Cost]]*tbTransactions[[#This Row],[Exchange Rate]]</f>
        <v>-2100</v>
      </c>
      <c r="I262" s="120" t="s">
        <v>526</v>
      </c>
      <c r="J262" s="29" t="s">
        <v>418</v>
      </c>
      <c r="K262" s="183" t="str">
        <f>IF(tbTransactions[[#This Row],[Sub-Type]]="Transfer","Neutral",IF(tbTransactions[[#This Row],[Qty]]&lt;0,"Debit",IF(tbTransactions[[#This Row],[Qty]]&gt;0,"Credit","Neutral")))</f>
        <v>Debit</v>
      </c>
      <c r="L262" s="161" t="s">
        <v>529</v>
      </c>
      <c r="M262" s="41"/>
    </row>
    <row r="263" spans="3:13" ht="30" customHeight="1" x14ac:dyDescent="0.25">
      <c r="C263" s="26">
        <v>261</v>
      </c>
      <c r="D263" s="27">
        <v>44389</v>
      </c>
      <c r="E263" s="23">
        <v>2100</v>
      </c>
      <c r="F263" s="23">
        <v>1</v>
      </c>
      <c r="G263" s="24">
        <v>1</v>
      </c>
      <c r="H263" s="28">
        <f>tbTransactions[[#This Row],[Qty]]*tbTransactions[[#This Row],[Unit Cost]]*tbTransactions[[#This Row],[Exchange Rate]]</f>
        <v>2100</v>
      </c>
      <c r="I263" s="120" t="s">
        <v>531</v>
      </c>
      <c r="J263" s="29" t="s">
        <v>418</v>
      </c>
      <c r="K263" s="183" t="str">
        <f>IF(tbTransactions[[#This Row],[Sub-Type]]="Transfer","Neutral",IF(tbTransactions[[#This Row],[Qty]]&lt;0,"Debit",IF(tbTransactions[[#This Row],[Qty]]&gt;0,"Credit","Neutral")))</f>
        <v>Credit</v>
      </c>
      <c r="L263" s="178" t="s">
        <v>527</v>
      </c>
      <c r="M263" s="41"/>
    </row>
    <row r="264" spans="3:13" ht="30" customHeight="1" x14ac:dyDescent="0.25">
      <c r="C264" s="26">
        <v>262</v>
      </c>
      <c r="D264" s="27">
        <v>44389</v>
      </c>
      <c r="E264" s="23">
        <v>1250</v>
      </c>
      <c r="F264" s="23">
        <v>1.6741999999999999</v>
      </c>
      <c r="G264" s="24">
        <v>1</v>
      </c>
      <c r="H264" s="28">
        <f>tbTransactions[[#This Row],[Qty]]*tbTransactions[[#This Row],[Unit Cost]]*tbTransactions[[#This Row],[Exchange Rate]]</f>
        <v>2092.75</v>
      </c>
      <c r="I264" s="120" t="s">
        <v>531</v>
      </c>
      <c r="J264" s="29" t="s">
        <v>19</v>
      </c>
      <c r="K264" s="183" t="str">
        <f>IF(tbTransactions[[#This Row],[Sub-Type]]="Transfer","Neutral",IF(tbTransactions[[#This Row],[Qty]]&lt;0,"Debit",IF(tbTransactions[[#This Row],[Qty]]&gt;0,"Credit","Neutral")))</f>
        <v>Credit</v>
      </c>
      <c r="L264" s="174" t="s">
        <v>532</v>
      </c>
      <c r="M264" s="121" t="s">
        <v>469</v>
      </c>
    </row>
    <row r="265" spans="3:13" ht="30" customHeight="1" x14ac:dyDescent="0.25">
      <c r="C265" s="26">
        <v>263</v>
      </c>
      <c r="D265" s="27">
        <v>44389</v>
      </c>
      <c r="E265" s="23">
        <v>-3.3483999999999998</v>
      </c>
      <c r="F265" s="23">
        <v>1</v>
      </c>
      <c r="G265" s="24">
        <v>1</v>
      </c>
      <c r="H265" s="28">
        <f>tbTransactions[[#This Row],[Qty]]*tbTransactions[[#This Row],[Unit Cost]]*tbTransactions[[#This Row],[Exchange Rate]]</f>
        <v>-3.3483999999999998</v>
      </c>
      <c r="I265" s="120" t="s">
        <v>531</v>
      </c>
      <c r="J265" s="29" t="s">
        <v>418</v>
      </c>
      <c r="K265" s="183" t="str">
        <f>IF(tbTransactions[[#This Row],[Sub-Type]]="Transfer","Neutral",IF(tbTransactions[[#This Row],[Qty]]&lt;0,"Debit",IF(tbTransactions[[#This Row],[Qty]]&gt;0,"Credit","Neutral")))</f>
        <v>Debit</v>
      </c>
      <c r="L265" s="174" t="s">
        <v>14</v>
      </c>
      <c r="M265" s="41"/>
    </row>
    <row r="266" spans="3:13" ht="30" customHeight="1" x14ac:dyDescent="0.25">
      <c r="C266" s="26">
        <v>264</v>
      </c>
      <c r="D266" s="27">
        <v>44389</v>
      </c>
      <c r="E266" s="23">
        <v>-1250</v>
      </c>
      <c r="F266" s="23">
        <v>1.6741999999999999</v>
      </c>
      <c r="G266" s="24">
        <v>1</v>
      </c>
      <c r="H266" s="28">
        <f>tbTransactions[[#This Row],[Qty]]*tbTransactions[[#This Row],[Unit Cost]]*tbTransactions[[#This Row],[Exchange Rate]]</f>
        <v>-2092.75</v>
      </c>
      <c r="I266" s="120" t="s">
        <v>531</v>
      </c>
      <c r="J266" s="29" t="s">
        <v>19</v>
      </c>
      <c r="K266" s="183" t="str">
        <f>IF(tbTransactions[[#This Row],[Sub-Type]]="Transfer","Neutral",IF(tbTransactions[[#This Row],[Qty]]&lt;0,"Debit",IF(tbTransactions[[#This Row],[Qty]]&gt;0,"Credit","Neutral")))</f>
        <v>Neutral</v>
      </c>
      <c r="L266" s="178" t="s">
        <v>39</v>
      </c>
      <c r="M266" s="121" t="s">
        <v>479</v>
      </c>
    </row>
    <row r="267" spans="3:13" ht="30" customHeight="1" x14ac:dyDescent="0.25">
      <c r="C267" s="26">
        <v>265</v>
      </c>
      <c r="D267" s="27">
        <v>44389</v>
      </c>
      <c r="E267" s="23">
        <v>1247.2</v>
      </c>
      <c r="F267" s="23">
        <v>1.6741999999999999</v>
      </c>
      <c r="G267" s="24">
        <v>1</v>
      </c>
      <c r="H267" s="28">
        <f>tbTransactions[[#This Row],[Qty]]*tbTransactions[[#This Row],[Unit Cost]]*tbTransactions[[#This Row],[Exchange Rate]]</f>
        <v>2088.0622399999997</v>
      </c>
      <c r="I267" s="120" t="s">
        <v>534</v>
      </c>
      <c r="J267" s="29" t="s">
        <v>19</v>
      </c>
      <c r="K267" s="183" t="str">
        <f>IF(tbTransactions[[#This Row],[Sub-Type]]="Transfer","Neutral",IF(tbTransactions[[#This Row],[Qty]]&lt;0,"Debit",IF(tbTransactions[[#This Row],[Qty]]&gt;0,"Credit","Neutral")))</f>
        <v>Neutral</v>
      </c>
      <c r="L267" s="178" t="s">
        <v>39</v>
      </c>
      <c r="M267" s="121" t="s">
        <v>479</v>
      </c>
    </row>
    <row r="268" spans="3:13" ht="30" customHeight="1" x14ac:dyDescent="0.25">
      <c r="C268" s="26">
        <v>266</v>
      </c>
      <c r="D268" s="27">
        <v>44389</v>
      </c>
      <c r="E268" s="23">
        <v>-2.8</v>
      </c>
      <c r="F268" s="23">
        <v>1.6741999999999999</v>
      </c>
      <c r="G268" s="24">
        <v>1</v>
      </c>
      <c r="H268" s="28">
        <f>tbTransactions[[#This Row],[Qty]]*tbTransactions[[#This Row],[Unit Cost]]*tbTransactions[[#This Row],[Exchange Rate]]</f>
        <v>-4.687759999999999</v>
      </c>
      <c r="I268" s="120" t="s">
        <v>531</v>
      </c>
      <c r="J268" s="29" t="s">
        <v>19</v>
      </c>
      <c r="K268" s="183" t="str">
        <f>IF(tbTransactions[[#This Row],[Sub-Type]]="Transfer","Neutral",IF(tbTransactions[[#This Row],[Qty]]&lt;0,"Debit",IF(tbTransactions[[#This Row],[Qty]]&gt;0,"Credit","Neutral")))</f>
        <v>Debit</v>
      </c>
      <c r="L268" s="174" t="s">
        <v>14</v>
      </c>
      <c r="M268" s="121" t="s">
        <v>479</v>
      </c>
    </row>
    <row r="269" spans="3:13" ht="30" customHeight="1" x14ac:dyDescent="0.25">
      <c r="C269" s="26">
        <v>267</v>
      </c>
      <c r="D269" s="27">
        <v>44389</v>
      </c>
      <c r="E269" s="23">
        <v>2.2641344899999999E-2</v>
      </c>
      <c r="F269" s="23">
        <v>0</v>
      </c>
      <c r="G269" s="24">
        <v>1</v>
      </c>
      <c r="H269" s="28">
        <f>tbTransactions[[#This Row],[Qty]]*tbTransactions[[#This Row],[Unit Cost]]*tbTransactions[[#This Row],[Exchange Rate]]</f>
        <v>0</v>
      </c>
      <c r="I269" s="100" t="s">
        <v>539</v>
      </c>
      <c r="J269" s="29" t="s">
        <v>22</v>
      </c>
      <c r="K269" s="183" t="str">
        <f>IF(tbTransactions[[#This Row],[Sub-Type]]="Transfer","Neutral",IF(tbTransactions[[#This Row],[Qty]]&lt;0,"Debit",IF(tbTransactions[[#This Row],[Qty]]&gt;0,"Credit","Neutral")))</f>
        <v>Credit</v>
      </c>
      <c r="L269" s="174" t="s">
        <v>546</v>
      </c>
      <c r="M269" s="122" t="s">
        <v>481</v>
      </c>
    </row>
    <row r="270" spans="3:13" ht="30" customHeight="1" x14ac:dyDescent="0.25">
      <c r="C270" s="26">
        <v>268</v>
      </c>
      <c r="D270" s="27">
        <v>44390</v>
      </c>
      <c r="E270" s="23">
        <v>2.66755267E-2</v>
      </c>
      <c r="F270" s="23">
        <v>0</v>
      </c>
      <c r="G270" s="24">
        <v>1</v>
      </c>
      <c r="H270" s="28">
        <f>tbTransactions[[#This Row],[Qty]]*tbTransactions[[#This Row],[Unit Cost]]*tbTransactions[[#This Row],[Exchange Rate]]</f>
        <v>0</v>
      </c>
      <c r="I270" s="100" t="s">
        <v>539</v>
      </c>
      <c r="J270" s="29" t="s">
        <v>22</v>
      </c>
      <c r="K270" s="183" t="str">
        <f>IF(tbTransactions[[#This Row],[Sub-Type]]="Transfer","Neutral",IF(tbTransactions[[#This Row],[Qty]]&lt;0,"Debit",IF(tbTransactions[[#This Row],[Qty]]&gt;0,"Credit","Neutral")))</f>
        <v>Credit</v>
      </c>
      <c r="L270" s="174" t="s">
        <v>546</v>
      </c>
      <c r="M270" s="122" t="s">
        <v>481</v>
      </c>
    </row>
    <row r="271" spans="3:13" ht="30" customHeight="1" x14ac:dyDescent="0.25">
      <c r="C271" s="26">
        <v>269</v>
      </c>
      <c r="D271" s="27">
        <v>44391</v>
      </c>
      <c r="E271" s="23">
        <v>-0.22</v>
      </c>
      <c r="F271" s="23">
        <v>2484</v>
      </c>
      <c r="G271" s="24">
        <v>1</v>
      </c>
      <c r="H271" s="28">
        <f>tbTransactions[[#This Row],[Qty]]*tbTransactions[[#This Row],[Unit Cost]]*tbTransactions[[#This Row],[Exchange Rate]]</f>
        <v>-546.48</v>
      </c>
      <c r="I271" s="133" t="s">
        <v>537</v>
      </c>
      <c r="J271" s="29" t="s">
        <v>24</v>
      </c>
      <c r="K271" s="183" t="str">
        <f>IF(tbTransactions[[#This Row],[Sub-Type]]="Transfer","Neutral",IF(tbTransactions[[#This Row],[Qty]]&lt;0,"Debit",IF(tbTransactions[[#This Row],[Qty]]&gt;0,"Credit","Neutral")))</f>
        <v>Neutral</v>
      </c>
      <c r="L271" s="178" t="s">
        <v>39</v>
      </c>
      <c r="M271" s="134" t="s">
        <v>490</v>
      </c>
    </row>
    <row r="272" spans="3:13" ht="30" customHeight="1" x14ac:dyDescent="0.25">
      <c r="C272" s="26">
        <v>270</v>
      </c>
      <c r="D272" s="27">
        <v>44391</v>
      </c>
      <c r="E272" s="23">
        <v>-4.3000000000000001E-8</v>
      </c>
      <c r="F272" s="23">
        <v>2484</v>
      </c>
      <c r="G272" s="24">
        <v>1</v>
      </c>
      <c r="H272" s="28">
        <f>tbTransactions[[#This Row],[Qty]]*tbTransactions[[#This Row],[Unit Cost]]*tbTransactions[[#This Row],[Exchange Rate]]</f>
        <v>-1.0681200000000001E-4</v>
      </c>
      <c r="I272" s="133" t="s">
        <v>537</v>
      </c>
      <c r="J272" s="29" t="s">
        <v>24</v>
      </c>
      <c r="K272" s="183" t="str">
        <f>IF(tbTransactions[[#This Row],[Sub-Type]]="Transfer","Neutral",IF(tbTransactions[[#This Row],[Qty]]&lt;0,"Debit",IF(tbTransactions[[#This Row],[Qty]]&gt;0,"Credit","Neutral")))</f>
        <v>Debit</v>
      </c>
      <c r="L272" s="174" t="s">
        <v>14</v>
      </c>
      <c r="M272" s="134" t="s">
        <v>490</v>
      </c>
    </row>
    <row r="273" spans="3:13" ht="30" customHeight="1" x14ac:dyDescent="0.25">
      <c r="C273" s="26">
        <v>271</v>
      </c>
      <c r="D273" s="27">
        <v>44391</v>
      </c>
      <c r="E273" s="23">
        <v>47.014699999999998</v>
      </c>
      <c r="F273" s="23">
        <v>11.63</v>
      </c>
      <c r="G273" s="24">
        <v>1</v>
      </c>
      <c r="H273" s="28">
        <f>tbTransactions[[#This Row],[Qty]]*tbTransactions[[#This Row],[Unit Cost]]*tbTransactions[[#This Row],[Exchange Rate]]</f>
        <v>546.78096100000005</v>
      </c>
      <c r="I273" s="133" t="s">
        <v>537</v>
      </c>
      <c r="J273" s="29" t="s">
        <v>491</v>
      </c>
      <c r="K273" s="183" t="str">
        <f>IF(tbTransactions[[#This Row],[Sub-Type]]="Transfer","Neutral",IF(tbTransactions[[#This Row],[Qty]]&lt;0,"Debit",IF(tbTransactions[[#This Row],[Qty]]&gt;0,"Credit","Neutral")))</f>
        <v>Credit</v>
      </c>
      <c r="L273" s="174" t="s">
        <v>545</v>
      </c>
      <c r="M273" s="134" t="s">
        <v>490</v>
      </c>
    </row>
    <row r="274" spans="3:13" ht="30" customHeight="1" x14ac:dyDescent="0.25">
      <c r="C274" s="26">
        <v>272</v>
      </c>
      <c r="D274" s="27">
        <v>44391</v>
      </c>
      <c r="E274" s="23">
        <v>31.912724000000001</v>
      </c>
      <c r="F274" s="23">
        <v>15.07</v>
      </c>
      <c r="G274" s="24">
        <v>1</v>
      </c>
      <c r="H274" s="28">
        <f>tbTransactions[[#This Row],[Qty]]*tbTransactions[[#This Row],[Unit Cost]]*tbTransactions[[#This Row],[Exchange Rate]]</f>
        <v>480.92475068000005</v>
      </c>
      <c r="I274" s="133" t="s">
        <v>430</v>
      </c>
      <c r="J274" s="29" t="s">
        <v>20</v>
      </c>
      <c r="K274" s="183" t="str">
        <f>IF(tbTransactions[[#This Row],[Sub-Type]]="Transfer","Neutral",IF(tbTransactions[[#This Row],[Qty]]&lt;0,"Debit",IF(tbTransactions[[#This Row],[Qty]]&gt;0,"Credit","Neutral")))</f>
        <v>Credit</v>
      </c>
      <c r="L274" s="174" t="s">
        <v>532</v>
      </c>
      <c r="M274" s="134" t="s">
        <v>493</v>
      </c>
    </row>
    <row r="275" spans="3:13" ht="30" customHeight="1" x14ac:dyDescent="0.25">
      <c r="C275" s="26">
        <v>273</v>
      </c>
      <c r="D275" s="27">
        <v>44391</v>
      </c>
      <c r="E275" s="23">
        <v>-19.18</v>
      </c>
      <c r="F275" s="23">
        <v>1</v>
      </c>
      <c r="G275" s="24">
        <v>1</v>
      </c>
      <c r="H275" s="28">
        <f>tbTransactions[[#This Row],[Qty]]*tbTransactions[[#This Row],[Unit Cost]]*tbTransactions[[#This Row],[Exchange Rate]]</f>
        <v>-19.18</v>
      </c>
      <c r="I275" s="133" t="s">
        <v>526</v>
      </c>
      <c r="J275" s="29" t="s">
        <v>418</v>
      </c>
      <c r="K275" s="183" t="str">
        <f>IF(tbTransactions[[#This Row],[Sub-Type]]="Transfer","Neutral",IF(tbTransactions[[#This Row],[Qty]]&lt;0,"Debit",IF(tbTransactions[[#This Row],[Qty]]&gt;0,"Credit","Neutral")))</f>
        <v>Debit</v>
      </c>
      <c r="L275" s="144" t="s">
        <v>14</v>
      </c>
      <c r="M275" s="134" t="s">
        <v>493</v>
      </c>
    </row>
    <row r="276" spans="3:13" ht="30" customHeight="1" x14ac:dyDescent="0.25">
      <c r="C276" s="26">
        <v>274</v>
      </c>
      <c r="D276" s="27">
        <v>44391</v>
      </c>
      <c r="E276" s="23">
        <v>-480.92475067999999</v>
      </c>
      <c r="F276" s="23">
        <v>1</v>
      </c>
      <c r="G276" s="24">
        <v>1</v>
      </c>
      <c r="H276" s="28">
        <f>tbTransactions[[#This Row],[Qty]]*tbTransactions[[#This Row],[Unit Cost]]*tbTransactions[[#This Row],[Exchange Rate]]</f>
        <v>-480.92475067999999</v>
      </c>
      <c r="I276" s="133" t="s">
        <v>526</v>
      </c>
      <c r="J276" s="29" t="s">
        <v>418</v>
      </c>
      <c r="K276" s="183" t="str">
        <f>IF(tbTransactions[[#This Row],[Sub-Type]]="Transfer","Neutral",IF(tbTransactions[[#This Row],[Qty]]&lt;0,"Debit",IF(tbTransactions[[#This Row],[Qty]]&gt;0,"Credit","Neutral")))</f>
        <v>Debit</v>
      </c>
      <c r="L276" s="161" t="s">
        <v>529</v>
      </c>
      <c r="M276" s="134" t="s">
        <v>493</v>
      </c>
    </row>
    <row r="277" spans="3:13" ht="30" customHeight="1" x14ac:dyDescent="0.25">
      <c r="C277" s="26">
        <v>275</v>
      </c>
      <c r="D277" s="27">
        <v>44391</v>
      </c>
      <c r="E277" s="23">
        <v>-2.5000000000000001E-3</v>
      </c>
      <c r="F277" s="23">
        <v>14.9633</v>
      </c>
      <c r="G277" s="24">
        <v>1</v>
      </c>
      <c r="H277" s="28">
        <f>tbTransactions[[#This Row],[Qty]]*tbTransactions[[#This Row],[Unit Cost]]*tbTransactions[[#This Row],[Exchange Rate]]</f>
        <v>-3.7408250000000004E-2</v>
      </c>
      <c r="I277" s="133" t="s">
        <v>430</v>
      </c>
      <c r="J277" s="29" t="s">
        <v>20</v>
      </c>
      <c r="K277" s="183" t="str">
        <f>IF(tbTransactions[[#This Row],[Sub-Type]]="Transfer","Neutral",IF(tbTransactions[[#This Row],[Qty]]&lt;0,"Debit",IF(tbTransactions[[#This Row],[Qty]]&gt;0,"Credit","Neutral")))</f>
        <v>Debit</v>
      </c>
      <c r="L277" s="174" t="s">
        <v>14</v>
      </c>
      <c r="M277" s="134" t="s">
        <v>494</v>
      </c>
    </row>
    <row r="278" spans="3:13" ht="30" customHeight="1" x14ac:dyDescent="0.25">
      <c r="C278" s="26">
        <v>276</v>
      </c>
      <c r="D278" s="27">
        <v>44391</v>
      </c>
      <c r="E278" s="134">
        <v>-31.912724000000001</v>
      </c>
      <c r="F278" s="23">
        <v>14.9633</v>
      </c>
      <c r="G278" s="24">
        <v>1</v>
      </c>
      <c r="H278" s="28">
        <f>tbTransactions[[#This Row],[Qty]]*tbTransactions[[#This Row],[Unit Cost]]*tbTransactions[[#This Row],[Exchange Rate]]</f>
        <v>-477.51966302920005</v>
      </c>
      <c r="I278" s="133" t="s">
        <v>430</v>
      </c>
      <c r="J278" s="29" t="s">
        <v>20</v>
      </c>
      <c r="K278" s="183" t="str">
        <f>IF(tbTransactions[[#This Row],[Sub-Type]]="Transfer","Neutral",IF(tbTransactions[[#This Row],[Qty]]&lt;0,"Debit",IF(tbTransactions[[#This Row],[Qty]]&gt;0,"Credit","Neutral")))</f>
        <v>Neutral</v>
      </c>
      <c r="L278" s="174" t="s">
        <v>39</v>
      </c>
      <c r="M278" s="134" t="s">
        <v>494</v>
      </c>
    </row>
    <row r="279" spans="3:13" ht="30" customHeight="1" x14ac:dyDescent="0.25">
      <c r="C279" s="26">
        <v>277</v>
      </c>
      <c r="D279" s="27">
        <v>44391</v>
      </c>
      <c r="E279" s="23">
        <v>31.910223999999999</v>
      </c>
      <c r="F279" s="23">
        <v>14.9633</v>
      </c>
      <c r="G279" s="24">
        <v>1</v>
      </c>
      <c r="H279" s="28">
        <f>tbTransactions[[#This Row],[Qty]]*tbTransactions[[#This Row],[Unit Cost]]*tbTransactions[[#This Row],[Exchange Rate]]</f>
        <v>477.48225477919999</v>
      </c>
      <c r="I279" s="133" t="s">
        <v>445</v>
      </c>
      <c r="J279" s="29" t="s">
        <v>20</v>
      </c>
      <c r="K279" s="183" t="str">
        <f>IF(tbTransactions[[#This Row],[Sub-Type]]="Transfer","Neutral",IF(tbTransactions[[#This Row],[Qty]]&lt;0,"Debit",IF(tbTransactions[[#This Row],[Qty]]&gt;0,"Credit","Neutral")))</f>
        <v>Neutral</v>
      </c>
      <c r="L279" s="174" t="s">
        <v>39</v>
      </c>
      <c r="M279" s="134" t="s">
        <v>494</v>
      </c>
    </row>
    <row r="280" spans="3:13" ht="30" customHeight="1" x14ac:dyDescent="0.25">
      <c r="C280" s="26">
        <v>278</v>
      </c>
      <c r="D280" s="27">
        <v>44391</v>
      </c>
      <c r="E280" s="23">
        <v>-5.0749999999999997E-3</v>
      </c>
      <c r="F280" s="23">
        <v>14.9633</v>
      </c>
      <c r="G280" s="24">
        <v>1</v>
      </c>
      <c r="H280" s="28">
        <f>tbTransactions[[#This Row],[Qty]]*tbTransactions[[#This Row],[Unit Cost]]*tbTransactions[[#This Row],[Exchange Rate]]</f>
        <v>-7.5938747500000001E-2</v>
      </c>
      <c r="I280" s="133" t="s">
        <v>445</v>
      </c>
      <c r="J280" s="29" t="s">
        <v>20</v>
      </c>
      <c r="K280" s="183" t="str">
        <f>IF(tbTransactions[[#This Row],[Sub-Type]]="Transfer","Neutral",IF(tbTransactions[[#This Row],[Qty]]&lt;0,"Debit",IF(tbTransactions[[#This Row],[Qty]]&gt;0,"Credit","Neutral")))</f>
        <v>Debit</v>
      </c>
      <c r="L280" s="174" t="s">
        <v>14</v>
      </c>
      <c r="M280" s="134" t="s">
        <v>495</v>
      </c>
    </row>
    <row r="281" spans="3:13" ht="30" customHeight="1" x14ac:dyDescent="0.25">
      <c r="C281" s="26">
        <v>279</v>
      </c>
      <c r="D281" s="27">
        <v>44391</v>
      </c>
      <c r="E281" s="23">
        <v>1.692383</v>
      </c>
      <c r="F281" s="23">
        <v>0</v>
      </c>
      <c r="G281" s="24">
        <v>1</v>
      </c>
      <c r="H281" s="28">
        <f>tbTransactions[[#This Row],[Qty]]*tbTransactions[[#This Row],[Unit Cost]]*tbTransactions[[#This Row],[Exchange Rate]]</f>
        <v>0</v>
      </c>
      <c r="I281" s="133" t="s">
        <v>534</v>
      </c>
      <c r="J281" s="29" t="s">
        <v>19</v>
      </c>
      <c r="K281" s="183" t="str">
        <f>IF(tbTransactions[[#This Row],[Sub-Type]]="Transfer","Neutral",IF(tbTransactions[[#This Row],[Qty]]&lt;0,"Debit",IF(tbTransactions[[#This Row],[Qty]]&gt;0,"Credit","Neutral")))</f>
        <v>Credit</v>
      </c>
      <c r="L281" s="174" t="s">
        <v>546</v>
      </c>
      <c r="M281" s="75" t="s">
        <v>441</v>
      </c>
    </row>
    <row r="282" spans="3:13" ht="30" customHeight="1" x14ac:dyDescent="0.25">
      <c r="C282" s="26">
        <v>280</v>
      </c>
      <c r="D282" s="27">
        <v>44391</v>
      </c>
      <c r="E282" s="23">
        <v>2.6423745299999999E-2</v>
      </c>
      <c r="F282" s="23">
        <v>0</v>
      </c>
      <c r="G282" s="24">
        <v>1</v>
      </c>
      <c r="H282" s="28">
        <f>tbTransactions[[#This Row],[Qty]]*tbTransactions[[#This Row],[Unit Cost]]*tbTransactions[[#This Row],[Exchange Rate]]</f>
        <v>0</v>
      </c>
      <c r="I282" s="100" t="s">
        <v>539</v>
      </c>
      <c r="J282" s="29" t="s">
        <v>22</v>
      </c>
      <c r="K282" s="183" t="str">
        <f>IF(tbTransactions[[#This Row],[Sub-Type]]="Transfer","Neutral",IF(tbTransactions[[#This Row],[Qty]]&lt;0,"Debit",IF(tbTransactions[[#This Row],[Qty]]&gt;0,"Credit","Neutral")))</f>
        <v>Credit</v>
      </c>
      <c r="L282" s="174" t="s">
        <v>546</v>
      </c>
      <c r="M282" s="122" t="s">
        <v>481</v>
      </c>
    </row>
    <row r="283" spans="3:13" ht="30" customHeight="1" x14ac:dyDescent="0.25">
      <c r="C283" s="26">
        <v>281</v>
      </c>
      <c r="D283" s="27">
        <v>44392</v>
      </c>
      <c r="E283" s="23">
        <v>2.8911298299999999E-2</v>
      </c>
      <c r="F283" s="23">
        <v>0</v>
      </c>
      <c r="G283" s="24">
        <v>1</v>
      </c>
      <c r="H283" s="28">
        <f>tbTransactions[[#This Row],[Qty]]*tbTransactions[[#This Row],[Unit Cost]]*tbTransactions[[#This Row],[Exchange Rate]]</f>
        <v>0</v>
      </c>
      <c r="I283" s="100" t="s">
        <v>539</v>
      </c>
      <c r="J283" s="29" t="s">
        <v>22</v>
      </c>
      <c r="K283" s="183" t="str">
        <f>IF(tbTransactions[[#This Row],[Sub-Type]]="Transfer","Neutral",IF(tbTransactions[[#This Row],[Qty]]&lt;0,"Debit",IF(tbTransactions[[#This Row],[Qty]]&gt;0,"Credit","Neutral")))</f>
        <v>Credit</v>
      </c>
      <c r="L283" s="174" t="s">
        <v>546</v>
      </c>
      <c r="M283" s="122" t="s">
        <v>481</v>
      </c>
    </row>
    <row r="284" spans="3:13" ht="30" customHeight="1" x14ac:dyDescent="0.25">
      <c r="C284" s="26">
        <v>282</v>
      </c>
      <c r="D284" s="27">
        <v>44393</v>
      </c>
      <c r="E284" s="23">
        <v>2.2587368300000001E-2</v>
      </c>
      <c r="F284" s="23">
        <v>0</v>
      </c>
      <c r="G284" s="24">
        <v>1</v>
      </c>
      <c r="H284" s="28">
        <f>tbTransactions[[#This Row],[Qty]]*tbTransactions[[#This Row],[Unit Cost]]*tbTransactions[[#This Row],[Exchange Rate]]</f>
        <v>0</v>
      </c>
      <c r="I284" s="100" t="s">
        <v>539</v>
      </c>
      <c r="J284" s="29" t="s">
        <v>22</v>
      </c>
      <c r="K284" s="183" t="str">
        <f>IF(tbTransactions[[#This Row],[Sub-Type]]="Transfer","Neutral",IF(tbTransactions[[#This Row],[Qty]]&lt;0,"Debit",IF(tbTransactions[[#This Row],[Qty]]&gt;0,"Credit","Neutral")))</f>
        <v>Credit</v>
      </c>
      <c r="L284" s="174" t="s">
        <v>546</v>
      </c>
      <c r="M284" s="122" t="s">
        <v>481</v>
      </c>
    </row>
    <row r="285" spans="3:13" ht="30" customHeight="1" x14ac:dyDescent="0.25">
      <c r="C285" s="26">
        <v>283</v>
      </c>
      <c r="D285" s="27">
        <v>44394</v>
      </c>
      <c r="E285" s="23">
        <v>2.2697037100000001E-2</v>
      </c>
      <c r="F285" s="23">
        <v>0</v>
      </c>
      <c r="G285" s="24">
        <v>1</v>
      </c>
      <c r="H285" s="28">
        <f>tbTransactions[[#This Row],[Qty]]*tbTransactions[[#This Row],[Unit Cost]]*tbTransactions[[#This Row],[Exchange Rate]]</f>
        <v>0</v>
      </c>
      <c r="I285" s="100" t="s">
        <v>539</v>
      </c>
      <c r="J285" s="29" t="s">
        <v>22</v>
      </c>
      <c r="K285" s="183" t="str">
        <f>IF(tbTransactions[[#This Row],[Sub-Type]]="Transfer","Neutral",IF(tbTransactions[[#This Row],[Qty]]&lt;0,"Debit",IF(tbTransactions[[#This Row],[Qty]]&gt;0,"Credit","Neutral")))</f>
        <v>Credit</v>
      </c>
      <c r="L285" s="174" t="s">
        <v>546</v>
      </c>
      <c r="M285" s="122" t="s">
        <v>481</v>
      </c>
    </row>
    <row r="286" spans="3:13" ht="30" customHeight="1" x14ac:dyDescent="0.25">
      <c r="C286" s="26">
        <v>284</v>
      </c>
      <c r="D286" s="27">
        <v>44395</v>
      </c>
      <c r="E286" s="23">
        <v>3.0626286499999999E-2</v>
      </c>
      <c r="F286" s="23">
        <v>0</v>
      </c>
      <c r="G286" s="24">
        <v>1</v>
      </c>
      <c r="H286" s="28">
        <f>tbTransactions[[#This Row],[Qty]]*tbTransactions[[#This Row],[Unit Cost]]*tbTransactions[[#This Row],[Exchange Rate]]</f>
        <v>0</v>
      </c>
      <c r="I286" s="100" t="s">
        <v>539</v>
      </c>
      <c r="J286" s="29" t="s">
        <v>22</v>
      </c>
      <c r="K286" s="183" t="str">
        <f>IF(tbTransactions[[#This Row],[Sub-Type]]="Transfer","Neutral",IF(tbTransactions[[#This Row],[Qty]]&lt;0,"Debit",IF(tbTransactions[[#This Row],[Qty]]&gt;0,"Credit","Neutral")))</f>
        <v>Credit</v>
      </c>
      <c r="L286" s="174" t="s">
        <v>546</v>
      </c>
      <c r="M286" s="122" t="s">
        <v>481</v>
      </c>
    </row>
    <row r="287" spans="3:13" ht="30" customHeight="1" x14ac:dyDescent="0.25">
      <c r="C287" s="26">
        <v>285</v>
      </c>
      <c r="D287" s="27">
        <v>44396</v>
      </c>
      <c r="E287" s="23">
        <v>1.2595620000000001</v>
      </c>
      <c r="F287" s="23">
        <v>0</v>
      </c>
      <c r="G287" s="24">
        <v>1</v>
      </c>
      <c r="H287" s="28">
        <f>tbTransactions[[#This Row],[Qty]]*tbTransactions[[#This Row],[Unit Cost]]*tbTransactions[[#This Row],[Exchange Rate]]</f>
        <v>0</v>
      </c>
      <c r="I287" s="133" t="s">
        <v>534</v>
      </c>
      <c r="J287" s="29" t="s">
        <v>19</v>
      </c>
      <c r="K287" s="183" t="str">
        <f>IF(tbTransactions[[#This Row],[Sub-Type]]="Transfer","Neutral",IF(tbTransactions[[#This Row],[Qty]]&lt;0,"Debit",IF(tbTransactions[[#This Row],[Qty]]&gt;0,"Credit","Neutral")))</f>
        <v>Credit</v>
      </c>
      <c r="L287" s="174" t="s">
        <v>546</v>
      </c>
      <c r="M287" s="75" t="s">
        <v>441</v>
      </c>
    </row>
    <row r="288" spans="3:13" ht="30" customHeight="1" x14ac:dyDescent="0.25">
      <c r="C288" s="26">
        <v>286</v>
      </c>
      <c r="D288" s="27">
        <v>44396</v>
      </c>
      <c r="E288" s="23">
        <v>-3000</v>
      </c>
      <c r="F288" s="23">
        <v>1</v>
      </c>
      <c r="G288" s="24">
        <v>1</v>
      </c>
      <c r="H288" s="28">
        <f>tbTransactions[[#This Row],[Qty]]*tbTransactions[[#This Row],[Unit Cost]]*tbTransactions[[#This Row],[Exchange Rate]]</f>
        <v>-3000</v>
      </c>
      <c r="I288" s="136" t="s">
        <v>526</v>
      </c>
      <c r="J288" s="29" t="s">
        <v>418</v>
      </c>
      <c r="K288" s="183" t="str">
        <f>IF(tbTransactions[[#This Row],[Sub-Type]]="Transfer","Neutral",IF(tbTransactions[[#This Row],[Qty]]&lt;0,"Debit",IF(tbTransactions[[#This Row],[Qty]]&gt;0,"Credit","Neutral")))</f>
        <v>Debit</v>
      </c>
      <c r="L288" s="161" t="s">
        <v>529</v>
      </c>
      <c r="M288" s="41"/>
    </row>
    <row r="289" spans="3:13" ht="30" customHeight="1" x14ac:dyDescent="0.25">
      <c r="C289" s="26">
        <v>287</v>
      </c>
      <c r="D289" s="27">
        <v>44396</v>
      </c>
      <c r="E289" s="23">
        <v>3000</v>
      </c>
      <c r="F289" s="23">
        <v>1</v>
      </c>
      <c r="G289" s="24">
        <v>1</v>
      </c>
      <c r="H289" s="28">
        <f>tbTransactions[[#This Row],[Qty]]*tbTransactions[[#This Row],[Unit Cost]]*tbTransactions[[#This Row],[Exchange Rate]]</f>
        <v>3000</v>
      </c>
      <c r="I289" s="136" t="s">
        <v>531</v>
      </c>
      <c r="J289" s="29" t="s">
        <v>418</v>
      </c>
      <c r="K289" s="183" t="str">
        <f>IF(tbTransactions[[#This Row],[Sub-Type]]="Transfer","Neutral",IF(tbTransactions[[#This Row],[Qty]]&lt;0,"Debit",IF(tbTransactions[[#This Row],[Qty]]&gt;0,"Credit","Neutral")))</f>
        <v>Credit</v>
      </c>
      <c r="L289" s="178" t="s">
        <v>527</v>
      </c>
      <c r="M289" s="41"/>
    </row>
    <row r="290" spans="3:13" ht="30" customHeight="1" x14ac:dyDescent="0.25">
      <c r="C290" s="26">
        <v>288</v>
      </c>
      <c r="D290" s="27">
        <v>44396</v>
      </c>
      <c r="E290" s="23">
        <v>3.5466653799999998E-2</v>
      </c>
      <c r="F290" s="23">
        <v>0</v>
      </c>
      <c r="G290" s="24">
        <v>1</v>
      </c>
      <c r="H290" s="28">
        <f>tbTransactions[[#This Row],[Qty]]*tbTransactions[[#This Row],[Unit Cost]]*tbTransactions[[#This Row],[Exchange Rate]]</f>
        <v>0</v>
      </c>
      <c r="I290" s="100" t="s">
        <v>539</v>
      </c>
      <c r="J290" s="29" t="s">
        <v>22</v>
      </c>
      <c r="K290" s="183" t="str">
        <f>IF(tbTransactions[[#This Row],[Sub-Type]]="Transfer","Neutral",IF(tbTransactions[[#This Row],[Qty]]&lt;0,"Debit",IF(tbTransactions[[#This Row],[Qty]]&gt;0,"Credit","Neutral")))</f>
        <v>Credit</v>
      </c>
      <c r="L290" s="174" t="s">
        <v>546</v>
      </c>
      <c r="M290" s="122" t="s">
        <v>481</v>
      </c>
    </row>
    <row r="291" spans="3:13" ht="30" customHeight="1" x14ac:dyDescent="0.25">
      <c r="C291" s="26">
        <v>289</v>
      </c>
      <c r="D291" s="27">
        <v>44397</v>
      </c>
      <c r="E291" s="23">
        <v>2.7508797099999999E-2</v>
      </c>
      <c r="F291" s="23">
        <v>0</v>
      </c>
      <c r="G291" s="24">
        <v>1</v>
      </c>
      <c r="H291" s="28">
        <f>tbTransactions[[#This Row],[Qty]]*tbTransactions[[#This Row],[Unit Cost]]*tbTransactions[[#This Row],[Exchange Rate]]</f>
        <v>0</v>
      </c>
      <c r="I291" s="100" t="s">
        <v>539</v>
      </c>
      <c r="J291" s="29" t="s">
        <v>22</v>
      </c>
      <c r="K291" s="183" t="str">
        <f>IF(tbTransactions[[#This Row],[Sub-Type]]="Transfer","Neutral",IF(tbTransactions[[#This Row],[Qty]]&lt;0,"Debit",IF(tbTransactions[[#This Row],[Qty]]&gt;0,"Credit","Neutral")))</f>
        <v>Credit</v>
      </c>
      <c r="L291" s="174" t="s">
        <v>546</v>
      </c>
      <c r="M291" s="122" t="s">
        <v>481</v>
      </c>
    </row>
    <row r="292" spans="3:13" ht="30" customHeight="1" x14ac:dyDescent="0.25">
      <c r="C292" s="26">
        <v>290</v>
      </c>
      <c r="D292" s="27">
        <v>44398</v>
      </c>
      <c r="E292" s="23">
        <v>0.117301</v>
      </c>
      <c r="F292" s="23">
        <v>0</v>
      </c>
      <c r="G292" s="24">
        <v>1</v>
      </c>
      <c r="H292" s="28">
        <f>tbTransactions[[#This Row],[Qty]]*tbTransactions[[#This Row],[Unit Cost]]*tbTransactions[[#This Row],[Exchange Rate]]</f>
        <v>0</v>
      </c>
      <c r="I292" s="137" t="s">
        <v>445</v>
      </c>
      <c r="J292" s="29" t="s">
        <v>20</v>
      </c>
      <c r="K292" s="183" t="str">
        <f>IF(tbTransactions[[#This Row],[Sub-Type]]="Transfer","Neutral",IF(tbTransactions[[#This Row],[Qty]]&lt;0,"Debit",IF(tbTransactions[[#This Row],[Qty]]&gt;0,"Credit","Neutral")))</f>
        <v>Credit</v>
      </c>
      <c r="L292" s="174" t="s">
        <v>546</v>
      </c>
      <c r="M292" s="51" t="s">
        <v>47</v>
      </c>
    </row>
    <row r="293" spans="3:13" ht="30" customHeight="1" x14ac:dyDescent="0.25">
      <c r="C293" s="26">
        <v>291</v>
      </c>
      <c r="D293" s="27">
        <v>44398</v>
      </c>
      <c r="E293" s="23">
        <v>3.29405194E-2</v>
      </c>
      <c r="F293" s="23">
        <v>0</v>
      </c>
      <c r="G293" s="24">
        <v>1</v>
      </c>
      <c r="H293" s="28">
        <f>tbTransactions[[#This Row],[Qty]]*tbTransactions[[#This Row],[Unit Cost]]*tbTransactions[[#This Row],[Exchange Rate]]</f>
        <v>0</v>
      </c>
      <c r="I293" s="100" t="s">
        <v>539</v>
      </c>
      <c r="J293" s="29" t="s">
        <v>22</v>
      </c>
      <c r="K293" s="183" t="str">
        <f>IF(tbTransactions[[#This Row],[Sub-Type]]="Transfer","Neutral",IF(tbTransactions[[#This Row],[Qty]]&lt;0,"Debit",IF(tbTransactions[[#This Row],[Qty]]&gt;0,"Credit","Neutral")))</f>
        <v>Credit</v>
      </c>
      <c r="L293" s="174" t="s">
        <v>546</v>
      </c>
      <c r="M293" s="122" t="s">
        <v>481</v>
      </c>
    </row>
    <row r="294" spans="3:13" ht="30" customHeight="1" x14ac:dyDescent="0.25">
      <c r="C294" s="26">
        <v>292</v>
      </c>
      <c r="D294" s="27">
        <v>44399</v>
      </c>
      <c r="E294" s="23">
        <v>2.2128008899999999E-2</v>
      </c>
      <c r="F294" s="23">
        <v>0</v>
      </c>
      <c r="G294" s="24">
        <v>1</v>
      </c>
      <c r="H294" s="28">
        <f>tbTransactions[[#This Row],[Qty]]*tbTransactions[[#This Row],[Unit Cost]]*tbTransactions[[#This Row],[Exchange Rate]]</f>
        <v>0</v>
      </c>
      <c r="I294" s="100" t="s">
        <v>539</v>
      </c>
      <c r="J294" s="29" t="s">
        <v>22</v>
      </c>
      <c r="K294" s="183" t="str">
        <f>IF(tbTransactions[[#This Row],[Sub-Type]]="Transfer","Neutral",IF(tbTransactions[[#This Row],[Qty]]&lt;0,"Debit",IF(tbTransactions[[#This Row],[Qty]]&gt;0,"Credit","Neutral")))</f>
        <v>Credit</v>
      </c>
      <c r="L294" s="174" t="s">
        <v>546</v>
      </c>
      <c r="M294" s="122" t="s">
        <v>481</v>
      </c>
    </row>
    <row r="295" spans="3:13" ht="30" customHeight="1" x14ac:dyDescent="0.25">
      <c r="C295" s="26">
        <v>293</v>
      </c>
      <c r="D295" s="27">
        <v>44400</v>
      </c>
      <c r="E295" s="23">
        <v>2.69936299E-2</v>
      </c>
      <c r="F295" s="23">
        <v>0</v>
      </c>
      <c r="G295" s="24">
        <v>1</v>
      </c>
      <c r="H295" s="28">
        <f>tbTransactions[[#This Row],[Qty]]*tbTransactions[[#This Row],[Unit Cost]]*tbTransactions[[#This Row],[Exchange Rate]]</f>
        <v>0</v>
      </c>
      <c r="I295" s="100" t="s">
        <v>539</v>
      </c>
      <c r="J295" s="29" t="s">
        <v>22</v>
      </c>
      <c r="K295" s="183" t="str">
        <f>IF(tbTransactions[[#This Row],[Sub-Type]]="Transfer","Neutral",IF(tbTransactions[[#This Row],[Qty]]&lt;0,"Debit",IF(tbTransactions[[#This Row],[Qty]]&gt;0,"Credit","Neutral")))</f>
        <v>Credit</v>
      </c>
      <c r="L295" s="174" t="s">
        <v>546</v>
      </c>
      <c r="M295" s="122" t="s">
        <v>481</v>
      </c>
    </row>
    <row r="296" spans="3:13" ht="30" customHeight="1" x14ac:dyDescent="0.25">
      <c r="C296" s="26">
        <v>294</v>
      </c>
      <c r="D296" s="27">
        <v>44401</v>
      </c>
      <c r="E296" s="23">
        <v>2.8922889999999999</v>
      </c>
      <c r="F296" s="23">
        <v>0</v>
      </c>
      <c r="G296" s="24">
        <v>1</v>
      </c>
      <c r="H296" s="28">
        <f>tbTransactions[[#This Row],[Qty]]*tbTransactions[[#This Row],[Unit Cost]]*tbTransactions[[#This Row],[Exchange Rate]]</f>
        <v>0</v>
      </c>
      <c r="I296" s="133" t="s">
        <v>534</v>
      </c>
      <c r="J296" s="29" t="s">
        <v>19</v>
      </c>
      <c r="K296" s="183" t="str">
        <f>IF(tbTransactions[[#This Row],[Sub-Type]]="Transfer","Neutral",IF(tbTransactions[[#This Row],[Qty]]&lt;0,"Debit",IF(tbTransactions[[#This Row],[Qty]]&gt;0,"Credit","Neutral")))</f>
        <v>Credit</v>
      </c>
      <c r="L296" s="174" t="s">
        <v>546</v>
      </c>
      <c r="M296" s="75" t="s">
        <v>441</v>
      </c>
    </row>
    <row r="297" spans="3:13" ht="30" customHeight="1" x14ac:dyDescent="0.25">
      <c r="C297" s="26">
        <v>295</v>
      </c>
      <c r="D297" s="27">
        <v>44401</v>
      </c>
      <c r="E297" s="23">
        <v>2.4082111600000001E-2</v>
      </c>
      <c r="F297" s="23">
        <v>0</v>
      </c>
      <c r="G297" s="24">
        <v>1</v>
      </c>
      <c r="H297" s="28">
        <f>tbTransactions[[#This Row],[Qty]]*tbTransactions[[#This Row],[Unit Cost]]*tbTransactions[[#This Row],[Exchange Rate]]</f>
        <v>0</v>
      </c>
      <c r="I297" s="100" t="s">
        <v>539</v>
      </c>
      <c r="J297" s="29" t="s">
        <v>22</v>
      </c>
      <c r="K297" s="183" t="str">
        <f>IF(tbTransactions[[#This Row],[Sub-Type]]="Transfer","Neutral",IF(tbTransactions[[#This Row],[Qty]]&lt;0,"Debit",IF(tbTransactions[[#This Row],[Qty]]&gt;0,"Credit","Neutral")))</f>
        <v>Credit</v>
      </c>
      <c r="L297" s="174" t="s">
        <v>546</v>
      </c>
      <c r="M297" s="122" t="s">
        <v>481</v>
      </c>
    </row>
    <row r="298" spans="3:13" ht="30" customHeight="1" x14ac:dyDescent="0.25">
      <c r="C298" s="26">
        <v>296</v>
      </c>
      <c r="D298" s="27">
        <v>44402</v>
      </c>
      <c r="E298" s="23">
        <v>2.3482571300000001E-2</v>
      </c>
      <c r="F298" s="23">
        <v>0</v>
      </c>
      <c r="G298" s="24">
        <v>1</v>
      </c>
      <c r="H298" s="28">
        <f>tbTransactions[[#This Row],[Qty]]*tbTransactions[[#This Row],[Unit Cost]]*tbTransactions[[#This Row],[Exchange Rate]]</f>
        <v>0</v>
      </c>
      <c r="I298" s="100" t="s">
        <v>539</v>
      </c>
      <c r="J298" s="29" t="s">
        <v>22</v>
      </c>
      <c r="K298" s="183" t="str">
        <f>IF(tbTransactions[[#This Row],[Sub-Type]]="Transfer","Neutral",IF(tbTransactions[[#This Row],[Qty]]&lt;0,"Debit",IF(tbTransactions[[#This Row],[Qty]]&gt;0,"Credit","Neutral")))</f>
        <v>Credit</v>
      </c>
      <c r="L298" s="174" t="s">
        <v>546</v>
      </c>
      <c r="M298" s="122" t="s">
        <v>481</v>
      </c>
    </row>
    <row r="299" spans="3:13" ht="30" customHeight="1" x14ac:dyDescent="0.25">
      <c r="C299" s="26">
        <v>297</v>
      </c>
      <c r="D299" s="27">
        <v>44403</v>
      </c>
      <c r="E299" s="23">
        <v>2.8653283500000001E-2</v>
      </c>
      <c r="F299" s="23">
        <v>0</v>
      </c>
      <c r="G299" s="24">
        <v>1</v>
      </c>
      <c r="H299" s="28">
        <f>tbTransactions[[#This Row],[Qty]]*tbTransactions[[#This Row],[Unit Cost]]*tbTransactions[[#This Row],[Exchange Rate]]</f>
        <v>0</v>
      </c>
      <c r="I299" s="100" t="s">
        <v>539</v>
      </c>
      <c r="J299" s="29" t="s">
        <v>22</v>
      </c>
      <c r="K299" s="183" t="str">
        <f>IF(tbTransactions[[#This Row],[Sub-Type]]="Transfer","Neutral",IF(tbTransactions[[#This Row],[Qty]]&lt;0,"Debit",IF(tbTransactions[[#This Row],[Qty]]&gt;0,"Credit","Neutral")))</f>
        <v>Credit</v>
      </c>
      <c r="L299" s="174" t="s">
        <v>546</v>
      </c>
      <c r="M299" s="122" t="s">
        <v>481</v>
      </c>
    </row>
    <row r="300" spans="3:13" ht="30" customHeight="1" x14ac:dyDescent="0.25">
      <c r="C300" s="26">
        <v>298</v>
      </c>
      <c r="D300" s="27">
        <v>44404</v>
      </c>
      <c r="E300" s="23">
        <v>0.110084</v>
      </c>
      <c r="F300" s="23">
        <v>0</v>
      </c>
      <c r="G300" s="24">
        <v>1</v>
      </c>
      <c r="H300" s="28">
        <f>tbTransactions[[#This Row],[Qty]]*tbTransactions[[#This Row],[Unit Cost]]*tbTransactions[[#This Row],[Exchange Rate]]</f>
        <v>0</v>
      </c>
      <c r="I300" s="137" t="s">
        <v>445</v>
      </c>
      <c r="J300" s="29" t="s">
        <v>20</v>
      </c>
      <c r="K300" s="183" t="str">
        <f>IF(tbTransactions[[#This Row],[Sub-Type]]="Transfer","Neutral",IF(tbTransactions[[#This Row],[Qty]]&lt;0,"Debit",IF(tbTransactions[[#This Row],[Qty]]&gt;0,"Credit","Neutral")))</f>
        <v>Credit</v>
      </c>
      <c r="L300" s="174" t="s">
        <v>546</v>
      </c>
      <c r="M300" s="51" t="s">
        <v>47</v>
      </c>
    </row>
    <row r="301" spans="3:13" ht="30" customHeight="1" x14ac:dyDescent="0.25">
      <c r="C301" s="26">
        <v>299</v>
      </c>
      <c r="D301" s="27">
        <v>44404</v>
      </c>
      <c r="E301" s="23">
        <v>3.3528204700000001E-2</v>
      </c>
      <c r="F301" s="23">
        <v>0</v>
      </c>
      <c r="G301" s="24">
        <v>1</v>
      </c>
      <c r="H301" s="28">
        <f>tbTransactions[[#This Row],[Qty]]*tbTransactions[[#This Row],[Unit Cost]]*tbTransactions[[#This Row],[Exchange Rate]]</f>
        <v>0</v>
      </c>
      <c r="I301" s="100" t="s">
        <v>539</v>
      </c>
      <c r="J301" s="29" t="s">
        <v>22</v>
      </c>
      <c r="K301" s="183" t="str">
        <f>IF(tbTransactions[[#This Row],[Sub-Type]]="Transfer","Neutral",IF(tbTransactions[[#This Row],[Qty]]&lt;0,"Debit",IF(tbTransactions[[#This Row],[Qty]]&gt;0,"Credit","Neutral")))</f>
        <v>Credit</v>
      </c>
      <c r="L301" s="174" t="s">
        <v>546</v>
      </c>
      <c r="M301" s="122" t="s">
        <v>481</v>
      </c>
    </row>
    <row r="302" spans="3:13" ht="30" customHeight="1" x14ac:dyDescent="0.25">
      <c r="C302" s="26">
        <v>300</v>
      </c>
      <c r="D302" s="27">
        <v>44405</v>
      </c>
      <c r="E302" s="23">
        <v>2.6077075799999998E-2</v>
      </c>
      <c r="F302" s="23">
        <v>0</v>
      </c>
      <c r="G302" s="24">
        <v>1</v>
      </c>
      <c r="H302" s="28">
        <f>tbTransactions[[#This Row],[Qty]]*tbTransactions[[#This Row],[Unit Cost]]*tbTransactions[[#This Row],[Exchange Rate]]</f>
        <v>0</v>
      </c>
      <c r="I302" s="100" t="s">
        <v>539</v>
      </c>
      <c r="J302" s="29" t="s">
        <v>22</v>
      </c>
      <c r="K302" s="183" t="str">
        <f>IF(tbTransactions[[#This Row],[Sub-Type]]="Transfer","Neutral",IF(tbTransactions[[#This Row],[Qty]]&lt;0,"Debit",IF(tbTransactions[[#This Row],[Qty]]&gt;0,"Credit","Neutral")))</f>
        <v>Credit</v>
      </c>
      <c r="L302" s="174" t="s">
        <v>546</v>
      </c>
      <c r="M302" s="122" t="s">
        <v>481</v>
      </c>
    </row>
    <row r="303" spans="3:13" ht="30" customHeight="1" x14ac:dyDescent="0.25">
      <c r="C303" s="26">
        <v>301</v>
      </c>
      <c r="D303" s="27">
        <v>44406</v>
      </c>
      <c r="E303" s="23">
        <v>3.19645</v>
      </c>
      <c r="F303" s="23">
        <v>0</v>
      </c>
      <c r="G303" s="24">
        <v>1</v>
      </c>
      <c r="H303" s="28">
        <f>tbTransactions[[#This Row],[Qty]]*tbTransactions[[#This Row],[Unit Cost]]*tbTransactions[[#This Row],[Exchange Rate]]</f>
        <v>0</v>
      </c>
      <c r="I303" s="133" t="s">
        <v>534</v>
      </c>
      <c r="J303" s="29" t="s">
        <v>19</v>
      </c>
      <c r="K303" s="183" t="str">
        <f>IF(tbTransactions[[#This Row],[Sub-Type]]="Transfer","Neutral",IF(tbTransactions[[#This Row],[Qty]]&lt;0,"Debit",IF(tbTransactions[[#This Row],[Qty]]&gt;0,"Credit","Neutral")))</f>
        <v>Credit</v>
      </c>
      <c r="L303" s="174" t="s">
        <v>546</v>
      </c>
      <c r="M303" s="75" t="s">
        <v>441</v>
      </c>
    </row>
    <row r="304" spans="3:13" ht="30" customHeight="1" x14ac:dyDescent="0.25">
      <c r="C304" s="26">
        <v>302</v>
      </c>
      <c r="D304" s="27">
        <v>44406</v>
      </c>
      <c r="E304" s="23">
        <v>2.5960703000000002E-2</v>
      </c>
      <c r="F304" s="23">
        <v>0</v>
      </c>
      <c r="G304" s="24">
        <v>1</v>
      </c>
      <c r="H304" s="28">
        <f>tbTransactions[[#This Row],[Qty]]*tbTransactions[[#This Row],[Unit Cost]]*tbTransactions[[#This Row],[Exchange Rate]]</f>
        <v>0</v>
      </c>
      <c r="I304" s="100" t="s">
        <v>539</v>
      </c>
      <c r="J304" s="29" t="s">
        <v>22</v>
      </c>
      <c r="K304" s="183" t="str">
        <f>IF(tbTransactions[[#This Row],[Sub-Type]]="Transfer","Neutral",IF(tbTransactions[[#This Row],[Qty]]&lt;0,"Debit",IF(tbTransactions[[#This Row],[Qty]]&gt;0,"Credit","Neutral")))</f>
        <v>Credit</v>
      </c>
      <c r="L304" s="174" t="s">
        <v>546</v>
      </c>
      <c r="M304" s="122" t="s">
        <v>481</v>
      </c>
    </row>
    <row r="305" spans="3:13" ht="30" customHeight="1" x14ac:dyDescent="0.25">
      <c r="C305" s="26">
        <v>303</v>
      </c>
      <c r="D305" s="27">
        <v>44407</v>
      </c>
      <c r="E305" s="23">
        <v>5.1631000000000003E-2</v>
      </c>
      <c r="F305" s="23">
        <v>0</v>
      </c>
      <c r="G305" s="24">
        <v>1</v>
      </c>
      <c r="H305" s="28">
        <f>tbTransactions[[#This Row],[Qty]]*tbTransactions[[#This Row],[Unit Cost]]*tbTransactions[[#This Row],[Exchange Rate]]</f>
        <v>0</v>
      </c>
      <c r="I305" s="137" t="s">
        <v>445</v>
      </c>
      <c r="J305" s="29" t="s">
        <v>20</v>
      </c>
      <c r="K305" s="183" t="str">
        <f>IF(tbTransactions[[#This Row],[Sub-Type]]="Transfer","Neutral",IF(tbTransactions[[#This Row],[Qty]]&lt;0,"Debit",IF(tbTransactions[[#This Row],[Qty]]&gt;0,"Credit","Neutral")))</f>
        <v>Credit</v>
      </c>
      <c r="L305" s="174" t="s">
        <v>546</v>
      </c>
      <c r="M305" s="51" t="s">
        <v>47</v>
      </c>
    </row>
    <row r="306" spans="3:13" ht="30" customHeight="1" x14ac:dyDescent="0.25">
      <c r="C306" s="26">
        <v>304</v>
      </c>
      <c r="D306" s="27">
        <v>44407</v>
      </c>
      <c r="E306" s="23">
        <v>2.8898469600000001E-2</v>
      </c>
      <c r="F306" s="23">
        <v>0</v>
      </c>
      <c r="G306" s="24">
        <v>1</v>
      </c>
      <c r="H306" s="28">
        <f>tbTransactions[[#This Row],[Qty]]*tbTransactions[[#This Row],[Unit Cost]]*tbTransactions[[#This Row],[Exchange Rate]]</f>
        <v>0</v>
      </c>
      <c r="I306" s="100" t="s">
        <v>539</v>
      </c>
      <c r="J306" s="29" t="s">
        <v>22</v>
      </c>
      <c r="K306" s="183" t="str">
        <f>IF(tbTransactions[[#This Row],[Sub-Type]]="Transfer","Neutral",IF(tbTransactions[[#This Row],[Qty]]&lt;0,"Debit",IF(tbTransactions[[#This Row],[Qty]]&gt;0,"Credit","Neutral")))</f>
        <v>Credit</v>
      </c>
      <c r="L306" s="174" t="s">
        <v>546</v>
      </c>
      <c r="M306" s="122" t="s">
        <v>481</v>
      </c>
    </row>
    <row r="307" spans="3:13" ht="30" customHeight="1" x14ac:dyDescent="0.25">
      <c r="C307" s="26">
        <v>305</v>
      </c>
      <c r="D307" s="27">
        <v>44408</v>
      </c>
      <c r="E307" s="23">
        <v>2.9262882600000002E-2</v>
      </c>
      <c r="F307" s="23">
        <v>0</v>
      </c>
      <c r="G307" s="24">
        <v>1</v>
      </c>
      <c r="H307" s="28">
        <f>tbTransactions[[#This Row],[Qty]]*tbTransactions[[#This Row],[Unit Cost]]*tbTransactions[[#This Row],[Exchange Rate]]</f>
        <v>0</v>
      </c>
      <c r="I307" s="100" t="s">
        <v>539</v>
      </c>
      <c r="J307" s="29" t="s">
        <v>22</v>
      </c>
      <c r="K307" s="183" t="str">
        <f>IF(tbTransactions[[#This Row],[Sub-Type]]="Transfer","Neutral",IF(tbTransactions[[#This Row],[Qty]]&lt;0,"Debit",IF(tbTransactions[[#This Row],[Qty]]&gt;0,"Credit","Neutral")))</f>
        <v>Credit</v>
      </c>
      <c r="L307" s="174" t="s">
        <v>546</v>
      </c>
      <c r="M307" s="122" t="s">
        <v>481</v>
      </c>
    </row>
    <row r="308" spans="3:13" ht="30" customHeight="1" x14ac:dyDescent="0.25">
      <c r="C308" s="26">
        <v>306</v>
      </c>
      <c r="D308" s="27">
        <v>44409</v>
      </c>
      <c r="E308" s="23">
        <v>2.6514645199999999E-2</v>
      </c>
      <c r="F308" s="23">
        <v>0</v>
      </c>
      <c r="G308" s="24">
        <v>1</v>
      </c>
      <c r="H308" s="28">
        <f>tbTransactions[[#This Row],[Qty]]*tbTransactions[[#This Row],[Unit Cost]]*tbTransactions[[#This Row],[Exchange Rate]]</f>
        <v>0</v>
      </c>
      <c r="I308" s="100" t="s">
        <v>539</v>
      </c>
      <c r="J308" s="29" t="s">
        <v>22</v>
      </c>
      <c r="K308" s="183" t="str">
        <f>IF(tbTransactions[[#This Row],[Sub-Type]]="Transfer","Neutral",IF(tbTransactions[[#This Row],[Qty]]&lt;0,"Debit",IF(tbTransactions[[#This Row],[Qty]]&gt;0,"Credit","Neutral")))</f>
        <v>Credit</v>
      </c>
      <c r="L308" s="174" t="s">
        <v>546</v>
      </c>
      <c r="M308" s="122" t="s">
        <v>481</v>
      </c>
    </row>
    <row r="309" spans="3:13" ht="30" customHeight="1" x14ac:dyDescent="0.25">
      <c r="C309" s="26">
        <v>307</v>
      </c>
      <c r="D309" s="27">
        <v>44410</v>
      </c>
      <c r="E309" s="23">
        <v>2.47348386E-2</v>
      </c>
      <c r="F309" s="23">
        <v>0</v>
      </c>
      <c r="G309" s="24">
        <v>1</v>
      </c>
      <c r="H309" s="28">
        <f>tbTransactions[[#This Row],[Qty]]*tbTransactions[[#This Row],[Unit Cost]]*tbTransactions[[#This Row],[Exchange Rate]]</f>
        <v>0</v>
      </c>
      <c r="I309" s="100" t="s">
        <v>539</v>
      </c>
      <c r="J309" s="29" t="s">
        <v>22</v>
      </c>
      <c r="K309" s="183" t="str">
        <f>IF(tbTransactions[[#This Row],[Sub-Type]]="Transfer","Neutral",IF(tbTransactions[[#This Row],[Qty]]&lt;0,"Debit",IF(tbTransactions[[#This Row],[Qty]]&gt;0,"Credit","Neutral")))</f>
        <v>Credit</v>
      </c>
      <c r="L309" s="174" t="s">
        <v>546</v>
      </c>
      <c r="M309" s="122" t="s">
        <v>481</v>
      </c>
    </row>
    <row r="310" spans="3:13" ht="30" customHeight="1" x14ac:dyDescent="0.25">
      <c r="C310" s="26">
        <v>308</v>
      </c>
      <c r="D310" s="27">
        <v>44411</v>
      </c>
      <c r="E310" s="23">
        <v>2.731236</v>
      </c>
      <c r="F310" s="23">
        <v>0</v>
      </c>
      <c r="G310" s="24">
        <v>1</v>
      </c>
      <c r="H310" s="28">
        <f>tbTransactions[[#This Row],[Qty]]*tbTransactions[[#This Row],[Unit Cost]]*tbTransactions[[#This Row],[Exchange Rate]]</f>
        <v>0</v>
      </c>
      <c r="I310" s="133" t="s">
        <v>534</v>
      </c>
      <c r="J310" s="29" t="s">
        <v>19</v>
      </c>
      <c r="K310" s="183" t="str">
        <f>IF(tbTransactions[[#This Row],[Sub-Type]]="Transfer","Neutral",IF(tbTransactions[[#This Row],[Qty]]&lt;0,"Debit",IF(tbTransactions[[#This Row],[Qty]]&gt;0,"Credit","Neutral")))</f>
        <v>Credit</v>
      </c>
      <c r="L310" s="174" t="s">
        <v>546</v>
      </c>
      <c r="M310" s="75" t="s">
        <v>441</v>
      </c>
    </row>
    <row r="311" spans="3:13" ht="30" customHeight="1" x14ac:dyDescent="0.25">
      <c r="C311" s="26">
        <v>309</v>
      </c>
      <c r="D311" s="27">
        <v>44411</v>
      </c>
      <c r="E311" s="23">
        <v>2.77253864E-2</v>
      </c>
      <c r="F311" s="23">
        <v>0</v>
      </c>
      <c r="G311" s="24">
        <v>1</v>
      </c>
      <c r="H311" s="28">
        <f>tbTransactions[[#This Row],[Qty]]*tbTransactions[[#This Row],[Unit Cost]]*tbTransactions[[#This Row],[Exchange Rate]]</f>
        <v>0</v>
      </c>
      <c r="I311" s="100" t="s">
        <v>539</v>
      </c>
      <c r="J311" s="29" t="s">
        <v>22</v>
      </c>
      <c r="K311" s="183" t="str">
        <f>IF(tbTransactions[[#This Row],[Sub-Type]]="Transfer","Neutral",IF(tbTransactions[[#This Row],[Qty]]&lt;0,"Debit",IF(tbTransactions[[#This Row],[Qty]]&gt;0,"Credit","Neutral")))</f>
        <v>Credit</v>
      </c>
      <c r="L311" s="174" t="s">
        <v>546</v>
      </c>
      <c r="M311" s="122" t="s">
        <v>481</v>
      </c>
    </row>
    <row r="312" spans="3:13" ht="30" customHeight="1" x14ac:dyDescent="0.25">
      <c r="C312" s="26">
        <v>310</v>
      </c>
      <c r="D312" s="27">
        <v>44412</v>
      </c>
      <c r="E312" s="23">
        <v>3.25542978E-2</v>
      </c>
      <c r="F312" s="23">
        <v>0</v>
      </c>
      <c r="G312" s="24">
        <v>1</v>
      </c>
      <c r="H312" s="28">
        <f>tbTransactions[[#This Row],[Qty]]*tbTransactions[[#This Row],[Unit Cost]]*tbTransactions[[#This Row],[Exchange Rate]]</f>
        <v>0</v>
      </c>
      <c r="I312" s="100" t="s">
        <v>539</v>
      </c>
      <c r="J312" s="29" t="s">
        <v>22</v>
      </c>
      <c r="K312" s="183" t="str">
        <f>IF(tbTransactions[[#This Row],[Sub-Type]]="Transfer","Neutral",IF(tbTransactions[[#This Row],[Qty]]&lt;0,"Debit",IF(tbTransactions[[#This Row],[Qty]]&gt;0,"Credit","Neutral")))</f>
        <v>Credit</v>
      </c>
      <c r="L312" s="174" t="s">
        <v>546</v>
      </c>
      <c r="M312" s="122" t="s">
        <v>481</v>
      </c>
    </row>
    <row r="313" spans="3:13" ht="30" customHeight="1" x14ac:dyDescent="0.25">
      <c r="C313" s="26">
        <v>311</v>
      </c>
      <c r="D313" s="27">
        <v>44413</v>
      </c>
      <c r="E313" s="23">
        <v>2.42643697E-2</v>
      </c>
      <c r="F313" s="23">
        <v>0</v>
      </c>
      <c r="G313" s="24">
        <v>1</v>
      </c>
      <c r="H313" s="28">
        <f>tbTransactions[[#This Row],[Qty]]*tbTransactions[[#This Row],[Unit Cost]]*tbTransactions[[#This Row],[Exchange Rate]]</f>
        <v>0</v>
      </c>
      <c r="I313" s="100" t="s">
        <v>539</v>
      </c>
      <c r="J313" s="29" t="s">
        <v>22</v>
      </c>
      <c r="K313" s="183" t="str">
        <f>IF(tbTransactions[[#This Row],[Sub-Type]]="Transfer","Neutral",IF(tbTransactions[[#This Row],[Qty]]&lt;0,"Debit",IF(tbTransactions[[#This Row],[Qty]]&gt;0,"Credit","Neutral")))</f>
        <v>Credit</v>
      </c>
      <c r="L313" s="174" t="s">
        <v>546</v>
      </c>
      <c r="M313" s="122" t="s">
        <v>481</v>
      </c>
    </row>
    <row r="314" spans="3:13" ht="30" customHeight="1" x14ac:dyDescent="0.25">
      <c r="C314" s="26">
        <v>312</v>
      </c>
      <c r="D314" s="27">
        <v>44414</v>
      </c>
      <c r="E314" s="138">
        <v>-480.82</v>
      </c>
      <c r="F314" s="23">
        <v>1</v>
      </c>
      <c r="G314" s="24">
        <v>1</v>
      </c>
      <c r="H314" s="28">
        <f>tbTransactions[[#This Row],[Qty]]*tbTransactions[[#This Row],[Unit Cost]]*tbTransactions[[#This Row],[Exchange Rate]]</f>
        <v>-480.82</v>
      </c>
      <c r="I314" s="143" t="s">
        <v>526</v>
      </c>
      <c r="J314" s="29" t="s">
        <v>418</v>
      </c>
      <c r="K314" s="183" t="str">
        <f>IF(tbTransactions[[#This Row],[Sub-Type]]="Transfer","Neutral",IF(tbTransactions[[#This Row],[Qty]]&lt;0,"Debit",IF(tbTransactions[[#This Row],[Qty]]&gt;0,"Credit","Neutral")))</f>
        <v>Debit</v>
      </c>
      <c r="L314" s="161" t="s">
        <v>529</v>
      </c>
      <c r="M314" s="41"/>
    </row>
    <row r="315" spans="3:13" ht="30" customHeight="1" x14ac:dyDescent="0.25">
      <c r="C315" s="26">
        <v>313</v>
      </c>
      <c r="D315" s="27">
        <v>44414</v>
      </c>
      <c r="E315" s="138">
        <v>-19.18</v>
      </c>
      <c r="F315" s="23">
        <v>1</v>
      </c>
      <c r="G315" s="24">
        <v>1</v>
      </c>
      <c r="H315" s="28">
        <f>tbTransactions[[#This Row],[Qty]]*tbTransactions[[#This Row],[Unit Cost]]*tbTransactions[[#This Row],[Exchange Rate]]</f>
        <v>-19.18</v>
      </c>
      <c r="I315" s="143" t="s">
        <v>526</v>
      </c>
      <c r="J315" s="29" t="s">
        <v>418</v>
      </c>
      <c r="K315" s="183" t="str">
        <f>IF(tbTransactions[[#This Row],[Sub-Type]]="Transfer","Neutral",IF(tbTransactions[[#This Row],[Qty]]&lt;0,"Debit",IF(tbTransactions[[#This Row],[Qty]]&gt;0,"Credit","Neutral")))</f>
        <v>Debit</v>
      </c>
      <c r="L315" s="144" t="s">
        <v>14</v>
      </c>
      <c r="M315" s="41"/>
    </row>
    <row r="316" spans="3:13" ht="30" customHeight="1" x14ac:dyDescent="0.25">
      <c r="C316" s="26">
        <v>314</v>
      </c>
      <c r="D316" s="27">
        <v>44414</v>
      </c>
      <c r="E316" s="138">
        <v>0.13075564000000001</v>
      </c>
      <c r="F316" s="23">
        <v>3677.24</v>
      </c>
      <c r="G316" s="24">
        <v>1</v>
      </c>
      <c r="H316" s="28">
        <f>tbTransactions[[#This Row],[Qty]]*tbTransactions[[#This Row],[Unit Cost]]*tbTransactions[[#This Row],[Exchange Rate]]</f>
        <v>480.81986963359998</v>
      </c>
      <c r="I316" s="143" t="s">
        <v>430</v>
      </c>
      <c r="J316" s="29" t="s">
        <v>24</v>
      </c>
      <c r="K316" s="183" t="str">
        <f>IF(tbTransactions[[#This Row],[Sub-Type]]="Transfer","Neutral",IF(tbTransactions[[#This Row],[Qty]]&lt;0,"Debit",IF(tbTransactions[[#This Row],[Qty]]&gt;0,"Credit","Neutral")))</f>
        <v>Credit</v>
      </c>
      <c r="L316" s="174" t="s">
        <v>532</v>
      </c>
      <c r="M316" s="145" t="s">
        <v>454</v>
      </c>
    </row>
    <row r="317" spans="3:13" ht="30" customHeight="1" x14ac:dyDescent="0.25">
      <c r="C317" s="26">
        <v>315</v>
      </c>
      <c r="D317" s="27">
        <v>44414</v>
      </c>
      <c r="E317" s="138">
        <v>-1.0709999999999999E-3</v>
      </c>
      <c r="F317" s="23">
        <v>3677.24</v>
      </c>
      <c r="G317" s="24">
        <v>1</v>
      </c>
      <c r="H317" s="28">
        <f>tbTransactions[[#This Row],[Qty]]*tbTransactions[[#This Row],[Unit Cost]]*tbTransactions[[#This Row],[Exchange Rate]]</f>
        <v>-3.9383240399999995</v>
      </c>
      <c r="I317" s="143" t="s">
        <v>430</v>
      </c>
      <c r="J317" s="29" t="s">
        <v>24</v>
      </c>
      <c r="K317" s="183" t="str">
        <f>IF(tbTransactions[[#This Row],[Sub-Type]]="Transfer","Neutral",IF(tbTransactions[[#This Row],[Qty]]&lt;0,"Debit",IF(tbTransactions[[#This Row],[Qty]]&gt;0,"Credit","Neutral")))</f>
        <v>Debit</v>
      </c>
      <c r="L317" s="174" t="s">
        <v>14</v>
      </c>
      <c r="M317" s="176" t="s">
        <v>553</v>
      </c>
    </row>
    <row r="318" spans="3:13" ht="30" customHeight="1" x14ac:dyDescent="0.25">
      <c r="C318" s="26">
        <v>316</v>
      </c>
      <c r="D318" s="27">
        <v>44414</v>
      </c>
      <c r="E318" s="23">
        <v>-0.27216361999999999</v>
      </c>
      <c r="F318" s="23">
        <v>1</v>
      </c>
      <c r="G318" s="24">
        <v>1</v>
      </c>
      <c r="H318" s="28">
        <f>tbTransactions[[#This Row],[Qty]]*tbTransactions[[#This Row],[Unit Cost]]*tbTransactions[[#This Row],[Exchange Rate]]</f>
        <v>-0.27216361999999999</v>
      </c>
      <c r="I318" s="143" t="s">
        <v>430</v>
      </c>
      <c r="J318" s="29" t="s">
        <v>24</v>
      </c>
      <c r="K318" s="183" t="str">
        <f>IF(tbTransactions[[#This Row],[Sub-Type]]="Transfer","Neutral",IF(tbTransactions[[#This Row],[Qty]]&lt;0,"Debit",IF(tbTransactions[[#This Row],[Qty]]&gt;0,"Credit","Neutral")))</f>
        <v>Neutral</v>
      </c>
      <c r="L318" s="178" t="s">
        <v>39</v>
      </c>
      <c r="M318" s="176" t="s">
        <v>553</v>
      </c>
    </row>
    <row r="319" spans="3:13" ht="30" customHeight="1" x14ac:dyDescent="0.25">
      <c r="C319" s="26">
        <v>317</v>
      </c>
      <c r="D319" s="27">
        <v>44414</v>
      </c>
      <c r="E319" s="23">
        <v>0.27216361999999999</v>
      </c>
      <c r="F319" s="23">
        <v>1</v>
      </c>
      <c r="G319" s="24">
        <v>1</v>
      </c>
      <c r="H319" s="28">
        <f>tbTransactions[[#This Row],[Qty]]*tbTransactions[[#This Row],[Unit Cost]]*tbTransactions[[#This Row],[Exchange Rate]]</f>
        <v>0.27216361999999999</v>
      </c>
      <c r="I319" s="143" t="s">
        <v>537</v>
      </c>
      <c r="J319" s="29" t="s">
        <v>24</v>
      </c>
      <c r="K319" s="183" t="str">
        <f>IF(tbTransactions[[#This Row],[Sub-Type]]="Transfer","Neutral",IF(tbTransactions[[#This Row],[Qty]]&lt;0,"Debit",IF(tbTransactions[[#This Row],[Qty]]&gt;0,"Credit","Neutral")))</f>
        <v>Neutral</v>
      </c>
      <c r="L319" s="178" t="s">
        <v>39</v>
      </c>
      <c r="M319" s="176" t="s">
        <v>553</v>
      </c>
    </row>
    <row r="320" spans="3:13" ht="30" customHeight="1" x14ac:dyDescent="0.25">
      <c r="C320" s="26">
        <v>318</v>
      </c>
      <c r="D320" s="27">
        <v>44414</v>
      </c>
      <c r="E320" s="23">
        <v>-1</v>
      </c>
      <c r="F320" s="23">
        <v>7607</v>
      </c>
      <c r="G320" s="24">
        <v>1</v>
      </c>
      <c r="H320" s="28">
        <f>tbTransactions[[#This Row],[Qty]]*tbTransactions[[#This Row],[Unit Cost]]*tbTransactions[[#This Row],[Exchange Rate]]</f>
        <v>-7607</v>
      </c>
      <c r="I320" s="113" t="s">
        <v>475</v>
      </c>
      <c r="J320" s="29" t="s">
        <v>473</v>
      </c>
      <c r="K320" s="183" t="str">
        <f>IF(tbTransactions[[#This Row],[Sub-Type]]="Transfer","Neutral",IF(tbTransactions[[#This Row],[Qty]]&lt;0,"Debit",IF(tbTransactions[[#This Row],[Qty]]&gt;0,"Credit","Neutral")))</f>
        <v>Debit</v>
      </c>
      <c r="L320" s="178" t="s">
        <v>554</v>
      </c>
      <c r="M320" s="145" t="s">
        <v>497</v>
      </c>
    </row>
    <row r="321" spans="3:13" ht="30" customHeight="1" x14ac:dyDescent="0.25">
      <c r="C321" s="26">
        <v>319</v>
      </c>
      <c r="D321" s="27">
        <v>44414</v>
      </c>
      <c r="E321" s="23">
        <v>2.0699999999999998</v>
      </c>
      <c r="F321" s="23">
        <v>3672</v>
      </c>
      <c r="G321" s="24">
        <v>1</v>
      </c>
      <c r="H321" s="28">
        <f>tbTransactions[[#This Row],[Qty]]*tbTransactions[[#This Row],[Unit Cost]]*tbTransactions[[#This Row],[Exchange Rate]]</f>
        <v>7601.0399999999991</v>
      </c>
      <c r="I321" s="143" t="s">
        <v>537</v>
      </c>
      <c r="J321" s="29" t="s">
        <v>24</v>
      </c>
      <c r="K321" s="183" t="str">
        <f>IF(tbTransactions[[#This Row],[Sub-Type]]="Transfer","Neutral",IF(tbTransactions[[#This Row],[Qty]]&lt;0,"Debit",IF(tbTransactions[[#This Row],[Qty]]&gt;0,"Credit","Neutral")))</f>
        <v>Credit</v>
      </c>
      <c r="L321" s="174" t="s">
        <v>548</v>
      </c>
      <c r="M321" s="145" t="s">
        <v>497</v>
      </c>
    </row>
    <row r="322" spans="3:13" ht="30" customHeight="1" x14ac:dyDescent="0.25">
      <c r="C322" s="26">
        <v>320</v>
      </c>
      <c r="D322" s="146">
        <v>44414</v>
      </c>
      <c r="E322" s="145">
        <v>-2.7199999999999998E-2</v>
      </c>
      <c r="F322" s="145">
        <v>3672</v>
      </c>
      <c r="G322" s="147">
        <v>1</v>
      </c>
      <c r="H322" s="148">
        <f>tbTransactions[[#This Row],[Qty]]*tbTransactions[[#This Row],[Unit Cost]]*tbTransactions[[#This Row],[Exchange Rate]]</f>
        <v>-99.878399999999999</v>
      </c>
      <c r="I322" s="149" t="s">
        <v>537</v>
      </c>
      <c r="J322" s="144" t="s">
        <v>24</v>
      </c>
      <c r="K322" s="183" t="str">
        <f>IF(tbTransactions[[#This Row],[Sub-Type]]="Transfer","Neutral",IF(tbTransactions[[#This Row],[Qty]]&lt;0,"Debit",IF(tbTransactions[[#This Row],[Qty]]&gt;0,"Credit","Neutral")))</f>
        <v>Debit</v>
      </c>
      <c r="L322" s="174" t="s">
        <v>14</v>
      </c>
      <c r="M322" s="145" t="s">
        <v>497</v>
      </c>
    </row>
    <row r="323" spans="3:13" ht="30" customHeight="1" x14ac:dyDescent="0.25">
      <c r="C323" s="26">
        <v>321</v>
      </c>
      <c r="D323" s="146">
        <v>44414</v>
      </c>
      <c r="E323" s="145">
        <v>-1E-3</v>
      </c>
      <c r="F323" s="145">
        <v>3672</v>
      </c>
      <c r="G323" s="147">
        <v>1</v>
      </c>
      <c r="H323" s="148">
        <f>tbTransactions[[#This Row],[Qty]]*tbTransactions[[#This Row],[Unit Cost]]*tbTransactions[[#This Row],[Exchange Rate]]</f>
        <v>-3.6720000000000002</v>
      </c>
      <c r="I323" s="149" t="s">
        <v>537</v>
      </c>
      <c r="J323" s="144" t="s">
        <v>24</v>
      </c>
      <c r="K323" s="183" t="str">
        <f>IF(tbTransactions[[#This Row],[Sub-Type]]="Transfer","Neutral",IF(tbTransactions[[#This Row],[Qty]]&lt;0,"Debit",IF(tbTransactions[[#This Row],[Qty]]&gt;0,"Credit","Neutral")))</f>
        <v>Debit</v>
      </c>
      <c r="L323" s="174" t="s">
        <v>14</v>
      </c>
      <c r="M323" s="145" t="s">
        <v>497</v>
      </c>
    </row>
    <row r="324" spans="3:13" ht="30" customHeight="1" x14ac:dyDescent="0.25">
      <c r="C324" s="26">
        <v>322</v>
      </c>
      <c r="D324" s="146">
        <v>44414</v>
      </c>
      <c r="E324" s="145">
        <v>-2</v>
      </c>
      <c r="F324" s="145">
        <v>14694.855</v>
      </c>
      <c r="G324" s="147">
        <v>1</v>
      </c>
      <c r="H324" s="148">
        <f>tbTransactions[[#This Row],[Qty]]*tbTransactions[[#This Row],[Unit Cost]]*tbTransactions[[#This Row],[Exchange Rate]]</f>
        <v>-29389.71</v>
      </c>
      <c r="I324" s="149" t="s">
        <v>449</v>
      </c>
      <c r="J324" s="144" t="s">
        <v>448</v>
      </c>
      <c r="K324" s="183" t="str">
        <f>IF(tbTransactions[[#This Row],[Sub-Type]]="Transfer","Neutral",IF(tbTransactions[[#This Row],[Qty]]&lt;0,"Debit",IF(tbTransactions[[#This Row],[Qty]]&gt;0,"Credit","Neutral")))</f>
        <v>Debit</v>
      </c>
      <c r="L324" s="178" t="s">
        <v>554</v>
      </c>
      <c r="M324" s="145" t="s">
        <v>498</v>
      </c>
    </row>
    <row r="325" spans="3:13" ht="30" customHeight="1" x14ac:dyDescent="0.25">
      <c r="C325" s="26">
        <v>323</v>
      </c>
      <c r="D325" s="146">
        <v>44414</v>
      </c>
      <c r="E325" s="145">
        <v>8.98</v>
      </c>
      <c r="F325" s="145">
        <v>3672</v>
      </c>
      <c r="G325" s="147">
        <v>1</v>
      </c>
      <c r="H325" s="148">
        <f>tbTransactions[[#This Row],[Qty]]*tbTransactions[[#This Row],[Unit Cost]]*tbTransactions[[#This Row],[Exchange Rate]]</f>
        <v>32974.560000000005</v>
      </c>
      <c r="I325" s="149" t="s">
        <v>537</v>
      </c>
      <c r="J325" s="144" t="s">
        <v>24</v>
      </c>
      <c r="K325" s="183" t="str">
        <f>IF(tbTransactions[[#This Row],[Sub-Type]]="Transfer","Neutral",IF(tbTransactions[[#This Row],[Qty]]&lt;0,"Debit",IF(tbTransactions[[#This Row],[Qty]]&gt;0,"Credit","Neutral")))</f>
        <v>Credit</v>
      </c>
      <c r="L325" s="174" t="s">
        <v>548</v>
      </c>
      <c r="M325" s="145" t="s">
        <v>498</v>
      </c>
    </row>
    <row r="326" spans="3:13" ht="30" customHeight="1" x14ac:dyDescent="0.25">
      <c r="C326" s="26">
        <v>324</v>
      </c>
      <c r="D326" s="146">
        <v>44414</v>
      </c>
      <c r="E326" s="145">
        <v>-1.8800000000000001E-2</v>
      </c>
      <c r="F326" s="145">
        <v>3672</v>
      </c>
      <c r="G326" s="147">
        <v>1</v>
      </c>
      <c r="H326" s="148">
        <f>tbTransactions[[#This Row],[Qty]]*tbTransactions[[#This Row],[Unit Cost]]*tbTransactions[[#This Row],[Exchange Rate]]</f>
        <v>-69.033600000000007</v>
      </c>
      <c r="I326" s="149" t="s">
        <v>537</v>
      </c>
      <c r="J326" s="144" t="s">
        <v>24</v>
      </c>
      <c r="K326" s="183" t="str">
        <f>IF(tbTransactions[[#This Row],[Sub-Type]]="Transfer","Neutral",IF(tbTransactions[[#This Row],[Qty]]&lt;0,"Debit",IF(tbTransactions[[#This Row],[Qty]]&gt;0,"Credit","Neutral")))</f>
        <v>Debit</v>
      </c>
      <c r="L326" s="174" t="s">
        <v>14</v>
      </c>
      <c r="M326" s="145" t="s">
        <v>498</v>
      </c>
    </row>
    <row r="327" spans="3:13" ht="30" customHeight="1" x14ac:dyDescent="0.25">
      <c r="C327" s="26">
        <v>325</v>
      </c>
      <c r="D327" s="27">
        <v>44414</v>
      </c>
      <c r="E327" s="23">
        <v>2.61727564E-2</v>
      </c>
      <c r="F327" s="23">
        <v>0</v>
      </c>
      <c r="G327" s="24">
        <v>1</v>
      </c>
      <c r="H327" s="28">
        <f>tbTransactions[[#This Row],[Qty]]*tbTransactions[[#This Row],[Unit Cost]]*tbTransactions[[#This Row],[Exchange Rate]]</f>
        <v>0</v>
      </c>
      <c r="I327" s="100" t="s">
        <v>539</v>
      </c>
      <c r="J327" s="29" t="s">
        <v>22</v>
      </c>
      <c r="K327" s="183" t="str">
        <f>IF(tbTransactions[[#This Row],[Sub-Type]]="Transfer","Neutral",IF(tbTransactions[[#This Row],[Qty]]&lt;0,"Debit",IF(tbTransactions[[#This Row],[Qty]]&gt;0,"Credit","Neutral")))</f>
        <v>Credit</v>
      </c>
      <c r="L327" s="174" t="s">
        <v>546</v>
      </c>
      <c r="M327" s="122" t="s">
        <v>481</v>
      </c>
    </row>
    <row r="328" spans="3:13" ht="30" customHeight="1" x14ac:dyDescent="0.25">
      <c r="C328" s="26">
        <v>326</v>
      </c>
      <c r="D328" s="27">
        <v>44415</v>
      </c>
      <c r="E328" s="23">
        <v>0.93457944000000004</v>
      </c>
      <c r="F328" s="23">
        <v>0</v>
      </c>
      <c r="G328" s="24">
        <v>1</v>
      </c>
      <c r="H328" s="28">
        <f>tbTransactions[[#This Row],[Qty]]*tbTransactions[[#This Row],[Unit Cost]]*tbTransactions[[#This Row],[Exchange Rate]]</f>
        <v>0</v>
      </c>
      <c r="I328" s="143" t="s">
        <v>430</v>
      </c>
      <c r="J328" s="29" t="s">
        <v>502</v>
      </c>
      <c r="K328" s="183" t="str">
        <f>IF(tbTransactions[[#This Row],[Sub-Type]]="Transfer","Neutral",IF(tbTransactions[[#This Row],[Qty]]&lt;0,"Debit",IF(tbTransactions[[#This Row],[Qty]]&gt;0,"Credit","Neutral")))</f>
        <v>Credit</v>
      </c>
      <c r="L328" s="174" t="s">
        <v>544</v>
      </c>
      <c r="M328" s="145" t="s">
        <v>501</v>
      </c>
    </row>
    <row r="329" spans="3:13" ht="30" customHeight="1" x14ac:dyDescent="0.25">
      <c r="C329" s="26">
        <v>327</v>
      </c>
      <c r="D329" s="27">
        <v>44415</v>
      </c>
      <c r="E329" s="23">
        <v>0.93457944000000004</v>
      </c>
      <c r="F329" s="23">
        <v>0</v>
      </c>
      <c r="G329" s="24">
        <v>1</v>
      </c>
      <c r="H329" s="28">
        <f>tbTransactions[[#This Row],[Qty]]*tbTransactions[[#This Row],[Unit Cost]]*tbTransactions[[#This Row],[Exchange Rate]]</f>
        <v>0</v>
      </c>
      <c r="I329" s="143" t="s">
        <v>430</v>
      </c>
      <c r="J329" s="29" t="s">
        <v>502</v>
      </c>
      <c r="K329" s="183" t="str">
        <f>IF(tbTransactions[[#This Row],[Sub-Type]]="Transfer","Neutral",IF(tbTransactions[[#This Row],[Qty]]&lt;0,"Debit",IF(tbTransactions[[#This Row],[Qty]]&gt;0,"Credit","Neutral")))</f>
        <v>Credit</v>
      </c>
      <c r="L329" s="174" t="s">
        <v>544</v>
      </c>
      <c r="M329" s="145" t="s">
        <v>501</v>
      </c>
    </row>
    <row r="330" spans="3:13" ht="30" customHeight="1" x14ac:dyDescent="0.25">
      <c r="C330" s="26">
        <v>328</v>
      </c>
      <c r="D330" s="27">
        <v>44415</v>
      </c>
      <c r="E330" s="23">
        <v>0.92592593000000001</v>
      </c>
      <c r="F330" s="23">
        <v>0</v>
      </c>
      <c r="G330" s="24">
        <v>1</v>
      </c>
      <c r="H330" s="28">
        <f>tbTransactions[[#This Row],[Qty]]*tbTransactions[[#This Row],[Unit Cost]]*tbTransactions[[#This Row],[Exchange Rate]]</f>
        <v>0</v>
      </c>
      <c r="I330" s="143" t="s">
        <v>430</v>
      </c>
      <c r="J330" s="29" t="s">
        <v>502</v>
      </c>
      <c r="K330" s="183" t="str">
        <f>IF(tbTransactions[[#This Row],[Sub-Type]]="Transfer","Neutral",IF(tbTransactions[[#This Row],[Qty]]&lt;0,"Debit",IF(tbTransactions[[#This Row],[Qty]]&gt;0,"Credit","Neutral")))</f>
        <v>Credit</v>
      </c>
      <c r="L330" s="174" t="s">
        <v>544</v>
      </c>
      <c r="M330" s="145" t="s">
        <v>501</v>
      </c>
    </row>
    <row r="331" spans="3:13" ht="30" customHeight="1" x14ac:dyDescent="0.25">
      <c r="C331" s="26">
        <v>329</v>
      </c>
      <c r="D331" s="27">
        <v>44415</v>
      </c>
      <c r="E331" s="23">
        <v>3.2769403799999999E-2</v>
      </c>
      <c r="F331" s="23">
        <v>0</v>
      </c>
      <c r="G331" s="24">
        <v>1</v>
      </c>
      <c r="H331" s="28">
        <f>tbTransactions[[#This Row],[Qty]]*tbTransactions[[#This Row],[Unit Cost]]*tbTransactions[[#This Row],[Exchange Rate]]</f>
        <v>0</v>
      </c>
      <c r="I331" s="100" t="s">
        <v>539</v>
      </c>
      <c r="J331" s="29" t="s">
        <v>22</v>
      </c>
      <c r="K331" s="183" t="str">
        <f>IF(tbTransactions[[#This Row],[Sub-Type]]="Transfer","Neutral",IF(tbTransactions[[#This Row],[Qty]]&lt;0,"Debit",IF(tbTransactions[[#This Row],[Qty]]&gt;0,"Credit","Neutral")))</f>
        <v>Credit</v>
      </c>
      <c r="L331" s="174" t="s">
        <v>546</v>
      </c>
      <c r="M331" s="122" t="s">
        <v>481</v>
      </c>
    </row>
    <row r="332" spans="3:13" ht="30" customHeight="1" x14ac:dyDescent="0.25">
      <c r="C332" s="26">
        <v>330</v>
      </c>
      <c r="D332" s="27">
        <v>44416</v>
      </c>
      <c r="E332" s="23">
        <v>2.9544800000000002</v>
      </c>
      <c r="F332" s="23">
        <v>0</v>
      </c>
      <c r="G332" s="24">
        <v>1</v>
      </c>
      <c r="H332" s="28">
        <f>tbTransactions[[#This Row],[Qty]]*tbTransactions[[#This Row],[Unit Cost]]*tbTransactions[[#This Row],[Exchange Rate]]</f>
        <v>0</v>
      </c>
      <c r="I332" s="133" t="s">
        <v>534</v>
      </c>
      <c r="J332" s="29" t="s">
        <v>19</v>
      </c>
      <c r="K332" s="183" t="str">
        <f>IF(tbTransactions[[#This Row],[Sub-Type]]="Transfer","Neutral",IF(tbTransactions[[#This Row],[Qty]]&lt;0,"Debit",IF(tbTransactions[[#This Row],[Qty]]&gt;0,"Credit","Neutral")))</f>
        <v>Credit</v>
      </c>
      <c r="L332" s="174" t="s">
        <v>546</v>
      </c>
      <c r="M332" s="75" t="s">
        <v>441</v>
      </c>
    </row>
    <row r="333" spans="3:13" ht="30" customHeight="1" x14ac:dyDescent="0.25">
      <c r="C333" s="26">
        <v>331</v>
      </c>
      <c r="D333" s="27">
        <v>44416</v>
      </c>
      <c r="E333" s="23">
        <v>0.158499</v>
      </c>
      <c r="F333" s="23">
        <v>0</v>
      </c>
      <c r="G333" s="24">
        <v>1</v>
      </c>
      <c r="H333" s="28">
        <f>tbTransactions[[#This Row],[Qty]]*tbTransactions[[#This Row],[Unit Cost]]*tbTransactions[[#This Row],[Exchange Rate]]</f>
        <v>0</v>
      </c>
      <c r="I333" s="137" t="s">
        <v>445</v>
      </c>
      <c r="J333" s="29" t="s">
        <v>20</v>
      </c>
      <c r="K333" s="183" t="str">
        <f>IF(tbTransactions[[#This Row],[Sub-Type]]="Transfer","Neutral",IF(tbTransactions[[#This Row],[Qty]]&lt;0,"Debit",IF(tbTransactions[[#This Row],[Qty]]&gt;0,"Credit","Neutral")))</f>
        <v>Credit</v>
      </c>
      <c r="L333" s="174" t="s">
        <v>546</v>
      </c>
      <c r="M333" s="51" t="s">
        <v>47</v>
      </c>
    </row>
    <row r="334" spans="3:13" ht="30" customHeight="1" x14ac:dyDescent="0.25">
      <c r="C334" s="26">
        <v>332</v>
      </c>
      <c r="D334" s="27">
        <v>44416</v>
      </c>
      <c r="E334" s="23">
        <v>2.8559687100000002E-2</v>
      </c>
      <c r="F334" s="23">
        <v>0</v>
      </c>
      <c r="G334" s="24">
        <v>1</v>
      </c>
      <c r="H334" s="28">
        <f>tbTransactions[[#This Row],[Qty]]*tbTransactions[[#This Row],[Unit Cost]]*tbTransactions[[#This Row],[Exchange Rate]]</f>
        <v>0</v>
      </c>
      <c r="I334" s="100" t="s">
        <v>539</v>
      </c>
      <c r="J334" s="29" t="s">
        <v>22</v>
      </c>
      <c r="K334" s="183" t="str">
        <f>IF(tbTransactions[[#This Row],[Sub-Type]]="Transfer","Neutral",IF(tbTransactions[[#This Row],[Qty]]&lt;0,"Debit",IF(tbTransactions[[#This Row],[Qty]]&gt;0,"Credit","Neutral")))</f>
        <v>Credit</v>
      </c>
      <c r="L334" s="174" t="s">
        <v>546</v>
      </c>
      <c r="M334" s="122" t="s">
        <v>481</v>
      </c>
    </row>
    <row r="335" spans="3:13" ht="30" customHeight="1" x14ac:dyDescent="0.25">
      <c r="C335" s="26">
        <v>333</v>
      </c>
      <c r="D335" s="27">
        <v>44417</v>
      </c>
      <c r="E335" s="23">
        <v>3244.2930000000001</v>
      </c>
      <c r="F335" s="23">
        <v>7.7179999999999999E-2</v>
      </c>
      <c r="G335" s="24">
        <v>1</v>
      </c>
      <c r="H335" s="28">
        <f>tbTransactions[[#This Row],[Qty]]*tbTransactions[[#This Row],[Unit Cost]]*tbTransactions[[#This Row],[Exchange Rate]]</f>
        <v>250.39453374000001</v>
      </c>
      <c r="I335" s="151" t="s">
        <v>537</v>
      </c>
      <c r="J335" s="29" t="s">
        <v>455</v>
      </c>
      <c r="K335" s="183" t="str">
        <f>IF(tbTransactions[[#This Row],[Sub-Type]]="Transfer","Neutral",IF(tbTransactions[[#This Row],[Qty]]&lt;0,"Debit",IF(tbTransactions[[#This Row],[Qty]]&gt;0,"Credit","Neutral")))</f>
        <v>Neutral</v>
      </c>
      <c r="L335" s="178" t="s">
        <v>39</v>
      </c>
      <c r="M335" s="154" t="s">
        <v>519</v>
      </c>
    </row>
    <row r="336" spans="3:13" ht="30" customHeight="1" x14ac:dyDescent="0.25">
      <c r="C336" s="26">
        <v>334</v>
      </c>
      <c r="D336" s="27">
        <v>44417</v>
      </c>
      <c r="E336" s="23">
        <v>60.518765020000046</v>
      </c>
      <c r="F336" s="23">
        <v>7.7179999999999999E-2</v>
      </c>
      <c r="G336" s="24">
        <v>1</v>
      </c>
      <c r="H336" s="28">
        <f>tbTransactions[[#This Row],[Qty]]*tbTransactions[[#This Row],[Unit Cost]]*tbTransactions[[#This Row],[Exchange Rate]]</f>
        <v>4.6708382842436036</v>
      </c>
      <c r="I336" s="151" t="s">
        <v>430</v>
      </c>
      <c r="J336" s="29" t="s">
        <v>455</v>
      </c>
      <c r="K336" s="183" t="str">
        <f>IF(tbTransactions[[#This Row],[Sub-Type]]="Transfer","Neutral",IF(tbTransactions[[#This Row],[Qty]]&lt;0,"Debit",IF(tbTransactions[[#This Row],[Qty]]&gt;0,"Credit","Neutral")))</f>
        <v>Credit</v>
      </c>
      <c r="L336" s="174" t="s">
        <v>14</v>
      </c>
      <c r="M336" s="154" t="s">
        <v>519</v>
      </c>
    </row>
    <row r="337" spans="3:13" ht="30" customHeight="1" x14ac:dyDescent="0.25">
      <c r="C337" s="26">
        <v>335</v>
      </c>
      <c r="D337" s="27">
        <v>44417</v>
      </c>
      <c r="E337" s="23">
        <v>-3304.8117650200002</v>
      </c>
      <c r="F337" s="23">
        <v>7.7179999999999999E-2</v>
      </c>
      <c r="G337" s="24">
        <v>1</v>
      </c>
      <c r="H337" s="28">
        <f>tbTransactions[[#This Row],[Qty]]*tbTransactions[[#This Row],[Unit Cost]]*tbTransactions[[#This Row],[Exchange Rate]]</f>
        <v>-255.0653720242436</v>
      </c>
      <c r="I337" s="151" t="s">
        <v>430</v>
      </c>
      <c r="J337" s="29" t="s">
        <v>455</v>
      </c>
      <c r="K337" s="183" t="str">
        <f>IF(tbTransactions[[#This Row],[Sub-Type]]="Transfer","Neutral",IF(tbTransactions[[#This Row],[Qty]]&lt;0,"Debit",IF(tbTransactions[[#This Row],[Qty]]&gt;0,"Credit","Neutral")))</f>
        <v>Neutral</v>
      </c>
      <c r="L337" s="178" t="s">
        <v>39</v>
      </c>
      <c r="M337" s="154" t="s">
        <v>519</v>
      </c>
    </row>
    <row r="338" spans="3:13" ht="30" customHeight="1" x14ac:dyDescent="0.25">
      <c r="C338" s="26">
        <v>336</v>
      </c>
      <c r="D338" s="27">
        <v>44417</v>
      </c>
      <c r="E338" s="23">
        <v>-200.34896914000001</v>
      </c>
      <c r="F338" s="23">
        <v>1.44</v>
      </c>
      <c r="G338" s="24">
        <v>1</v>
      </c>
      <c r="H338" s="28">
        <f>tbTransactions[[#This Row],[Qty]]*tbTransactions[[#This Row],[Unit Cost]]*tbTransactions[[#This Row],[Exchange Rate]]</f>
        <v>-288.50251556159998</v>
      </c>
      <c r="I338" s="151" t="s">
        <v>430</v>
      </c>
      <c r="J338" s="29" t="s">
        <v>437</v>
      </c>
      <c r="K338" s="183" t="str">
        <f>IF(tbTransactions[[#This Row],[Sub-Type]]="Transfer","Neutral",IF(tbTransactions[[#This Row],[Qty]]&lt;0,"Debit",IF(tbTransactions[[#This Row],[Qty]]&gt;0,"Credit","Neutral")))</f>
        <v>Neutral</v>
      </c>
      <c r="L338" s="178" t="s">
        <v>39</v>
      </c>
      <c r="M338" s="154" t="s">
        <v>520</v>
      </c>
    </row>
    <row r="339" spans="3:13" ht="30" customHeight="1" x14ac:dyDescent="0.25">
      <c r="C339" s="26">
        <v>337</v>
      </c>
      <c r="D339" s="27">
        <v>44417</v>
      </c>
      <c r="E339" s="23">
        <v>-4.4167199300000002</v>
      </c>
      <c r="F339" s="23">
        <v>1.44</v>
      </c>
      <c r="G339" s="24">
        <v>1</v>
      </c>
      <c r="H339" s="28">
        <f>tbTransactions[[#This Row],[Qty]]*tbTransactions[[#This Row],[Unit Cost]]*tbTransactions[[#This Row],[Exchange Rate]]</f>
        <v>-6.3600766992000004</v>
      </c>
      <c r="I339" s="151" t="s">
        <v>430</v>
      </c>
      <c r="J339" s="29" t="s">
        <v>437</v>
      </c>
      <c r="K339" s="183" t="str">
        <f>IF(tbTransactions[[#This Row],[Sub-Type]]="Transfer","Neutral",IF(tbTransactions[[#This Row],[Qty]]&lt;0,"Debit",IF(tbTransactions[[#This Row],[Qty]]&gt;0,"Credit","Neutral")))</f>
        <v>Debit</v>
      </c>
      <c r="L339" s="174" t="s">
        <v>14</v>
      </c>
      <c r="M339" s="154" t="s">
        <v>520</v>
      </c>
    </row>
    <row r="340" spans="3:13" ht="30" customHeight="1" x14ac:dyDescent="0.25">
      <c r="C340" s="26">
        <v>338</v>
      </c>
      <c r="D340" s="27">
        <v>44417</v>
      </c>
      <c r="E340" s="23">
        <v>195.93224921000001</v>
      </c>
      <c r="F340" s="23">
        <v>1.44</v>
      </c>
      <c r="G340" s="24">
        <v>1</v>
      </c>
      <c r="H340" s="28">
        <f>tbTransactions[[#This Row],[Qty]]*tbTransactions[[#This Row],[Unit Cost]]*tbTransactions[[#This Row],[Exchange Rate]]</f>
        <v>282.14243886240001</v>
      </c>
      <c r="I340" s="151" t="s">
        <v>537</v>
      </c>
      <c r="J340" s="29" t="s">
        <v>437</v>
      </c>
      <c r="K340" s="183" t="str">
        <f>IF(tbTransactions[[#This Row],[Sub-Type]]="Transfer","Neutral",IF(tbTransactions[[#This Row],[Qty]]&lt;0,"Debit",IF(tbTransactions[[#This Row],[Qty]]&gt;0,"Credit","Neutral")))</f>
        <v>Neutral</v>
      </c>
      <c r="L340" s="178" t="s">
        <v>39</v>
      </c>
      <c r="M340" s="154" t="s">
        <v>520</v>
      </c>
    </row>
    <row r="341" spans="3:13" ht="30" customHeight="1" x14ac:dyDescent="0.25">
      <c r="C341" s="26">
        <v>339</v>
      </c>
      <c r="D341" s="27">
        <v>44417</v>
      </c>
      <c r="E341" s="23">
        <v>2335.5264084700002</v>
      </c>
      <c r="F341" s="23">
        <v>1.25</v>
      </c>
      <c r="G341" s="24">
        <v>1</v>
      </c>
      <c r="H341" s="28">
        <f>tbTransactions[[#This Row],[Qty]]*tbTransactions[[#This Row],[Unit Cost]]*tbTransactions[[#This Row],[Exchange Rate]]</f>
        <v>2919.4080105875</v>
      </c>
      <c r="I341" s="155" t="s">
        <v>531</v>
      </c>
      <c r="J341" s="29" t="s">
        <v>523</v>
      </c>
      <c r="K341" s="183" t="str">
        <f>IF(tbTransactions[[#This Row],[Sub-Type]]="Transfer","Neutral",IF(tbTransactions[[#This Row],[Qty]]&lt;0,"Debit",IF(tbTransactions[[#This Row],[Qty]]&gt;0,"Credit","Neutral")))</f>
        <v>Credit</v>
      </c>
      <c r="L341" s="174" t="s">
        <v>532</v>
      </c>
      <c r="M341" s="156" t="s">
        <v>521</v>
      </c>
    </row>
    <row r="342" spans="3:13" ht="30" customHeight="1" x14ac:dyDescent="0.25">
      <c r="C342" s="26">
        <v>340</v>
      </c>
      <c r="D342" s="27">
        <v>44417</v>
      </c>
      <c r="E342" s="23">
        <v>-3007.22</v>
      </c>
      <c r="F342" s="23">
        <v>1.25</v>
      </c>
      <c r="G342" s="24">
        <v>1</v>
      </c>
      <c r="H342" s="28">
        <f>tbTransactions[[#This Row],[Qty]]*tbTransactions[[#This Row],[Unit Cost]]*tbTransactions[[#This Row],[Exchange Rate]]</f>
        <v>-3759.0249999999996</v>
      </c>
      <c r="I342" s="155" t="s">
        <v>531</v>
      </c>
      <c r="J342" s="29" t="s">
        <v>418</v>
      </c>
      <c r="K342" s="183" t="str">
        <f>IF(tbTransactions[[#This Row],[Sub-Type]]="Transfer","Neutral",IF(tbTransactions[[#This Row],[Qty]]&lt;0,"Debit",IF(tbTransactions[[#This Row],[Qty]]&gt;0,"Credit","Neutral")))</f>
        <v>Debit</v>
      </c>
      <c r="L342" s="178" t="s">
        <v>528</v>
      </c>
      <c r="M342" s="156" t="s">
        <v>521</v>
      </c>
    </row>
    <row r="343" spans="3:13" ht="30" customHeight="1" x14ac:dyDescent="0.25">
      <c r="C343" s="26">
        <v>341</v>
      </c>
      <c r="D343" s="27">
        <v>44417</v>
      </c>
      <c r="E343" s="23">
        <v>-4.6710528199999999</v>
      </c>
      <c r="F343" s="23">
        <v>1.25</v>
      </c>
      <c r="G343" s="24">
        <v>1</v>
      </c>
      <c r="H343" s="28">
        <f>tbTransactions[[#This Row],[Qty]]*tbTransactions[[#This Row],[Unit Cost]]*tbTransactions[[#This Row],[Exchange Rate]]</f>
        <v>-5.8388160249999999</v>
      </c>
      <c r="I343" s="155" t="s">
        <v>531</v>
      </c>
      <c r="J343" s="29" t="s">
        <v>523</v>
      </c>
      <c r="K343" s="183" t="str">
        <f>IF(tbTransactions[[#This Row],[Sub-Type]]="Transfer","Neutral",IF(tbTransactions[[#This Row],[Qty]]&lt;0,"Debit",IF(tbTransactions[[#This Row],[Qty]]&gt;0,"Credit","Neutral")))</f>
        <v>Debit</v>
      </c>
      <c r="L343" s="174" t="s">
        <v>14</v>
      </c>
      <c r="M343" s="156" t="s">
        <v>521</v>
      </c>
    </row>
    <row r="344" spans="3:13" ht="30" customHeight="1" x14ac:dyDescent="0.25">
      <c r="C344" s="26">
        <v>342</v>
      </c>
      <c r="D344" s="27">
        <v>44417</v>
      </c>
      <c r="E344" s="23">
        <v>-15</v>
      </c>
      <c r="F344" s="23">
        <v>1.25</v>
      </c>
      <c r="G344" s="24">
        <v>1</v>
      </c>
      <c r="H344" s="28">
        <f>tbTransactions[[#This Row],[Qty]]*tbTransactions[[#This Row],[Unit Cost]]*tbTransactions[[#This Row],[Exchange Rate]]</f>
        <v>-18.75</v>
      </c>
      <c r="I344" s="155" t="s">
        <v>531</v>
      </c>
      <c r="J344" s="29" t="s">
        <v>523</v>
      </c>
      <c r="K344" s="183" t="str">
        <f>IF(tbTransactions[[#This Row],[Sub-Type]]="Transfer","Neutral",IF(tbTransactions[[#This Row],[Qty]]&lt;0,"Debit",IF(tbTransactions[[#This Row],[Qty]]&gt;0,"Credit","Neutral")))</f>
        <v>Debit</v>
      </c>
      <c r="L344" s="174" t="s">
        <v>14</v>
      </c>
      <c r="M344" s="156" t="s">
        <v>522</v>
      </c>
    </row>
    <row r="345" spans="3:13" ht="30" customHeight="1" x14ac:dyDescent="0.25">
      <c r="C345" s="26">
        <v>343</v>
      </c>
      <c r="D345" s="27">
        <v>44417</v>
      </c>
      <c r="E345" s="23">
        <v>-2335.5264084700002</v>
      </c>
      <c r="F345" s="23">
        <v>1.25</v>
      </c>
      <c r="G345" s="24">
        <v>1</v>
      </c>
      <c r="H345" s="28">
        <f>tbTransactions[[#This Row],[Qty]]*tbTransactions[[#This Row],[Unit Cost]]*tbTransactions[[#This Row],[Exchange Rate]]</f>
        <v>-2919.4080105875</v>
      </c>
      <c r="I345" s="155" t="s">
        <v>531</v>
      </c>
      <c r="J345" s="29" t="s">
        <v>523</v>
      </c>
      <c r="K345" s="183" t="str">
        <f>IF(tbTransactions[[#This Row],[Sub-Type]]="Transfer","Neutral",IF(tbTransactions[[#This Row],[Qty]]&lt;0,"Debit",IF(tbTransactions[[#This Row],[Qty]]&gt;0,"Credit","Neutral")))</f>
        <v>Neutral</v>
      </c>
      <c r="L345" s="178" t="s">
        <v>39</v>
      </c>
      <c r="M345" s="156" t="s">
        <v>522</v>
      </c>
    </row>
    <row r="346" spans="3:13" ht="30" customHeight="1" x14ac:dyDescent="0.25">
      <c r="C346" s="26">
        <v>344</v>
      </c>
      <c r="D346" s="27">
        <v>44417</v>
      </c>
      <c r="E346" s="23">
        <v>2320.5264084700002</v>
      </c>
      <c r="F346" s="23">
        <v>1.25</v>
      </c>
      <c r="G346" s="24">
        <v>1</v>
      </c>
      <c r="H346" s="28">
        <f>tbTransactions[[#This Row],[Qty]]*tbTransactions[[#This Row],[Unit Cost]]*tbTransactions[[#This Row],[Exchange Rate]]</f>
        <v>2900.6580105875</v>
      </c>
      <c r="I346" s="155" t="s">
        <v>537</v>
      </c>
      <c r="J346" s="29" t="s">
        <v>523</v>
      </c>
      <c r="K346" s="183" t="str">
        <f>IF(tbTransactions[[#This Row],[Sub-Type]]="Transfer","Neutral",IF(tbTransactions[[#This Row],[Qty]]&lt;0,"Debit",IF(tbTransactions[[#This Row],[Qty]]&gt;0,"Credit","Neutral")))</f>
        <v>Neutral</v>
      </c>
      <c r="L346" s="178" t="s">
        <v>39</v>
      </c>
      <c r="M346" s="156" t="s">
        <v>522</v>
      </c>
    </row>
    <row r="347" spans="3:13" ht="30" customHeight="1" x14ac:dyDescent="0.25">
      <c r="C347" s="26">
        <v>345</v>
      </c>
      <c r="D347" s="27">
        <v>44417</v>
      </c>
      <c r="E347" s="23">
        <v>-4.6714084700001903</v>
      </c>
      <c r="F347" s="23">
        <v>1.25</v>
      </c>
      <c r="G347" s="24">
        <v>1</v>
      </c>
      <c r="H347" s="28">
        <f>tbTransactions[[#This Row],[Qty]]*tbTransactions[[#This Row],[Unit Cost]]*tbTransactions[[#This Row],[Exchange Rate]]</f>
        <v>-5.8392605875002381</v>
      </c>
      <c r="I347" s="155" t="s">
        <v>537</v>
      </c>
      <c r="J347" s="29" t="s">
        <v>523</v>
      </c>
      <c r="K347" s="183" t="str">
        <f>IF(tbTransactions[[#This Row],[Sub-Type]]="Transfer","Neutral",IF(tbTransactions[[#This Row],[Qty]]&lt;0,"Debit",IF(tbTransactions[[#This Row],[Qty]]&gt;0,"Credit","Neutral")))</f>
        <v>Debit</v>
      </c>
      <c r="L347" s="23" t="s">
        <v>36</v>
      </c>
      <c r="M347" s="41"/>
    </row>
    <row r="348" spans="3:13" ht="30" customHeight="1" x14ac:dyDescent="0.25">
      <c r="C348" s="26">
        <v>346</v>
      </c>
      <c r="D348" s="27">
        <v>44417</v>
      </c>
      <c r="E348" s="23">
        <v>3.0369996100000001E-2</v>
      </c>
      <c r="F348" s="23">
        <v>0</v>
      </c>
      <c r="G348" s="24">
        <v>1</v>
      </c>
      <c r="H348" s="28">
        <f>tbTransactions[[#This Row],[Qty]]*tbTransactions[[#This Row],[Unit Cost]]*tbTransactions[[#This Row],[Exchange Rate]]</f>
        <v>0</v>
      </c>
      <c r="I348" s="100" t="s">
        <v>539</v>
      </c>
      <c r="J348" s="29" t="s">
        <v>22</v>
      </c>
      <c r="K348" s="183" t="str">
        <f>IF(tbTransactions[[#This Row],[Sub-Type]]="Transfer","Neutral",IF(tbTransactions[[#This Row],[Qty]]&lt;0,"Debit",IF(tbTransactions[[#This Row],[Qty]]&gt;0,"Credit","Neutral")))</f>
        <v>Credit</v>
      </c>
      <c r="L348" s="174" t="s">
        <v>546</v>
      </c>
      <c r="M348" s="122" t="s">
        <v>481</v>
      </c>
    </row>
    <row r="349" spans="3:13" ht="30" customHeight="1" x14ac:dyDescent="0.25">
      <c r="C349" s="26">
        <v>347</v>
      </c>
      <c r="D349" s="162">
        <v>44417</v>
      </c>
      <c r="E349" s="163">
        <v>60.811765020000166</v>
      </c>
      <c r="F349" s="163">
        <v>7.7179999999999999E-2</v>
      </c>
      <c r="G349" s="164">
        <v>1</v>
      </c>
      <c r="H349" s="28">
        <f>tbTransactions[[#This Row],[Qty]]*tbTransactions[[#This Row],[Unit Cost]]*tbTransactions[[#This Row],[Exchange Rate]]</f>
        <v>4.6934520242436131</v>
      </c>
      <c r="I349" s="165" t="s">
        <v>430</v>
      </c>
      <c r="J349" s="184" t="s">
        <v>455</v>
      </c>
      <c r="K349" s="183" t="str">
        <f>IF(tbTransactions[[#This Row],[Sub-Type]]="Transfer","Neutral",IF(tbTransactions[[#This Row],[Qty]]&lt;0,"Debit",IF(tbTransactions[[#This Row],[Qty]]&gt;0,"Credit","Neutral")))</f>
        <v>Credit</v>
      </c>
      <c r="L349" s="174" t="s">
        <v>14</v>
      </c>
      <c r="M349" s="163" t="s">
        <v>541</v>
      </c>
    </row>
    <row r="350" spans="3:13" ht="30" customHeight="1" x14ac:dyDescent="0.25">
      <c r="C350" s="26">
        <v>348</v>
      </c>
      <c r="D350" s="27">
        <v>44417</v>
      </c>
      <c r="E350" s="23">
        <v>-3244</v>
      </c>
      <c r="F350" s="23">
        <v>1</v>
      </c>
      <c r="G350" s="24">
        <v>1</v>
      </c>
      <c r="H350" s="28">
        <f>tbTransactions[[#This Row],[Qty]]*tbTransactions[[#This Row],[Unit Cost]]*tbTransactions[[#This Row],[Exchange Rate]]</f>
        <v>-3244</v>
      </c>
      <c r="I350" s="182" t="s">
        <v>537</v>
      </c>
      <c r="J350" s="187" t="s">
        <v>455</v>
      </c>
      <c r="K350" s="183" t="str">
        <f>IF(tbTransactions[[#This Row],[Sub-Type]]="Transfer","Neutral",IF(tbTransactions[[#This Row],[Qty]]&lt;0,"Debit",IF(tbTransactions[[#This Row],[Qty]]&gt;0,"Credit","Neutral")))</f>
        <v>Neutral</v>
      </c>
      <c r="L350" s="187" t="s">
        <v>39</v>
      </c>
      <c r="M350" s="188" t="s">
        <v>560</v>
      </c>
    </row>
    <row r="351" spans="3:13" ht="30" customHeight="1" x14ac:dyDescent="0.25">
      <c r="C351" s="26">
        <v>349</v>
      </c>
      <c r="D351" s="27">
        <v>44417</v>
      </c>
      <c r="E351" s="23">
        <v>3244</v>
      </c>
      <c r="F351" s="23">
        <v>1</v>
      </c>
      <c r="G351" s="24">
        <v>1</v>
      </c>
      <c r="H351" s="28">
        <f>tbTransactions[[#This Row],[Qty]]*tbTransactions[[#This Row],[Unit Cost]]*tbTransactions[[#This Row],[Exchange Rate]]</f>
        <v>3244</v>
      </c>
      <c r="I351" s="186" t="s">
        <v>559</v>
      </c>
      <c r="J351" s="187" t="s">
        <v>455</v>
      </c>
      <c r="K351" s="183" t="str">
        <f>IF(tbTransactions[[#This Row],[Sub-Type]]="Transfer","Neutral",IF(tbTransactions[[#This Row],[Qty]]&lt;0,"Debit",IF(tbTransactions[[#This Row],[Qty]]&gt;0,"Credit","Neutral")))</f>
        <v>Neutral</v>
      </c>
      <c r="L351" s="187" t="s">
        <v>39</v>
      </c>
      <c r="M351" s="188" t="s">
        <v>560</v>
      </c>
    </row>
    <row r="352" spans="3:13" ht="30" customHeight="1" x14ac:dyDescent="0.25">
      <c r="C352" s="26">
        <v>350</v>
      </c>
      <c r="D352" s="27">
        <v>44418</v>
      </c>
      <c r="E352" s="23">
        <v>1.33922593</v>
      </c>
      <c r="F352" s="23">
        <v>0</v>
      </c>
      <c r="G352" s="24">
        <v>1</v>
      </c>
      <c r="H352" s="28">
        <f>tbTransactions[[#This Row],[Qty]]*tbTransactions[[#This Row],[Unit Cost]]*tbTransactions[[#This Row],[Exchange Rate]]</f>
        <v>0</v>
      </c>
      <c r="I352" s="158" t="s">
        <v>430</v>
      </c>
      <c r="J352" s="29" t="s">
        <v>439</v>
      </c>
      <c r="K352" s="183" t="str">
        <f>IF(tbTransactions[[#This Row],[Sub-Type]]="Transfer","Neutral",IF(tbTransactions[[#This Row],[Qty]]&lt;0,"Debit",IF(tbTransactions[[#This Row],[Qty]]&gt;0,"Credit","Neutral")))</f>
        <v>Credit</v>
      </c>
      <c r="L352" s="174" t="s">
        <v>544</v>
      </c>
      <c r="M352" s="159" t="s">
        <v>463</v>
      </c>
    </row>
    <row r="353" spans="3:13" s="166" customFormat="1" ht="30" customHeight="1" x14ac:dyDescent="0.25">
      <c r="C353" s="26">
        <v>351</v>
      </c>
      <c r="D353" s="27">
        <v>44418</v>
      </c>
      <c r="E353" s="23">
        <v>4.17041155E-2</v>
      </c>
      <c r="F353" s="23">
        <v>0</v>
      </c>
      <c r="G353" s="24">
        <v>1</v>
      </c>
      <c r="H353" s="28">
        <f>tbTransactions[[#This Row],[Qty]]*tbTransactions[[#This Row],[Unit Cost]]*tbTransactions[[#This Row],[Exchange Rate]]</f>
        <v>0</v>
      </c>
      <c r="I353" s="100" t="s">
        <v>539</v>
      </c>
      <c r="J353" s="29" t="s">
        <v>22</v>
      </c>
      <c r="K353" s="183" t="str">
        <f>IF(tbTransactions[[#This Row],[Sub-Type]]="Transfer","Neutral",IF(tbTransactions[[#This Row],[Qty]]&lt;0,"Debit",IF(tbTransactions[[#This Row],[Qty]]&gt;0,"Credit","Neutral")))</f>
        <v>Credit</v>
      </c>
      <c r="L353" s="174" t="s">
        <v>546</v>
      </c>
      <c r="M353" s="122" t="s">
        <v>481</v>
      </c>
    </row>
    <row r="354" spans="3:13" s="166" customFormat="1" ht="30" customHeight="1" x14ac:dyDescent="0.25">
      <c r="C354" s="26">
        <v>352</v>
      </c>
      <c r="D354" s="27">
        <v>44419</v>
      </c>
      <c r="E354" s="23">
        <v>3.4654755199999998E-2</v>
      </c>
      <c r="F354" s="23">
        <v>0</v>
      </c>
      <c r="G354" s="24">
        <v>1</v>
      </c>
      <c r="H354" s="28">
        <f>tbTransactions[[#This Row],[Qty]]*tbTransactions[[#This Row],[Unit Cost]]*tbTransactions[[#This Row],[Exchange Rate]]</f>
        <v>0</v>
      </c>
      <c r="I354" s="100" t="s">
        <v>539</v>
      </c>
      <c r="J354" s="29" t="s">
        <v>22</v>
      </c>
      <c r="K354" s="183" t="str">
        <f>IF(tbTransactions[[#This Row],[Sub-Type]]="Transfer","Neutral",IF(tbTransactions[[#This Row],[Qty]]&lt;0,"Debit",IF(tbTransactions[[#This Row],[Qty]]&gt;0,"Credit","Neutral")))</f>
        <v>Credit</v>
      </c>
      <c r="L354" s="174" t="s">
        <v>546</v>
      </c>
      <c r="M354" s="122" t="s">
        <v>481</v>
      </c>
    </row>
    <row r="355" spans="3:13" s="166" customFormat="1" ht="30" customHeight="1" x14ac:dyDescent="0.25">
      <c r="C355" s="26">
        <v>353</v>
      </c>
      <c r="D355" s="167">
        <v>44420</v>
      </c>
      <c r="E355" s="168">
        <v>-3.2049999999999999E-3</v>
      </c>
      <c r="F355" s="168">
        <v>3903</v>
      </c>
      <c r="G355" s="169">
        <v>1</v>
      </c>
      <c r="H355" s="170">
        <f>tbTransactions[[#This Row],[Qty]]*tbTransactions[[#This Row],[Unit Cost]]*tbTransactions[[#This Row],[Exchange Rate]]</f>
        <v>-12.509115</v>
      </c>
      <c r="I355" s="189" t="s">
        <v>537</v>
      </c>
      <c r="J355" s="190" t="s">
        <v>24</v>
      </c>
      <c r="K355" s="183" t="str">
        <f>IF(tbTransactions[[#This Row],[Sub-Type]]="Transfer","Neutral",IF(tbTransactions[[#This Row],[Qty]]&lt;0,"Debit",IF(tbTransactions[[#This Row],[Qty]]&gt;0,"Credit","Neutral")))</f>
        <v>Debit</v>
      </c>
      <c r="L355" s="174" t="s">
        <v>14</v>
      </c>
      <c r="M355" s="168" t="s">
        <v>542</v>
      </c>
    </row>
    <row r="356" spans="3:13" ht="30" customHeight="1" x14ac:dyDescent="0.25">
      <c r="C356" s="26">
        <v>354</v>
      </c>
      <c r="D356" s="179">
        <v>44420</v>
      </c>
      <c r="E356" s="180">
        <v>2.63073079E-2</v>
      </c>
      <c r="F356" s="180">
        <v>0</v>
      </c>
      <c r="G356" s="181">
        <v>1</v>
      </c>
      <c r="H356" s="28">
        <f>tbTransactions[[#This Row],[Qty]]*tbTransactions[[#This Row],[Unit Cost]]*tbTransactions[[#This Row],[Exchange Rate]]</f>
        <v>0</v>
      </c>
      <c r="I356" s="100" t="s">
        <v>539</v>
      </c>
      <c r="J356" s="29" t="s">
        <v>22</v>
      </c>
      <c r="K356" s="183" t="str">
        <f>IF(tbTransactions[[#This Row],[Sub-Type]]="Transfer","Neutral",IF(tbTransactions[[#This Row],[Qty]]&lt;0,"Debit",IF(tbTransactions[[#This Row],[Qty]]&gt;0,"Credit","Neutral")))</f>
        <v>Credit</v>
      </c>
      <c r="L356" s="174" t="s">
        <v>546</v>
      </c>
      <c r="M356" s="180" t="s">
        <v>481</v>
      </c>
    </row>
    <row r="357" spans="3:13" ht="30" customHeight="1" x14ac:dyDescent="0.25">
      <c r="C357" s="26">
        <v>355</v>
      </c>
      <c r="D357" s="167">
        <v>44421</v>
      </c>
      <c r="E357" s="168">
        <v>-1.9780000000000002E-3</v>
      </c>
      <c r="F357" s="168">
        <v>4089</v>
      </c>
      <c r="G357" s="169">
        <v>1</v>
      </c>
      <c r="H357" s="170">
        <f>tbTransactions[[#This Row],[Qty]]*tbTransactions[[#This Row],[Unit Cost]]*tbTransactions[[#This Row],[Exchange Rate]]</f>
        <v>-8.0880420000000015</v>
      </c>
      <c r="I357" s="189" t="s">
        <v>537</v>
      </c>
      <c r="J357" s="190" t="s">
        <v>24</v>
      </c>
      <c r="K357" s="183" t="str">
        <f>IF(tbTransactions[[#This Row],[Sub-Type]]="Transfer","Neutral",IF(tbTransactions[[#This Row],[Qty]]&lt;0,"Debit",IF(tbTransactions[[#This Row],[Qty]]&gt;0,"Credit","Neutral")))</f>
        <v>Debit</v>
      </c>
      <c r="L357" s="174" t="s">
        <v>14</v>
      </c>
      <c r="M357" s="168" t="s">
        <v>543</v>
      </c>
    </row>
    <row r="358" spans="3:13" ht="30" customHeight="1" x14ac:dyDescent="0.25">
      <c r="C358" s="26">
        <v>356</v>
      </c>
      <c r="D358" s="167">
        <v>44421</v>
      </c>
      <c r="E358" s="168">
        <v>2.7571460000000001</v>
      </c>
      <c r="F358" s="168">
        <v>0</v>
      </c>
      <c r="G358" s="169">
        <v>1</v>
      </c>
      <c r="H358" s="170">
        <f>tbTransactions[[#This Row],[Qty]]*tbTransactions[[#This Row],[Unit Cost]]*tbTransactions[[#This Row],[Exchange Rate]]</f>
        <v>0</v>
      </c>
      <c r="I358" s="189" t="s">
        <v>534</v>
      </c>
      <c r="J358" s="190" t="s">
        <v>19</v>
      </c>
      <c r="K358" s="183" t="str">
        <f>IF(tbTransactions[[#This Row],[Sub-Type]]="Transfer","Neutral",IF(tbTransactions[[#This Row],[Qty]]&lt;0,"Debit",IF(tbTransactions[[#This Row],[Qty]]&gt;0,"Credit","Neutral")))</f>
        <v>Credit</v>
      </c>
      <c r="L358" s="174" t="s">
        <v>546</v>
      </c>
      <c r="M358" s="168" t="s">
        <v>441</v>
      </c>
    </row>
    <row r="359" spans="3:13" ht="30" customHeight="1" x14ac:dyDescent="0.25">
      <c r="C359" s="26">
        <v>357</v>
      </c>
      <c r="D359" s="179">
        <v>44421</v>
      </c>
      <c r="E359" s="180">
        <v>3.4326375399999998E-2</v>
      </c>
      <c r="F359" s="180">
        <v>0</v>
      </c>
      <c r="G359" s="181">
        <v>1</v>
      </c>
      <c r="H359" s="28">
        <f>tbTransactions[[#This Row],[Qty]]*tbTransactions[[#This Row],[Unit Cost]]*tbTransactions[[#This Row],[Exchange Rate]]</f>
        <v>0</v>
      </c>
      <c r="I359" s="100" t="s">
        <v>539</v>
      </c>
      <c r="J359" s="29" t="s">
        <v>22</v>
      </c>
      <c r="K359" s="183" t="str">
        <f>IF(tbTransactions[[#This Row],[Sub-Type]]="Transfer","Neutral",IF(tbTransactions[[#This Row],[Qty]]&lt;0,"Debit",IF(tbTransactions[[#This Row],[Qty]]&gt;0,"Credit","Neutral")))</f>
        <v>Credit</v>
      </c>
      <c r="L359" s="174" t="s">
        <v>546</v>
      </c>
      <c r="M359" s="180" t="s">
        <v>481</v>
      </c>
    </row>
    <row r="360" spans="3:13" ht="30" customHeight="1" x14ac:dyDescent="0.25">
      <c r="C360" s="26">
        <v>358</v>
      </c>
      <c r="D360" s="171">
        <v>44422</v>
      </c>
      <c r="E360" s="172">
        <v>-5.3749999999999996E-3</v>
      </c>
      <c r="F360" s="172">
        <v>4096</v>
      </c>
      <c r="G360" s="173">
        <v>1</v>
      </c>
      <c r="H360" s="28">
        <f>tbTransactions[[#This Row],[Qty]]*tbTransactions[[#This Row],[Unit Cost]]*tbTransactions[[#This Row],[Exchange Rate]]</f>
        <v>-22.015999999999998</v>
      </c>
      <c r="I360" s="189" t="s">
        <v>537</v>
      </c>
      <c r="J360" s="190" t="s">
        <v>24</v>
      </c>
      <c r="K360" s="183" t="str">
        <f>IF(tbTransactions[[#This Row],[Sub-Type]]="Transfer","Neutral",IF(tbTransactions[[#This Row],[Qty]]&lt;0,"Debit",IF(tbTransactions[[#This Row],[Qty]]&gt;0,"Credit","Neutral")))</f>
        <v>Debit</v>
      </c>
      <c r="L360" s="174" t="s">
        <v>14</v>
      </c>
      <c r="M360" s="180" t="s">
        <v>556</v>
      </c>
    </row>
    <row r="361" spans="3:13" ht="30" customHeight="1" x14ac:dyDescent="0.25">
      <c r="C361" s="26">
        <v>359</v>
      </c>
      <c r="D361" s="171">
        <v>44422</v>
      </c>
      <c r="E361" s="180">
        <f>(2293.37+23.158)-2296.18394718</f>
        <v>20.344052819999888</v>
      </c>
      <c r="F361" s="180">
        <v>1.25</v>
      </c>
      <c r="G361" s="181">
        <v>1</v>
      </c>
      <c r="H361" s="28">
        <f>tbTransactions[[#This Row],[Qty]]*tbTransactions[[#This Row],[Unit Cost]]*tbTransactions[[#This Row],[Exchange Rate]]</f>
        <v>25.43006602499986</v>
      </c>
      <c r="I361" s="189" t="s">
        <v>537</v>
      </c>
      <c r="J361" s="190" t="s">
        <v>523</v>
      </c>
      <c r="K361" s="183" t="str">
        <f>IF(tbTransactions[[#This Row],[Sub-Type]]="Transfer","Neutral",IF(tbTransactions[[#This Row],[Qty]]&lt;0,"Debit",IF(tbTransactions[[#This Row],[Qty]]&gt;0,"Credit","Neutral")))</f>
        <v>Credit</v>
      </c>
      <c r="L361" s="23" t="s">
        <v>36</v>
      </c>
      <c r="M361" s="41"/>
    </row>
    <row r="362" spans="3:13" ht="30" customHeight="1" x14ac:dyDescent="0.25">
      <c r="C362" s="26">
        <v>360</v>
      </c>
      <c r="D362" s="179">
        <v>44422</v>
      </c>
      <c r="E362" s="180">
        <v>3.4315275200000002E-2</v>
      </c>
      <c r="F362" s="180">
        <v>0</v>
      </c>
      <c r="G362" s="181">
        <v>1</v>
      </c>
      <c r="H362" s="28">
        <f>tbTransactions[[#This Row],[Qty]]*tbTransactions[[#This Row],[Unit Cost]]*tbTransactions[[#This Row],[Exchange Rate]]</f>
        <v>0</v>
      </c>
      <c r="I362" s="100" t="s">
        <v>539</v>
      </c>
      <c r="J362" s="29" t="s">
        <v>22</v>
      </c>
      <c r="K362" s="183" t="str">
        <f>IF(tbTransactions[[#This Row],[Sub-Type]]="Transfer","Neutral",IF(tbTransactions[[#This Row],[Qty]]&lt;0,"Debit",IF(tbTransactions[[#This Row],[Qty]]&gt;0,"Credit","Neutral")))</f>
        <v>Credit</v>
      </c>
      <c r="L362" s="174" t="s">
        <v>546</v>
      </c>
      <c r="M362" s="180" t="s">
        <v>481</v>
      </c>
    </row>
    <row r="363" spans="3:13" ht="30" customHeight="1" x14ac:dyDescent="0.25">
      <c r="C363" s="26">
        <v>361</v>
      </c>
      <c r="D363" s="179">
        <v>44422</v>
      </c>
      <c r="E363" s="180">
        <v>-2292.6999999999998</v>
      </c>
      <c r="F363" s="180">
        <v>1.25</v>
      </c>
      <c r="G363" s="181">
        <v>1</v>
      </c>
      <c r="H363" s="28">
        <f>tbTransactions[[#This Row],[Qty]]*tbTransactions[[#This Row],[Unit Cost]]*tbTransactions[[#This Row],[Exchange Rate]]</f>
        <v>-2865.875</v>
      </c>
      <c r="I363" s="182" t="s">
        <v>537</v>
      </c>
      <c r="J363" s="29" t="s">
        <v>523</v>
      </c>
      <c r="K363" s="183" t="str">
        <f>IF(tbTransactions[[#This Row],[Sub-Type]]="Transfer","Neutral",IF(tbTransactions[[#This Row],[Qty]]&lt;0,"Debit",IF(tbTransactions[[#This Row],[Qty]]&gt;0,"Credit","Neutral")))</f>
        <v>Neutral</v>
      </c>
      <c r="L363" s="179" t="s">
        <v>39</v>
      </c>
      <c r="M363" s="193" t="s">
        <v>567</v>
      </c>
    </row>
    <row r="364" spans="3:13" ht="30" customHeight="1" x14ac:dyDescent="0.25">
      <c r="C364" s="26">
        <v>362</v>
      </c>
      <c r="D364" s="179">
        <v>44422</v>
      </c>
      <c r="E364" s="180">
        <v>2292.6999999999998</v>
      </c>
      <c r="F364" s="180">
        <v>1.25</v>
      </c>
      <c r="G364" s="181">
        <v>1</v>
      </c>
      <c r="H364" s="28">
        <f>tbTransactions[[#This Row],[Qty]]*tbTransactions[[#This Row],[Unit Cost]]*tbTransactions[[#This Row],[Exchange Rate]]</f>
        <v>2865.875</v>
      </c>
      <c r="I364" s="182" t="s">
        <v>555</v>
      </c>
      <c r="J364" s="29" t="s">
        <v>523</v>
      </c>
      <c r="K364" s="183" t="str">
        <f>IF(tbTransactions[[#This Row],[Sub-Type]]="Transfer","Neutral",IF(tbTransactions[[#This Row],[Qty]]&lt;0,"Debit",IF(tbTransactions[[#This Row],[Qty]]&gt;0,"Credit","Neutral")))</f>
        <v>Neutral</v>
      </c>
      <c r="L364" s="179" t="s">
        <v>39</v>
      </c>
      <c r="M364" s="193" t="s">
        <v>567</v>
      </c>
    </row>
    <row r="365" spans="3:13" ht="30" customHeight="1" x14ac:dyDescent="0.25">
      <c r="C365" s="26">
        <v>363</v>
      </c>
      <c r="D365" s="175">
        <v>44423</v>
      </c>
      <c r="E365" s="176">
        <v>0.122348</v>
      </c>
      <c r="F365" s="176">
        <v>0</v>
      </c>
      <c r="G365" s="177">
        <v>1</v>
      </c>
      <c r="H365" s="28">
        <f>tbTransactions[[#This Row],[Qty]]*tbTransactions[[#This Row],[Unit Cost]]*tbTransactions[[#This Row],[Exchange Rate]]</f>
        <v>0</v>
      </c>
      <c r="I365" s="189" t="s">
        <v>445</v>
      </c>
      <c r="J365" s="190" t="s">
        <v>20</v>
      </c>
      <c r="K365" s="183" t="str">
        <f>IF(tbTransactions[[#This Row],[Sub-Type]]="Transfer","Neutral",IF(tbTransactions[[#This Row],[Qty]]&lt;0,"Debit",IF(tbTransactions[[#This Row],[Qty]]&gt;0,"Credit","Neutral")))</f>
        <v>Credit</v>
      </c>
      <c r="L365" s="174" t="s">
        <v>546</v>
      </c>
      <c r="M365" s="176" t="s">
        <v>47</v>
      </c>
    </row>
    <row r="366" spans="3:13" ht="30" customHeight="1" x14ac:dyDescent="0.25">
      <c r="C366" s="26">
        <v>364</v>
      </c>
      <c r="D366" s="179">
        <v>44423</v>
      </c>
      <c r="E366" s="180">
        <v>3.4682821000000003E-2</v>
      </c>
      <c r="F366" s="180">
        <v>0</v>
      </c>
      <c r="G366" s="181">
        <v>1</v>
      </c>
      <c r="H366" s="28">
        <f>tbTransactions[[#This Row],[Qty]]*tbTransactions[[#This Row],[Unit Cost]]*tbTransactions[[#This Row],[Exchange Rate]]</f>
        <v>0</v>
      </c>
      <c r="I366" s="100" t="s">
        <v>539</v>
      </c>
      <c r="J366" s="29" t="s">
        <v>22</v>
      </c>
      <c r="K366" s="183" t="str">
        <f>IF(tbTransactions[[#This Row],[Sub-Type]]="Transfer","Neutral",IF(tbTransactions[[#This Row],[Qty]]&lt;0,"Debit",IF(tbTransactions[[#This Row],[Qty]]&gt;0,"Credit","Neutral")))</f>
        <v>Credit</v>
      </c>
      <c r="L366" s="174" t="s">
        <v>546</v>
      </c>
      <c r="M366" s="180" t="s">
        <v>481</v>
      </c>
    </row>
    <row r="367" spans="3:13" ht="30" customHeight="1" x14ac:dyDescent="0.25">
      <c r="C367" s="26">
        <v>365</v>
      </c>
      <c r="D367" s="179">
        <v>44424</v>
      </c>
      <c r="E367" s="180">
        <v>-1.5685000000000001E-2</v>
      </c>
      <c r="F367" s="180">
        <v>3965</v>
      </c>
      <c r="G367" s="181">
        <v>1</v>
      </c>
      <c r="H367" s="28">
        <f>tbTransactions[[#This Row],[Qty]]*tbTransactions[[#This Row],[Unit Cost]]*tbTransactions[[#This Row],[Exchange Rate]]</f>
        <v>-62.191025000000003</v>
      </c>
      <c r="I367" s="182" t="s">
        <v>537</v>
      </c>
      <c r="J367" s="29" t="s">
        <v>24</v>
      </c>
      <c r="K367" s="183" t="str">
        <f>IF(tbTransactions[[#This Row],[Sub-Type]]="Transfer","Neutral",IF(tbTransactions[[#This Row],[Qty]]&lt;0,"Debit",IF(tbTransactions[[#This Row],[Qty]]&gt;0,"Credit","Neutral")))</f>
        <v>Debit</v>
      </c>
      <c r="L367" s="42" t="s">
        <v>14</v>
      </c>
      <c r="M367" s="180" t="s">
        <v>557</v>
      </c>
    </row>
    <row r="368" spans="3:13" ht="30" customHeight="1" x14ac:dyDescent="0.25">
      <c r="C368" s="26">
        <v>366</v>
      </c>
      <c r="D368" s="27">
        <v>44424</v>
      </c>
      <c r="E368" s="23">
        <v>3.0916310999999998E-2</v>
      </c>
      <c r="F368" s="23">
        <v>0</v>
      </c>
      <c r="G368" s="24">
        <v>1</v>
      </c>
      <c r="H368" s="28">
        <f>tbTransactions[[#This Row],[Qty]]*tbTransactions[[#This Row],[Unit Cost]]*tbTransactions[[#This Row],[Exchange Rate]]</f>
        <v>0</v>
      </c>
      <c r="I368" s="100" t="s">
        <v>539</v>
      </c>
      <c r="J368" s="29" t="s">
        <v>22</v>
      </c>
      <c r="K368" s="183" t="str">
        <f>IF(tbTransactions[[#This Row],[Sub-Type]]="Transfer","Neutral",IF(tbTransactions[[#This Row],[Qty]]&lt;0,"Debit",IF(tbTransactions[[#This Row],[Qty]]&gt;0,"Credit","Neutral")))</f>
        <v>Credit</v>
      </c>
      <c r="L368" s="174" t="s">
        <v>546</v>
      </c>
      <c r="M368" s="180" t="s">
        <v>481</v>
      </c>
    </row>
    <row r="369" spans="3:13" ht="30" customHeight="1" x14ac:dyDescent="0.25">
      <c r="C369" s="26">
        <v>367</v>
      </c>
      <c r="D369" s="27">
        <v>44425</v>
      </c>
      <c r="E369" s="23">
        <v>3.2739729299999999E-2</v>
      </c>
      <c r="F369" s="23">
        <v>0</v>
      </c>
      <c r="G369" s="24">
        <v>1</v>
      </c>
      <c r="H369" s="28">
        <f>tbTransactions[[#This Row],[Qty]]*tbTransactions[[#This Row],[Unit Cost]]*tbTransactions[[#This Row],[Exchange Rate]]</f>
        <v>0</v>
      </c>
      <c r="I369" s="100" t="s">
        <v>539</v>
      </c>
      <c r="J369" s="29" t="s">
        <v>22</v>
      </c>
      <c r="K369" s="183" t="str">
        <f>IF(tbTransactions[[#This Row],[Sub-Type]]="Transfer","Neutral",IF(tbTransactions[[#This Row],[Qty]]&lt;0,"Debit",IF(tbTransactions[[#This Row],[Qty]]&gt;0,"Credit","Neutral")))</f>
        <v>Credit</v>
      </c>
      <c r="L369" s="174" t="s">
        <v>546</v>
      </c>
      <c r="M369" s="180" t="s">
        <v>481</v>
      </c>
    </row>
    <row r="370" spans="3:13" ht="30" customHeight="1" x14ac:dyDescent="0.25">
      <c r="C370" s="26">
        <v>368</v>
      </c>
      <c r="D370" s="27">
        <v>44426</v>
      </c>
      <c r="E370" s="23">
        <v>-120.62353004000001</v>
      </c>
      <c r="F370" s="23">
        <v>1</v>
      </c>
      <c r="G370" s="24">
        <v>1</v>
      </c>
      <c r="H370" s="28">
        <f>tbTransactions[[#This Row],[Qty]]*tbTransactions[[#This Row],[Unit Cost]]*tbTransactions[[#This Row],[Exchange Rate]]</f>
        <v>-120.62353004000001</v>
      </c>
      <c r="I370" s="186" t="s">
        <v>559</v>
      </c>
      <c r="J370" s="187" t="s">
        <v>455</v>
      </c>
      <c r="K370" s="183" t="str">
        <f>IF(tbTransactions[[#This Row],[Sub-Type]]="Transfer","Neutral",IF(tbTransactions[[#This Row],[Qty]]&lt;0,"Debit",IF(tbTransactions[[#This Row],[Qty]]&gt;0,"Credit","Neutral")))</f>
        <v>Debit</v>
      </c>
      <c r="L370" s="187" t="s">
        <v>36</v>
      </c>
      <c r="M370" s="41"/>
    </row>
    <row r="371" spans="3:13" ht="30" customHeight="1" x14ac:dyDescent="0.25">
      <c r="C371" s="26">
        <v>369</v>
      </c>
      <c r="D371" s="27">
        <v>44426</v>
      </c>
      <c r="E371" s="23">
        <v>0.29299999999999998</v>
      </c>
      <c r="F371" s="23">
        <v>1</v>
      </c>
      <c r="G371" s="24">
        <v>1</v>
      </c>
      <c r="H371" s="28">
        <f>tbTransactions[[#This Row],[Qty]]*tbTransactions[[#This Row],[Unit Cost]]*tbTransactions[[#This Row],[Exchange Rate]]</f>
        <v>0.29299999999999998</v>
      </c>
      <c r="I371" s="182" t="s">
        <v>537</v>
      </c>
      <c r="J371" s="187" t="s">
        <v>455</v>
      </c>
      <c r="K371" s="183" t="str">
        <f>IF(tbTransactions[[#This Row],[Sub-Type]]="Transfer","Neutral",IF(tbTransactions[[#This Row],[Qty]]&lt;0,"Debit",IF(tbTransactions[[#This Row],[Qty]]&gt;0,"Credit","Neutral")))</f>
        <v>Credit</v>
      </c>
      <c r="L371" s="187" t="s">
        <v>36</v>
      </c>
      <c r="M371" s="41"/>
    </row>
    <row r="372" spans="3:13" ht="30" customHeight="1" x14ac:dyDescent="0.25">
      <c r="C372" s="26">
        <v>370</v>
      </c>
      <c r="D372" s="27">
        <v>44426</v>
      </c>
      <c r="E372" s="23">
        <v>2.96334639E-2</v>
      </c>
      <c r="F372" s="23">
        <v>0</v>
      </c>
      <c r="G372" s="24">
        <v>1</v>
      </c>
      <c r="H372" s="28">
        <f>tbTransactions[[#This Row],[Qty]]*tbTransactions[[#This Row],[Unit Cost]]*tbTransactions[[#This Row],[Exchange Rate]]</f>
        <v>0</v>
      </c>
      <c r="I372" s="100" t="s">
        <v>539</v>
      </c>
      <c r="J372" s="29" t="s">
        <v>22</v>
      </c>
      <c r="K372" s="183" t="str">
        <f>IF(tbTransactions[[#This Row],[Sub-Type]]="Transfer","Neutral",IF(tbTransactions[[#This Row],[Qty]]&lt;0,"Debit",IF(tbTransactions[[#This Row],[Qty]]&gt;0,"Credit","Neutral")))</f>
        <v>Credit</v>
      </c>
      <c r="L372" s="174" t="s">
        <v>546</v>
      </c>
      <c r="M372" s="180" t="s">
        <v>481</v>
      </c>
    </row>
    <row r="373" spans="3:13" ht="30" customHeight="1" x14ac:dyDescent="0.25">
      <c r="C373" s="26">
        <v>371</v>
      </c>
      <c r="D373" s="27">
        <v>44426</v>
      </c>
      <c r="E373" s="23">
        <v>3.9920239999999998</v>
      </c>
      <c r="F373" s="23">
        <v>0</v>
      </c>
      <c r="G373" s="24">
        <v>1</v>
      </c>
      <c r="H373" s="28">
        <f>tbTransactions[[#This Row],[Qty]]*tbTransactions[[#This Row],[Unit Cost]]*tbTransactions[[#This Row],[Exchange Rate]]</f>
        <v>0</v>
      </c>
      <c r="I373" s="189" t="s">
        <v>534</v>
      </c>
      <c r="J373" s="190" t="s">
        <v>19</v>
      </c>
      <c r="K373" s="183" t="str">
        <f>IF(tbTransactions[[#This Row],[Sub-Type]]="Transfer","Neutral",IF(tbTransactions[[#This Row],[Qty]]&lt;0,"Debit",IF(tbTransactions[[#This Row],[Qty]]&gt;0,"Credit","Neutral")))</f>
        <v>Credit</v>
      </c>
      <c r="L373" s="174" t="s">
        <v>546</v>
      </c>
      <c r="M373" s="168" t="s">
        <v>441</v>
      </c>
    </row>
    <row r="374" spans="3:13" ht="30" customHeight="1" x14ac:dyDescent="0.25">
      <c r="C374" s="26">
        <v>372</v>
      </c>
      <c r="D374" s="27">
        <v>44426</v>
      </c>
      <c r="E374" s="23">
        <v>-1.0281999999999999E-2</v>
      </c>
      <c r="F374" s="23">
        <v>3805</v>
      </c>
      <c r="G374" s="24">
        <v>1</v>
      </c>
      <c r="H374" s="28">
        <f>tbTransactions[[#This Row],[Qty]]*tbTransactions[[#This Row],[Unit Cost]]*tbTransactions[[#This Row],[Exchange Rate]]</f>
        <v>-39.123010000000001</v>
      </c>
      <c r="I374" s="189" t="s">
        <v>537</v>
      </c>
      <c r="J374" s="190" t="s">
        <v>24</v>
      </c>
      <c r="K374" s="183" t="str">
        <f>IF(tbTransactions[[#This Row],[Sub-Type]]="Transfer","Neutral",IF(tbTransactions[[#This Row],[Qty]]&lt;0,"Debit",IF(tbTransactions[[#This Row],[Qty]]&gt;0,"Credit","Neutral")))</f>
        <v>Debit</v>
      </c>
      <c r="L374" s="190" t="s">
        <v>14</v>
      </c>
      <c r="M374" s="191" t="s">
        <v>561</v>
      </c>
    </row>
    <row r="375" spans="3:13" ht="30" customHeight="1" x14ac:dyDescent="0.25">
      <c r="C375" s="26">
        <v>373</v>
      </c>
      <c r="D375" s="27">
        <v>44426</v>
      </c>
      <c r="E375" s="23">
        <v>-195.93</v>
      </c>
      <c r="F375" s="23">
        <v>1</v>
      </c>
      <c r="G375" s="24">
        <v>1</v>
      </c>
      <c r="H375" s="28">
        <f>tbTransactions[[#This Row],[Qty]]*tbTransactions[[#This Row],[Unit Cost]]*tbTransactions[[#This Row],[Exchange Rate]]</f>
        <v>-195.93</v>
      </c>
      <c r="I375" s="189" t="s">
        <v>537</v>
      </c>
      <c r="J375" s="190" t="s">
        <v>437</v>
      </c>
      <c r="K375" s="183" t="str">
        <f>IF(tbTransactions[[#This Row],[Sub-Type]]="Transfer","Neutral",IF(tbTransactions[[#This Row],[Qty]]&lt;0,"Debit",IF(tbTransactions[[#This Row],[Qty]]&gt;0,"Credit","Neutral")))</f>
        <v>Neutral</v>
      </c>
      <c r="L375" s="190" t="s">
        <v>39</v>
      </c>
      <c r="M375" s="191" t="s">
        <v>561</v>
      </c>
    </row>
    <row r="376" spans="3:13" ht="30" customHeight="1" x14ac:dyDescent="0.25">
      <c r="C376" s="26">
        <v>374</v>
      </c>
      <c r="D376" s="27">
        <v>44426</v>
      </c>
      <c r="E376" s="23">
        <v>195.93</v>
      </c>
      <c r="F376" s="23">
        <v>1</v>
      </c>
      <c r="G376" s="24">
        <v>1</v>
      </c>
      <c r="H376" s="28">
        <f>tbTransactions[[#This Row],[Qty]]*tbTransactions[[#This Row],[Unit Cost]]*tbTransactions[[#This Row],[Exchange Rate]]</f>
        <v>195.93</v>
      </c>
      <c r="I376" s="189" t="s">
        <v>562</v>
      </c>
      <c r="J376" s="190" t="s">
        <v>437</v>
      </c>
      <c r="K376" s="183" t="str">
        <f>IF(tbTransactions[[#This Row],[Sub-Type]]="Transfer","Neutral",IF(tbTransactions[[#This Row],[Qty]]&lt;0,"Debit",IF(tbTransactions[[#This Row],[Qty]]&gt;0,"Credit","Neutral")))</f>
        <v>Neutral</v>
      </c>
      <c r="L376" s="190" t="s">
        <v>39</v>
      </c>
      <c r="M376" s="191" t="s">
        <v>561</v>
      </c>
    </row>
    <row r="377" spans="3:13" ht="30" customHeight="1" x14ac:dyDescent="0.25">
      <c r="C377" s="26">
        <v>375</v>
      </c>
      <c r="D377" s="27">
        <v>44426</v>
      </c>
      <c r="E377" s="23">
        <f>195.93-191.51552437</f>
        <v>4.4144756299999983</v>
      </c>
      <c r="F377" s="23">
        <v>2.1598782247919583</v>
      </c>
      <c r="G377" s="24">
        <v>1</v>
      </c>
      <c r="H377" s="28">
        <f>tbTransactions[[#This Row],[Qty]]*tbTransactions[[#This Row],[Unit Cost]]*tbTransactions[[#This Row],[Exchange Rate]]</f>
        <v>9.5347297871117576</v>
      </c>
      <c r="I377" s="189" t="s">
        <v>562</v>
      </c>
      <c r="J377" s="190" t="s">
        <v>437</v>
      </c>
      <c r="K377" s="183" t="str">
        <f>IF(tbTransactions[[#This Row],[Sub-Type]]="Transfer","Neutral",IF(tbTransactions[[#This Row],[Qty]]&lt;0,"Debit",IF(tbTransactions[[#This Row],[Qty]]&gt;0,"Credit","Neutral")))</f>
        <v>Credit</v>
      </c>
      <c r="L377" s="190" t="s">
        <v>36</v>
      </c>
      <c r="M377" s="41"/>
    </row>
    <row r="378" spans="3:13" ht="30" customHeight="1" x14ac:dyDescent="0.25">
      <c r="C378" s="26">
        <v>376</v>
      </c>
      <c r="D378" s="27">
        <v>44426</v>
      </c>
      <c r="E378" s="23">
        <v>-8.7432289999999996E-2</v>
      </c>
      <c r="F378" s="23">
        <v>32.270000000000003</v>
      </c>
      <c r="G378" s="24">
        <v>1</v>
      </c>
      <c r="H378" s="28">
        <f>tbTransactions[[#This Row],[Qty]]*tbTransactions[[#This Row],[Unit Cost]]*tbTransactions[[#This Row],[Exchange Rate]]</f>
        <v>-2.8214399983000003</v>
      </c>
      <c r="I378" s="189" t="s">
        <v>430</v>
      </c>
      <c r="J378" s="190" t="s">
        <v>26</v>
      </c>
      <c r="K378" s="183" t="str">
        <f>IF(tbTransactions[[#This Row],[Sub-Type]]="Transfer","Neutral",IF(tbTransactions[[#This Row],[Qty]]&lt;0,"Debit",IF(tbTransactions[[#This Row],[Qty]]&gt;0,"Credit","Neutral")))</f>
        <v>Debit</v>
      </c>
      <c r="L378" s="190" t="s">
        <v>14</v>
      </c>
      <c r="M378" s="191" t="s">
        <v>563</v>
      </c>
    </row>
    <row r="379" spans="3:13" ht="30" customHeight="1" x14ac:dyDescent="0.25">
      <c r="C379" s="26">
        <v>377</v>
      </c>
      <c r="D379" s="27">
        <v>44426</v>
      </c>
      <c r="E379" s="23">
        <v>-12.725975800000001</v>
      </c>
      <c r="F379" s="23">
        <v>32.270000000000003</v>
      </c>
      <c r="G379" s="24">
        <v>1</v>
      </c>
      <c r="H379" s="28">
        <f>tbTransactions[[#This Row],[Qty]]*tbTransactions[[#This Row],[Unit Cost]]*tbTransactions[[#This Row],[Exchange Rate]]</f>
        <v>-410.66723906600004</v>
      </c>
      <c r="I379" s="189" t="s">
        <v>430</v>
      </c>
      <c r="J379" s="190" t="s">
        <v>26</v>
      </c>
      <c r="K379" s="183" t="str">
        <f>IF(tbTransactions[[#This Row],[Sub-Type]]="Transfer","Neutral",IF(tbTransactions[[#This Row],[Qty]]&lt;0,"Debit",IF(tbTransactions[[#This Row],[Qty]]&gt;0,"Credit","Neutral")))</f>
        <v>Neutral</v>
      </c>
      <c r="L379" s="190" t="s">
        <v>39</v>
      </c>
      <c r="M379" s="191" t="s">
        <v>563</v>
      </c>
    </row>
    <row r="380" spans="3:13" ht="30" customHeight="1" x14ac:dyDescent="0.25">
      <c r="C380" s="26">
        <v>378</v>
      </c>
      <c r="D380" s="27">
        <v>44426</v>
      </c>
      <c r="E380" s="23">
        <v>12.725975800000001</v>
      </c>
      <c r="F380" s="23">
        <v>32.270000000000003</v>
      </c>
      <c r="G380" s="24">
        <v>1</v>
      </c>
      <c r="H380" s="28">
        <f>tbTransactions[[#This Row],[Qty]]*tbTransactions[[#This Row],[Unit Cost]]*tbTransactions[[#This Row],[Exchange Rate]]</f>
        <v>410.66723906600004</v>
      </c>
      <c r="I380" s="189" t="s">
        <v>430</v>
      </c>
      <c r="J380" s="190" t="s">
        <v>26</v>
      </c>
      <c r="K380" s="183" t="str">
        <f>IF(tbTransactions[[#This Row],[Sub-Type]]="Transfer","Neutral",IF(tbTransactions[[#This Row],[Qty]]&lt;0,"Debit",IF(tbTransactions[[#This Row],[Qty]]&gt;0,"Credit","Neutral")))</f>
        <v>Neutral</v>
      </c>
      <c r="L380" s="190" t="s">
        <v>39</v>
      </c>
      <c r="M380" s="191" t="s">
        <v>563</v>
      </c>
    </row>
    <row r="381" spans="3:13" ht="30" customHeight="1" x14ac:dyDescent="0.25">
      <c r="C381" s="26">
        <v>379</v>
      </c>
      <c r="D381" s="27">
        <v>44426</v>
      </c>
      <c r="E381" s="23">
        <v>-96.16</v>
      </c>
      <c r="F381" s="23">
        <v>1</v>
      </c>
      <c r="G381" s="24">
        <v>1</v>
      </c>
      <c r="H381" s="28">
        <f>tbTransactions[[#This Row],[Qty]]*tbTransactions[[#This Row],[Unit Cost]]*tbTransactions[[#This Row],[Exchange Rate]]</f>
        <v>-96.16</v>
      </c>
      <c r="I381" s="189" t="s">
        <v>526</v>
      </c>
      <c r="J381" s="190" t="s">
        <v>418</v>
      </c>
      <c r="K381" s="183" t="str">
        <f>IF(tbTransactions[[#This Row],[Sub-Type]]="Transfer","Neutral",IF(tbTransactions[[#This Row],[Qty]]&lt;0,"Debit",IF(tbTransactions[[#This Row],[Qty]]&gt;0,"Credit","Neutral")))</f>
        <v>Debit</v>
      </c>
      <c r="L381" s="161" t="s">
        <v>529</v>
      </c>
      <c r="M381" s="191" t="s">
        <v>564</v>
      </c>
    </row>
    <row r="382" spans="3:13" ht="30" customHeight="1" x14ac:dyDescent="0.25">
      <c r="C382" s="26">
        <v>380</v>
      </c>
      <c r="D382" s="27">
        <v>44426</v>
      </c>
      <c r="E382" s="23">
        <v>-3.84</v>
      </c>
      <c r="F382" s="23">
        <v>1</v>
      </c>
      <c r="G382" s="24">
        <v>1</v>
      </c>
      <c r="H382" s="28">
        <f>tbTransactions[[#This Row],[Qty]]*tbTransactions[[#This Row],[Unit Cost]]*tbTransactions[[#This Row],[Exchange Rate]]</f>
        <v>-3.84</v>
      </c>
      <c r="I382" s="189" t="s">
        <v>526</v>
      </c>
      <c r="J382" s="190" t="s">
        <v>418</v>
      </c>
      <c r="K382" s="183" t="str">
        <f>IF(tbTransactions[[#This Row],[Sub-Type]]="Transfer","Neutral",IF(tbTransactions[[#This Row],[Qty]]&lt;0,"Debit",IF(tbTransactions[[#This Row],[Qty]]&gt;0,"Credit","Neutral")))</f>
        <v>Debit</v>
      </c>
      <c r="L382" s="190" t="s">
        <v>14</v>
      </c>
      <c r="M382" s="191" t="s">
        <v>564</v>
      </c>
    </row>
    <row r="383" spans="3:13" ht="30" customHeight="1" x14ac:dyDescent="0.25">
      <c r="C383" s="26">
        <v>381</v>
      </c>
      <c r="D383" s="27">
        <v>44426</v>
      </c>
      <c r="E383" s="23">
        <v>2.4875649999999999E-2</v>
      </c>
      <c r="F383" s="23">
        <v>3865.63</v>
      </c>
      <c r="G383" s="24">
        <v>1</v>
      </c>
      <c r="H383" s="28">
        <f>tbTransactions[[#This Row],[Qty]]*tbTransactions[[#This Row],[Unit Cost]]*tbTransactions[[#This Row],[Exchange Rate]]</f>
        <v>96.160058909499995</v>
      </c>
      <c r="I383" s="189" t="s">
        <v>430</v>
      </c>
      <c r="J383" s="190" t="s">
        <v>24</v>
      </c>
      <c r="K383" s="183" t="str">
        <f>IF(tbTransactions[[#This Row],[Sub-Type]]="Transfer","Neutral",IF(tbTransactions[[#This Row],[Qty]]&lt;0,"Debit",IF(tbTransactions[[#This Row],[Qty]]&gt;0,"Credit","Neutral")))</f>
        <v>Credit</v>
      </c>
      <c r="L383" s="190" t="s">
        <v>532</v>
      </c>
      <c r="M383" s="191" t="s">
        <v>564</v>
      </c>
    </row>
    <row r="384" spans="3:13" ht="30" customHeight="1" x14ac:dyDescent="0.25">
      <c r="C384" s="26">
        <v>382</v>
      </c>
      <c r="D384" s="27">
        <v>44426</v>
      </c>
      <c r="E384" s="23">
        <v>-7.7700000000000002E-4</v>
      </c>
      <c r="F384" s="23">
        <v>3818</v>
      </c>
      <c r="G384" s="24">
        <v>1</v>
      </c>
      <c r="H384" s="28">
        <f>tbTransactions[[#This Row],[Qty]]*tbTransactions[[#This Row],[Unit Cost]]*tbTransactions[[#This Row],[Exchange Rate]]</f>
        <v>-2.9665859999999999</v>
      </c>
      <c r="I384" s="189" t="s">
        <v>445</v>
      </c>
      <c r="J384" s="190" t="s">
        <v>24</v>
      </c>
      <c r="K384" s="183" t="str">
        <f>IF(tbTransactions[[#This Row],[Sub-Type]]="Transfer","Neutral",IF(tbTransactions[[#This Row],[Qty]]&lt;0,"Debit",IF(tbTransactions[[#This Row],[Qty]]&gt;0,"Credit","Neutral")))</f>
        <v>Debit</v>
      </c>
      <c r="L384" s="190" t="s">
        <v>14</v>
      </c>
      <c r="M384" s="191" t="s">
        <v>425</v>
      </c>
    </row>
    <row r="385" spans="3:13" ht="30" customHeight="1" x14ac:dyDescent="0.25">
      <c r="C385" s="26">
        <v>383</v>
      </c>
      <c r="D385" s="27">
        <v>44426</v>
      </c>
      <c r="E385" s="191">
        <v>-2.4875649999999999E-2</v>
      </c>
      <c r="F385" s="23">
        <v>3834.6736000000001</v>
      </c>
      <c r="G385" s="24">
        <v>1</v>
      </c>
      <c r="H385" s="28">
        <f>tbTransactions[[#This Row],[Qty]]*tbTransactions[[#This Row],[Unit Cost]]*tbTransactions[[#This Row],[Exchange Rate]]</f>
        <v>-95.389998337839998</v>
      </c>
      <c r="I385" s="189" t="s">
        <v>430</v>
      </c>
      <c r="J385" s="190" t="s">
        <v>24</v>
      </c>
      <c r="K385" s="183" t="str">
        <f>IF(tbTransactions[[#This Row],[Sub-Type]]="Transfer","Neutral",IF(tbTransactions[[#This Row],[Qty]]&lt;0,"Debit",IF(tbTransactions[[#This Row],[Qty]]&gt;0,"Credit","Neutral")))</f>
        <v>Neutral</v>
      </c>
      <c r="L385" s="190" t="s">
        <v>39</v>
      </c>
      <c r="M385" s="191" t="s">
        <v>425</v>
      </c>
    </row>
    <row r="386" spans="3:13" ht="30" customHeight="1" x14ac:dyDescent="0.25">
      <c r="C386" s="26">
        <v>384</v>
      </c>
      <c r="D386" s="27">
        <v>44426</v>
      </c>
      <c r="E386" s="191">
        <v>2.4875649999999999E-2</v>
      </c>
      <c r="F386" s="23">
        <v>3834.6736000000001</v>
      </c>
      <c r="G386" s="24">
        <v>1</v>
      </c>
      <c r="H386" s="28">
        <f>tbTransactions[[#This Row],[Qty]]*tbTransactions[[#This Row],[Unit Cost]]*tbTransactions[[#This Row],[Exchange Rate]]</f>
        <v>95.389998337839998</v>
      </c>
      <c r="I386" s="189" t="s">
        <v>445</v>
      </c>
      <c r="J386" s="190" t="s">
        <v>24</v>
      </c>
      <c r="K386" s="183" t="str">
        <f>IF(tbTransactions[[#This Row],[Sub-Type]]="Transfer","Neutral",IF(tbTransactions[[#This Row],[Qty]]&lt;0,"Debit",IF(tbTransactions[[#This Row],[Qty]]&gt;0,"Credit","Neutral")))</f>
        <v>Neutral</v>
      </c>
      <c r="L386" s="190" t="s">
        <v>39</v>
      </c>
      <c r="M386" s="191" t="s">
        <v>425</v>
      </c>
    </row>
    <row r="387" spans="3:13" ht="30" customHeight="1" x14ac:dyDescent="0.25">
      <c r="C387" s="26">
        <v>385</v>
      </c>
      <c r="D387" s="27">
        <v>44426</v>
      </c>
      <c r="E387" s="23">
        <v>50.865945830000001</v>
      </c>
      <c r="F387" s="23">
        <v>31.92</v>
      </c>
      <c r="G387" s="24">
        <v>1</v>
      </c>
      <c r="H387" s="28">
        <f>tbTransactions[[#This Row],[Qty]]*tbTransactions[[#This Row],[Unit Cost]]*tbTransactions[[#This Row],[Exchange Rate]]</f>
        <v>1623.6409908936</v>
      </c>
      <c r="I387" s="189" t="s">
        <v>537</v>
      </c>
      <c r="J387" s="194" t="s">
        <v>26</v>
      </c>
      <c r="K387" s="183" t="str">
        <f>IF(tbTransactions[[#This Row],[Sub-Type]]="Transfer","Neutral",IF(tbTransactions[[#This Row],[Qty]]&lt;0,"Debit",IF(tbTransactions[[#This Row],[Qty]]&gt;0,"Credit","Neutral")))</f>
        <v>Neutral</v>
      </c>
      <c r="L387" s="190" t="s">
        <v>39</v>
      </c>
      <c r="M387" s="191" t="s">
        <v>563</v>
      </c>
    </row>
    <row r="388" spans="3:13" ht="30" customHeight="1" x14ac:dyDescent="0.25">
      <c r="C388" s="26">
        <v>386</v>
      </c>
      <c r="D388" s="27">
        <v>44426</v>
      </c>
      <c r="E388" s="23">
        <v>-50.865945830000001</v>
      </c>
      <c r="F388" s="23">
        <v>31.92</v>
      </c>
      <c r="G388" s="24">
        <v>1</v>
      </c>
      <c r="H388" s="28">
        <f>tbTransactions[[#This Row],[Qty]]*tbTransactions[[#This Row],[Unit Cost]]*tbTransactions[[#This Row],[Exchange Rate]]</f>
        <v>-1623.6409908936</v>
      </c>
      <c r="I388" s="189" t="s">
        <v>445</v>
      </c>
      <c r="J388" s="194" t="s">
        <v>26</v>
      </c>
      <c r="K388" s="183" t="str">
        <f>IF(tbTransactions[[#This Row],[Sub-Type]]="Transfer","Neutral",IF(tbTransactions[[#This Row],[Qty]]&lt;0,"Debit",IF(tbTransactions[[#This Row],[Qty]]&gt;0,"Credit","Neutral")))</f>
        <v>Neutral</v>
      </c>
      <c r="L388" s="190" t="s">
        <v>39</v>
      </c>
      <c r="M388" s="191" t="s">
        <v>563</v>
      </c>
    </row>
    <row r="389" spans="3:13" ht="30" customHeight="1" x14ac:dyDescent="0.25">
      <c r="C389" s="26">
        <v>387</v>
      </c>
      <c r="D389" s="27">
        <v>44426</v>
      </c>
      <c r="E389" s="23">
        <v>-7.4830000000000001E-3</v>
      </c>
      <c r="F389" s="23">
        <v>3765</v>
      </c>
      <c r="G389" s="24">
        <v>1</v>
      </c>
      <c r="H389" s="28">
        <f>tbTransactions[[#This Row],[Qty]]*tbTransactions[[#This Row],[Unit Cost]]*tbTransactions[[#This Row],[Exchange Rate]]</f>
        <v>-28.173494999999999</v>
      </c>
      <c r="I389" s="192" t="s">
        <v>537</v>
      </c>
      <c r="J389" s="194" t="s">
        <v>24</v>
      </c>
      <c r="K389" s="183" t="str">
        <f>IF(tbTransactions[[#This Row],[Sub-Type]]="Transfer","Neutral",IF(tbTransactions[[#This Row],[Qty]]&lt;0,"Debit",IF(tbTransactions[[#This Row],[Qty]]&gt;0,"Credit","Neutral")))</f>
        <v>Debit</v>
      </c>
      <c r="L389" s="190" t="s">
        <v>14</v>
      </c>
      <c r="M389" s="193" t="s">
        <v>566</v>
      </c>
    </row>
    <row r="390" spans="3:13" ht="30" customHeight="1" x14ac:dyDescent="0.25">
      <c r="C390" s="26">
        <v>388</v>
      </c>
      <c r="D390" s="27">
        <v>44426</v>
      </c>
      <c r="E390" s="23">
        <v>-1.57377727E-3</v>
      </c>
      <c r="F390" s="23">
        <v>3765</v>
      </c>
      <c r="G390" s="24">
        <v>1</v>
      </c>
      <c r="H390" s="28">
        <f>tbTransactions[[#This Row],[Qty]]*tbTransactions[[#This Row],[Unit Cost]]*tbTransactions[[#This Row],[Exchange Rate]]</f>
        <v>-5.9252714215499998</v>
      </c>
      <c r="I390" s="192" t="s">
        <v>537</v>
      </c>
      <c r="J390" s="194" t="s">
        <v>24</v>
      </c>
      <c r="K390" s="183" t="str">
        <f>IF(tbTransactions[[#This Row],[Sub-Type]]="Transfer","Neutral",IF(tbTransactions[[#This Row],[Qty]]&lt;0,"Debit",IF(tbTransactions[[#This Row],[Qty]]&gt;0,"Credit","Neutral")))</f>
        <v>Debit</v>
      </c>
      <c r="L390" s="190" t="s">
        <v>14</v>
      </c>
      <c r="M390" s="193" t="s">
        <v>565</v>
      </c>
    </row>
    <row r="391" spans="3:13" ht="30" customHeight="1" x14ac:dyDescent="0.25">
      <c r="C391" s="26">
        <v>389</v>
      </c>
      <c r="D391" s="27">
        <v>44426</v>
      </c>
      <c r="E391" s="23">
        <v>-63.59</v>
      </c>
      <c r="F391" s="23">
        <v>31.59</v>
      </c>
      <c r="G391" s="24">
        <v>1</v>
      </c>
      <c r="H391" s="28">
        <f>tbTransactions[[#This Row],[Qty]]*tbTransactions[[#This Row],[Unit Cost]]*tbTransactions[[#This Row],[Exchange Rate]]</f>
        <v>-2008.8081000000002</v>
      </c>
      <c r="I391" s="192" t="s">
        <v>537</v>
      </c>
      <c r="J391" s="195" t="s">
        <v>26</v>
      </c>
      <c r="K391" s="183" t="str">
        <f>IF(tbTransactions[[#This Row],[Sub-Type]]="Transfer","Neutral",IF(tbTransactions[[#This Row],[Qty]]&lt;0,"Debit",IF(tbTransactions[[#This Row],[Qty]]&gt;0,"Credit","Neutral")))</f>
        <v>Neutral</v>
      </c>
      <c r="L391" s="194" t="s">
        <v>39</v>
      </c>
      <c r="M391" s="193" t="s">
        <v>566</v>
      </c>
    </row>
    <row r="392" spans="3:13" ht="30" customHeight="1" x14ac:dyDescent="0.25">
      <c r="C392" s="26">
        <v>390</v>
      </c>
      <c r="D392" s="27">
        <v>44426</v>
      </c>
      <c r="E392" s="23">
        <v>63.59</v>
      </c>
      <c r="F392" s="23">
        <v>31.59</v>
      </c>
      <c r="G392" s="24">
        <v>1</v>
      </c>
      <c r="H392" s="28">
        <f>tbTransactions[[#This Row],[Qty]]*tbTransactions[[#This Row],[Unit Cost]]*tbTransactions[[#This Row],[Exchange Rate]]</f>
        <v>2008.8081000000002</v>
      </c>
      <c r="I392" s="192" t="s">
        <v>509</v>
      </c>
      <c r="J392" s="195" t="s">
        <v>26</v>
      </c>
      <c r="K392" s="183" t="str">
        <f>IF(tbTransactions[[#This Row],[Sub-Type]]="Transfer","Neutral",IF(tbTransactions[[#This Row],[Qty]]&lt;0,"Debit",IF(tbTransactions[[#This Row],[Qty]]&gt;0,"Credit","Neutral")))</f>
        <v>Neutral</v>
      </c>
      <c r="L392" s="194" t="s">
        <v>39</v>
      </c>
      <c r="M392" s="193" t="s">
        <v>566</v>
      </c>
    </row>
    <row r="393" spans="3:13" ht="30" customHeight="1" x14ac:dyDescent="0.25">
      <c r="C393" s="26">
        <v>391</v>
      </c>
      <c r="D393" s="27">
        <v>44426</v>
      </c>
      <c r="E393" s="23">
        <v>1380</v>
      </c>
      <c r="F393" s="23">
        <v>7.38</v>
      </c>
      <c r="G393" s="24">
        <v>1</v>
      </c>
      <c r="H393" s="28">
        <f>tbTransactions[[#This Row],[Qty]]*tbTransactions[[#This Row],[Unit Cost]]*tbTransactions[[#This Row],[Exchange Rate]]</f>
        <v>10184.4</v>
      </c>
      <c r="I393" s="552" t="s">
        <v>762</v>
      </c>
      <c r="J393" s="216" t="s">
        <v>54</v>
      </c>
      <c r="K393" s="183" t="str">
        <f>IF(tbTransactions[[#This Row],[Sub-Type]]="Transfer","Neutral",IF(tbTransactions[[#This Row],[Qty]]&lt;0,"Debit",IF(tbTransactions[[#This Row],[Qty]]&gt;0,"Credit","Neutral")))</f>
        <v>Credit</v>
      </c>
      <c r="L393" s="174" t="s">
        <v>547</v>
      </c>
      <c r="M393" s="218" t="s">
        <v>582</v>
      </c>
    </row>
    <row r="394" spans="3:13" ht="30" customHeight="1" x14ac:dyDescent="0.25">
      <c r="C394" s="26">
        <v>392</v>
      </c>
      <c r="D394" s="27">
        <v>44426</v>
      </c>
      <c r="E394" s="23">
        <v>-10184.4</v>
      </c>
      <c r="F394" s="23">
        <v>1</v>
      </c>
      <c r="G394" s="24">
        <v>1</v>
      </c>
      <c r="H394" s="28">
        <f>tbTransactions[[#This Row],[Qty]]*tbTransactions[[#This Row],[Unit Cost]]*tbTransactions[[#This Row],[Exchange Rate]]</f>
        <v>-10184.4</v>
      </c>
      <c r="I394" s="552" t="s">
        <v>762</v>
      </c>
      <c r="J394" s="216" t="s">
        <v>418</v>
      </c>
      <c r="K394" s="183" t="str">
        <f>IF(tbTransactions[[#This Row],[Sub-Type]]="Transfer","Neutral",IF(tbTransactions[[#This Row],[Qty]]&lt;0,"Debit",IF(tbTransactions[[#This Row],[Qty]]&gt;0,"Credit","Neutral")))</f>
        <v>Debit</v>
      </c>
      <c r="L394" s="216" t="s">
        <v>550</v>
      </c>
      <c r="M394" s="218" t="s">
        <v>582</v>
      </c>
    </row>
    <row r="395" spans="3:13" ht="30" customHeight="1" x14ac:dyDescent="0.25">
      <c r="C395" s="26">
        <v>393</v>
      </c>
      <c r="D395" s="27">
        <v>44427</v>
      </c>
      <c r="E395" s="23">
        <f>11.2384-12.55799201</f>
        <v>-1.3195920099999991</v>
      </c>
      <c r="F395" s="23">
        <v>2935.4900252343964</v>
      </c>
      <c r="G395" s="24">
        <v>1</v>
      </c>
      <c r="H395" s="28">
        <f>tbTransactions[[#This Row],[Qty]]*tbTransactions[[#This Row],[Unit Cost]]*tbTransactions[[#This Row],[Exchange Rate]]</f>
        <v>-3873.6491827340055</v>
      </c>
      <c r="I395" s="196" t="s">
        <v>537</v>
      </c>
      <c r="J395" s="195" t="s">
        <v>24</v>
      </c>
      <c r="K395" s="183" t="str">
        <f>IF(tbTransactions[[#This Row],[Sub-Type]]="Transfer","Neutral",IF(tbTransactions[[#This Row],[Qty]]&lt;0,"Debit",IF(tbTransactions[[#This Row],[Qty]]&gt;0,"Credit","Neutral")))</f>
        <v>Debit</v>
      </c>
      <c r="L395" s="195" t="s">
        <v>36</v>
      </c>
      <c r="M395" s="41"/>
    </row>
    <row r="396" spans="3:13" ht="30" customHeight="1" x14ac:dyDescent="0.25">
      <c r="C396" s="26">
        <v>394</v>
      </c>
      <c r="D396" s="27">
        <v>44427</v>
      </c>
      <c r="E396" s="23">
        <v>-11</v>
      </c>
      <c r="F396" s="23">
        <v>4145</v>
      </c>
      <c r="G396" s="24">
        <v>1</v>
      </c>
      <c r="H396" s="28">
        <f>tbTransactions[[#This Row],[Qty]]*tbTransactions[[#This Row],[Unit Cost]]*tbTransactions[[#This Row],[Exchange Rate]]</f>
        <v>-45595</v>
      </c>
      <c r="I396" s="196" t="s">
        <v>537</v>
      </c>
      <c r="J396" s="195" t="s">
        <v>24</v>
      </c>
      <c r="K396" s="183" t="str">
        <f>IF(tbTransactions[[#This Row],[Sub-Type]]="Transfer","Neutral",IF(tbTransactions[[#This Row],[Qty]]&lt;0,"Debit",IF(tbTransactions[[#This Row],[Qty]]&gt;0,"Credit","Neutral")))</f>
        <v>Neutral</v>
      </c>
      <c r="L396" s="199" t="s">
        <v>39</v>
      </c>
      <c r="M396" s="198" t="s">
        <v>569</v>
      </c>
    </row>
    <row r="397" spans="3:13" ht="30" customHeight="1" x14ac:dyDescent="0.25">
      <c r="C397" s="26">
        <v>395</v>
      </c>
      <c r="D397" s="27">
        <v>44427</v>
      </c>
      <c r="E397" s="23">
        <v>11</v>
      </c>
      <c r="F397" s="23">
        <v>4145</v>
      </c>
      <c r="G397" s="24">
        <v>1</v>
      </c>
      <c r="H397" s="28">
        <f>tbTransactions[[#This Row],[Qty]]*tbTransactions[[#This Row],[Unit Cost]]*tbTransactions[[#This Row],[Exchange Rate]]</f>
        <v>45595</v>
      </c>
      <c r="I397" s="197" t="s">
        <v>568</v>
      </c>
      <c r="J397" s="195" t="s">
        <v>24</v>
      </c>
      <c r="K397" s="183" t="str">
        <f>IF(tbTransactions[[#This Row],[Sub-Type]]="Transfer","Neutral",IF(tbTransactions[[#This Row],[Qty]]&lt;0,"Debit",IF(tbTransactions[[#This Row],[Qty]]&gt;0,"Credit","Neutral")))</f>
        <v>Neutral</v>
      </c>
      <c r="L397" s="199" t="s">
        <v>39</v>
      </c>
      <c r="M397" s="198" t="s">
        <v>569</v>
      </c>
    </row>
    <row r="398" spans="3:13" ht="30" customHeight="1" x14ac:dyDescent="0.25">
      <c r="C398" s="26">
        <v>396</v>
      </c>
      <c r="D398" s="27">
        <v>44427</v>
      </c>
      <c r="E398" s="23">
        <v>-6.2799999999999998E-4</v>
      </c>
      <c r="F398" s="23">
        <v>4145</v>
      </c>
      <c r="G398" s="24">
        <v>1</v>
      </c>
      <c r="H398" s="28">
        <f>tbTransactions[[#This Row],[Qty]]*tbTransactions[[#This Row],[Unit Cost]]*tbTransactions[[#This Row],[Exchange Rate]]</f>
        <v>-2.6030599999999997</v>
      </c>
      <c r="I398" s="196" t="s">
        <v>537</v>
      </c>
      <c r="J398" s="195" t="s">
        <v>24</v>
      </c>
      <c r="K398" s="183" t="str">
        <f>IF(tbTransactions[[#This Row],[Sub-Type]]="Transfer","Neutral",IF(tbTransactions[[#This Row],[Qty]]&lt;0,"Debit",IF(tbTransactions[[#This Row],[Qty]]&gt;0,"Credit","Neutral")))</f>
        <v>Debit</v>
      </c>
      <c r="L398" s="199" t="s">
        <v>14</v>
      </c>
      <c r="M398" s="198" t="s">
        <v>569</v>
      </c>
    </row>
    <row r="399" spans="3:13" ht="30" customHeight="1" x14ac:dyDescent="0.25">
      <c r="C399" s="26">
        <v>397</v>
      </c>
      <c r="D399" s="27">
        <v>44427</v>
      </c>
      <c r="E399" s="23">
        <v>-1.8999999999991201E-3</v>
      </c>
      <c r="F399" s="23">
        <v>4145</v>
      </c>
      <c r="G399" s="24">
        <v>1</v>
      </c>
      <c r="H399" s="28">
        <f>tbTransactions[[#This Row],[Qty]]*tbTransactions[[#This Row],[Unit Cost]]*tbTransactions[[#This Row],[Exchange Rate]]</f>
        <v>-7.8754999999963529</v>
      </c>
      <c r="I399" s="197" t="s">
        <v>568</v>
      </c>
      <c r="J399" s="195" t="s">
        <v>24</v>
      </c>
      <c r="K399" s="183" t="str">
        <f>IF(tbTransactions[[#This Row],[Sub-Type]]="Transfer","Neutral",IF(tbTransactions[[#This Row],[Qty]]&lt;0,"Debit",IF(tbTransactions[[#This Row],[Qty]]&gt;0,"Credit","Neutral")))</f>
        <v>Debit</v>
      </c>
      <c r="L399" s="199" t="s">
        <v>36</v>
      </c>
      <c r="M399" s="41"/>
    </row>
    <row r="400" spans="3:13" ht="30" customHeight="1" x14ac:dyDescent="0.25">
      <c r="C400" s="26">
        <v>398</v>
      </c>
      <c r="D400" s="27">
        <v>44427</v>
      </c>
      <c r="E400" s="23">
        <v>-10.998100000000001</v>
      </c>
      <c r="F400" s="23">
        <v>4145</v>
      </c>
      <c r="G400" s="24">
        <v>1</v>
      </c>
      <c r="H400" s="28">
        <f>tbTransactions[[#This Row],[Qty]]*tbTransactions[[#This Row],[Unit Cost]]*tbTransactions[[#This Row],[Exchange Rate]]</f>
        <v>-45587.124500000005</v>
      </c>
      <c r="I400" s="197" t="s">
        <v>568</v>
      </c>
      <c r="J400" s="195" t="s">
        <v>24</v>
      </c>
      <c r="K400" s="183" t="str">
        <f>IF(tbTransactions[[#This Row],[Sub-Type]]="Transfer","Neutral",IF(tbTransactions[[#This Row],[Qty]]&lt;0,"Debit",IF(tbTransactions[[#This Row],[Qty]]&gt;0,"Credit","Neutral")))</f>
        <v>Neutral</v>
      </c>
      <c r="L400" s="199" t="s">
        <v>39</v>
      </c>
      <c r="M400" s="198" t="s">
        <v>571</v>
      </c>
    </row>
    <row r="401" spans="3:13" ht="30" customHeight="1" x14ac:dyDescent="0.25">
      <c r="C401" s="26">
        <v>399</v>
      </c>
      <c r="D401" s="27">
        <v>44427</v>
      </c>
      <c r="E401" s="23">
        <v>10.998100000000001</v>
      </c>
      <c r="F401" s="23">
        <v>4145</v>
      </c>
      <c r="G401" s="24">
        <v>1</v>
      </c>
      <c r="H401" s="28">
        <f>tbTransactions[[#This Row],[Qty]]*tbTransactions[[#This Row],[Unit Cost]]*tbTransactions[[#This Row],[Exchange Rate]]</f>
        <v>45587.124500000005</v>
      </c>
      <c r="I401" s="197" t="s">
        <v>570</v>
      </c>
      <c r="J401" s="195" t="s">
        <v>24</v>
      </c>
      <c r="K401" s="183" t="str">
        <f>IF(tbTransactions[[#This Row],[Sub-Type]]="Transfer","Neutral",IF(tbTransactions[[#This Row],[Qty]]&lt;0,"Debit",IF(tbTransactions[[#This Row],[Qty]]&gt;0,"Credit","Neutral")))</f>
        <v>Neutral</v>
      </c>
      <c r="L401" s="199" t="s">
        <v>39</v>
      </c>
      <c r="M401" s="198" t="s">
        <v>571</v>
      </c>
    </row>
    <row r="402" spans="3:13" ht="30" customHeight="1" x14ac:dyDescent="0.25">
      <c r="C402" s="26">
        <v>400</v>
      </c>
      <c r="D402" s="27">
        <v>44427</v>
      </c>
      <c r="E402" s="23">
        <v>2.8551168299999999E-2</v>
      </c>
      <c r="F402" s="23">
        <v>0</v>
      </c>
      <c r="G402" s="24">
        <v>1</v>
      </c>
      <c r="H402" s="28">
        <f>tbTransactions[[#This Row],[Qty]]*tbTransactions[[#This Row],[Unit Cost]]*tbTransactions[[#This Row],[Exchange Rate]]</f>
        <v>0</v>
      </c>
      <c r="I402" s="100" t="s">
        <v>539</v>
      </c>
      <c r="J402" s="29" t="s">
        <v>22</v>
      </c>
      <c r="K402" s="183" t="str">
        <f>IF(tbTransactions[[#This Row],[Sub-Type]]="Transfer","Neutral",IF(tbTransactions[[#This Row],[Qty]]&lt;0,"Debit",IF(tbTransactions[[#This Row],[Qty]]&gt;0,"Credit","Neutral")))</f>
        <v>Credit</v>
      </c>
      <c r="L402" s="174" t="s">
        <v>546</v>
      </c>
      <c r="M402" s="180" t="s">
        <v>481</v>
      </c>
    </row>
    <row r="403" spans="3:13" ht="30" customHeight="1" x14ac:dyDescent="0.25">
      <c r="C403" s="26">
        <v>401</v>
      </c>
      <c r="D403" s="27">
        <v>44428</v>
      </c>
      <c r="E403" s="23">
        <v>3.53788383E-2</v>
      </c>
      <c r="F403" s="23">
        <v>0</v>
      </c>
      <c r="G403" s="24">
        <v>1</v>
      </c>
      <c r="H403" s="28">
        <f>tbTransactions[[#This Row],[Qty]]*tbTransactions[[#This Row],[Unit Cost]]*tbTransactions[[#This Row],[Exchange Rate]]</f>
        <v>0</v>
      </c>
      <c r="I403" s="100" t="s">
        <v>539</v>
      </c>
      <c r="J403" s="29" t="s">
        <v>22</v>
      </c>
      <c r="K403" s="183" t="str">
        <f>IF(tbTransactions[[#This Row],[Sub-Type]]="Transfer","Neutral",IF(tbTransactions[[#This Row],[Qty]]&lt;0,"Debit",IF(tbTransactions[[#This Row],[Qty]]&gt;0,"Credit","Neutral")))</f>
        <v>Credit</v>
      </c>
      <c r="L403" s="174" t="s">
        <v>546</v>
      </c>
      <c r="M403" s="180" t="s">
        <v>481</v>
      </c>
    </row>
    <row r="404" spans="3:13" ht="30" customHeight="1" x14ac:dyDescent="0.25">
      <c r="C404" s="26">
        <v>402</v>
      </c>
      <c r="D404" s="27">
        <v>44429</v>
      </c>
      <c r="E404" s="23">
        <v>3.7230745500000002E-2</v>
      </c>
      <c r="F404" s="23">
        <v>0</v>
      </c>
      <c r="G404" s="24">
        <v>1</v>
      </c>
      <c r="H404" s="28">
        <f>tbTransactions[[#This Row],[Qty]]*tbTransactions[[#This Row],[Unit Cost]]*tbTransactions[[#This Row],[Exchange Rate]]</f>
        <v>0</v>
      </c>
      <c r="I404" s="100" t="s">
        <v>539</v>
      </c>
      <c r="J404" s="29" t="s">
        <v>22</v>
      </c>
      <c r="K404" s="183" t="str">
        <f>IF(tbTransactions[[#This Row],[Sub-Type]]="Transfer","Neutral",IF(tbTransactions[[#This Row],[Qty]]&lt;0,"Debit",IF(tbTransactions[[#This Row],[Qty]]&gt;0,"Credit","Neutral")))</f>
        <v>Credit</v>
      </c>
      <c r="L404" s="174" t="s">
        <v>546</v>
      </c>
      <c r="M404" s="180" t="s">
        <v>481</v>
      </c>
    </row>
    <row r="405" spans="3:13" ht="30" customHeight="1" x14ac:dyDescent="0.25">
      <c r="C405" s="26">
        <v>403</v>
      </c>
      <c r="D405" s="27">
        <v>44429</v>
      </c>
      <c r="E405" s="23">
        <v>0.103354</v>
      </c>
      <c r="F405" s="23">
        <v>0</v>
      </c>
      <c r="G405" s="24">
        <v>1</v>
      </c>
      <c r="H405" s="28">
        <f>tbTransactions[[#This Row],[Qty]]*tbTransactions[[#This Row],[Unit Cost]]*tbTransactions[[#This Row],[Exchange Rate]]</f>
        <v>0</v>
      </c>
      <c r="I405" s="200" t="s">
        <v>445</v>
      </c>
      <c r="J405" s="201" t="s">
        <v>20</v>
      </c>
      <c r="K405" s="183" t="str">
        <f>IF(tbTransactions[[#This Row],[Sub-Type]]="Transfer","Neutral",IF(tbTransactions[[#This Row],[Qty]]&lt;0,"Debit",IF(tbTransactions[[#This Row],[Qty]]&gt;0,"Credit","Neutral")))</f>
        <v>Credit</v>
      </c>
      <c r="L405" s="201" t="s">
        <v>546</v>
      </c>
      <c r="M405" s="176" t="s">
        <v>47</v>
      </c>
    </row>
    <row r="406" spans="3:13" ht="30" customHeight="1" x14ac:dyDescent="0.25">
      <c r="C406" s="26">
        <v>404</v>
      </c>
      <c r="D406" s="179">
        <v>44430</v>
      </c>
      <c r="E406" s="180">
        <f>2299.1-2292.7</f>
        <v>6.4000000000000909</v>
      </c>
      <c r="F406" s="180">
        <v>0</v>
      </c>
      <c r="G406" s="181">
        <v>1</v>
      </c>
      <c r="H406" s="28">
        <f>tbTransactions[[#This Row],[Qty]]*tbTransactions[[#This Row],[Unit Cost]]*tbTransactions[[#This Row],[Exchange Rate]]</f>
        <v>0</v>
      </c>
      <c r="I406" s="182" t="s">
        <v>555</v>
      </c>
      <c r="J406" s="29" t="s">
        <v>523</v>
      </c>
      <c r="K406" s="183" t="str">
        <f>IF(tbTransactions[[#This Row],[Sub-Type]]="Transfer","Neutral",IF(tbTransactions[[#This Row],[Qty]]&lt;0,"Debit",IF(tbTransactions[[#This Row],[Qty]]&gt;0,"Credit","Neutral")))</f>
        <v>Credit</v>
      </c>
      <c r="L406" s="180" t="s">
        <v>558</v>
      </c>
      <c r="M406" s="211" t="s">
        <v>578</v>
      </c>
    </row>
    <row r="407" spans="3:13" ht="30" customHeight="1" x14ac:dyDescent="0.25">
      <c r="C407" s="26">
        <v>405</v>
      </c>
      <c r="D407" s="27">
        <v>44430</v>
      </c>
      <c r="E407" s="23">
        <v>3.1239417200000001E-2</v>
      </c>
      <c r="F407" s="23">
        <v>0</v>
      </c>
      <c r="G407" s="24">
        <v>1</v>
      </c>
      <c r="H407" s="28">
        <f>tbTransactions[[#This Row],[Qty]]*tbTransactions[[#This Row],[Unit Cost]]*tbTransactions[[#This Row],[Exchange Rate]]</f>
        <v>0</v>
      </c>
      <c r="I407" s="100" t="s">
        <v>539</v>
      </c>
      <c r="J407" s="29" t="s">
        <v>22</v>
      </c>
      <c r="K407" s="183" t="str">
        <f>IF(tbTransactions[[#This Row],[Sub-Type]]="Transfer","Neutral",IF(tbTransactions[[#This Row],[Qty]]&lt;0,"Debit",IF(tbTransactions[[#This Row],[Qty]]&gt;0,"Credit","Neutral")))</f>
        <v>Credit</v>
      </c>
      <c r="L407" s="174" t="s">
        <v>546</v>
      </c>
      <c r="M407" s="180" t="s">
        <v>481</v>
      </c>
    </row>
    <row r="408" spans="3:13" ht="30" customHeight="1" x14ac:dyDescent="0.25">
      <c r="C408" s="26">
        <v>406</v>
      </c>
      <c r="D408" s="27">
        <v>44431</v>
      </c>
      <c r="E408" s="23">
        <v>-4661</v>
      </c>
      <c r="F408" s="23">
        <v>3.78</v>
      </c>
      <c r="G408" s="24">
        <v>1</v>
      </c>
      <c r="H408" s="28">
        <f>tbTransactions[[#This Row],[Qty]]*tbTransactions[[#This Row],[Unit Cost]]*tbTransactions[[#This Row],[Exchange Rate]]</f>
        <v>-17618.579999999998</v>
      </c>
      <c r="I408" s="203" t="s">
        <v>534</v>
      </c>
      <c r="J408" s="204" t="s">
        <v>19</v>
      </c>
      <c r="K408" s="183" t="str">
        <f>IF(tbTransactions[[#This Row],[Sub-Type]]="Transfer","Neutral",IF(tbTransactions[[#This Row],[Qty]]&lt;0,"Debit",IF(tbTransactions[[#This Row],[Qty]]&gt;0,"Credit","Neutral")))</f>
        <v>Neutral</v>
      </c>
      <c r="L408" s="204" t="s">
        <v>39</v>
      </c>
      <c r="M408" s="205" t="s">
        <v>576</v>
      </c>
    </row>
    <row r="409" spans="3:13" ht="30" customHeight="1" x14ac:dyDescent="0.25">
      <c r="C409" s="26">
        <v>407</v>
      </c>
      <c r="D409" s="27">
        <v>44431</v>
      </c>
      <c r="E409" s="23">
        <v>-0.218858</v>
      </c>
      <c r="F409" s="23">
        <v>3.78</v>
      </c>
      <c r="G409" s="24">
        <v>1</v>
      </c>
      <c r="H409" s="28">
        <f>tbTransactions[[#This Row],[Qty]]*tbTransactions[[#This Row],[Unit Cost]]*tbTransactions[[#This Row],[Exchange Rate]]</f>
        <v>-0.82728323999999998</v>
      </c>
      <c r="I409" s="203" t="s">
        <v>534</v>
      </c>
      <c r="J409" s="204" t="s">
        <v>19</v>
      </c>
      <c r="K409" s="183" t="str">
        <f>IF(tbTransactions[[#This Row],[Sub-Type]]="Transfer","Neutral",IF(tbTransactions[[#This Row],[Qty]]&lt;0,"Debit",IF(tbTransactions[[#This Row],[Qty]]&gt;0,"Credit","Neutral")))</f>
        <v>Debit</v>
      </c>
      <c r="L409" s="204" t="s">
        <v>14</v>
      </c>
      <c r="M409" s="205" t="s">
        <v>576</v>
      </c>
    </row>
    <row r="410" spans="3:13" ht="30" customHeight="1" x14ac:dyDescent="0.25">
      <c r="C410" s="26">
        <v>408</v>
      </c>
      <c r="D410" s="27">
        <v>44431</v>
      </c>
      <c r="E410" s="23">
        <v>4661</v>
      </c>
      <c r="F410" s="23">
        <v>3.78</v>
      </c>
      <c r="G410" s="24">
        <v>1</v>
      </c>
      <c r="H410" s="28">
        <f>tbTransactions[[#This Row],[Qty]]*tbTransactions[[#This Row],[Unit Cost]]*tbTransactions[[#This Row],[Exchange Rate]]</f>
        <v>17618.579999999998</v>
      </c>
      <c r="I410" s="203" t="s">
        <v>531</v>
      </c>
      <c r="J410" s="204" t="s">
        <v>19</v>
      </c>
      <c r="K410" s="183" t="str">
        <f>IF(tbTransactions[[#This Row],[Sub-Type]]="Transfer","Neutral",IF(tbTransactions[[#This Row],[Qty]]&lt;0,"Debit",IF(tbTransactions[[#This Row],[Qty]]&gt;0,"Credit","Neutral")))</f>
        <v>Neutral</v>
      </c>
      <c r="L410" s="204" t="s">
        <v>39</v>
      </c>
      <c r="M410" s="205" t="s">
        <v>576</v>
      </c>
    </row>
    <row r="411" spans="3:13" ht="30" customHeight="1" x14ac:dyDescent="0.25">
      <c r="C411" s="26">
        <v>409</v>
      </c>
      <c r="D411" s="27">
        <v>44431</v>
      </c>
      <c r="E411" s="23">
        <v>-4661</v>
      </c>
      <c r="F411" s="23">
        <v>3.6211980000000001</v>
      </c>
      <c r="G411" s="24">
        <v>1</v>
      </c>
      <c r="H411" s="28">
        <f>tbTransactions[[#This Row],[Qty]]*tbTransactions[[#This Row],[Unit Cost]]*tbTransactions[[#This Row],[Exchange Rate]]</f>
        <v>-16878.403878000001</v>
      </c>
      <c r="I411" s="203" t="s">
        <v>531</v>
      </c>
      <c r="J411" s="204" t="s">
        <v>19</v>
      </c>
      <c r="K411" s="183" t="str">
        <f>IF(tbTransactions[[#This Row],[Sub-Type]]="Transfer","Neutral",IF(tbTransactions[[#This Row],[Qty]]&lt;0,"Debit",IF(tbTransactions[[#This Row],[Qty]]&gt;0,"Credit","Neutral")))</f>
        <v>Debit</v>
      </c>
      <c r="L411" s="204" t="s">
        <v>14</v>
      </c>
      <c r="M411" s="204" t="s">
        <v>577</v>
      </c>
    </row>
    <row r="412" spans="3:13" ht="30" customHeight="1" x14ac:dyDescent="0.25">
      <c r="C412" s="26">
        <v>410</v>
      </c>
      <c r="D412" s="27">
        <v>44431</v>
      </c>
      <c r="E412" s="23">
        <f>16844.65-16878.4039</f>
        <v>-33.753899999999703</v>
      </c>
      <c r="F412" s="23">
        <v>1</v>
      </c>
      <c r="G412" s="24">
        <v>1</v>
      </c>
      <c r="H412" s="28">
        <f>tbTransactions[[#This Row],[Qty]]*tbTransactions[[#This Row],[Unit Cost]]*tbTransactions[[#This Row],[Exchange Rate]]</f>
        <v>-33.753899999999703</v>
      </c>
      <c r="I412" s="203" t="s">
        <v>531</v>
      </c>
      <c r="J412" s="204" t="s">
        <v>418</v>
      </c>
      <c r="K412" s="183" t="str">
        <f>IF(tbTransactions[[#This Row],[Sub-Type]]="Transfer","Neutral",IF(tbTransactions[[#This Row],[Qty]]&lt;0,"Debit",IF(tbTransactions[[#This Row],[Qty]]&gt;0,"Credit","Neutral")))</f>
        <v>Debit</v>
      </c>
      <c r="L412" s="204" t="s">
        <v>14</v>
      </c>
      <c r="M412" s="204" t="s">
        <v>577</v>
      </c>
    </row>
    <row r="413" spans="3:13" ht="30" customHeight="1" x14ac:dyDescent="0.25">
      <c r="C413" s="26">
        <v>411</v>
      </c>
      <c r="D413" s="27">
        <v>44431</v>
      </c>
      <c r="E413" s="23">
        <v>16878.403900000001</v>
      </c>
      <c r="F413" s="23">
        <v>1</v>
      </c>
      <c r="G413" s="24">
        <v>1</v>
      </c>
      <c r="H413" s="28">
        <f>tbTransactions[[#This Row],[Qty]]*tbTransactions[[#This Row],[Unit Cost]]*tbTransactions[[#This Row],[Exchange Rate]]</f>
        <v>16878.403900000001</v>
      </c>
      <c r="I413" s="203" t="s">
        <v>531</v>
      </c>
      <c r="J413" s="204" t="s">
        <v>418</v>
      </c>
      <c r="K413" s="183" t="str">
        <f>IF(tbTransactions[[#This Row],[Sub-Type]]="Transfer","Neutral",IF(tbTransactions[[#This Row],[Qty]]&lt;0,"Debit",IF(tbTransactions[[#This Row],[Qty]]&gt;0,"Credit","Neutral")))</f>
        <v>Credit</v>
      </c>
      <c r="L413" s="204" t="s">
        <v>527</v>
      </c>
      <c r="M413" s="204" t="s">
        <v>577</v>
      </c>
    </row>
    <row r="414" spans="3:13" ht="30" customHeight="1" x14ac:dyDescent="0.25">
      <c r="C414" s="26">
        <v>412</v>
      </c>
      <c r="D414" s="27">
        <v>44431</v>
      </c>
      <c r="E414" s="23">
        <v>-16832</v>
      </c>
      <c r="F414" s="23">
        <v>1</v>
      </c>
      <c r="G414" s="24">
        <v>1</v>
      </c>
      <c r="H414" s="28">
        <f>tbTransactions[[#This Row],[Qty]]*tbTransactions[[#This Row],[Unit Cost]]*tbTransactions[[#This Row],[Exchange Rate]]</f>
        <v>-16832</v>
      </c>
      <c r="I414" s="203" t="s">
        <v>531</v>
      </c>
      <c r="J414" s="204" t="s">
        <v>418</v>
      </c>
      <c r="K414" s="183" t="str">
        <f>IF(tbTransactions[[#This Row],[Sub-Type]]="Transfer","Neutral",IF(tbTransactions[[#This Row],[Qty]]&lt;0,"Debit",IF(tbTransactions[[#This Row],[Qty]]&gt;0,"Credit","Neutral")))</f>
        <v>Debit</v>
      </c>
      <c r="L414" s="208" t="s">
        <v>528</v>
      </c>
      <c r="M414" s="207" t="s">
        <v>521</v>
      </c>
    </row>
    <row r="415" spans="3:13" ht="30" customHeight="1" x14ac:dyDescent="0.25">
      <c r="C415" s="26">
        <v>413</v>
      </c>
      <c r="D415" s="27">
        <v>44431</v>
      </c>
      <c r="E415" s="23">
        <v>12986.62352234</v>
      </c>
      <c r="F415" s="23">
        <v>1.26</v>
      </c>
      <c r="G415" s="24">
        <v>1</v>
      </c>
      <c r="H415" s="28">
        <f>tbTransactions[[#This Row],[Qty]]*tbTransactions[[#This Row],[Unit Cost]]*tbTransactions[[#This Row],[Exchange Rate]]</f>
        <v>16363.1456381484</v>
      </c>
      <c r="I415" s="203" t="s">
        <v>531</v>
      </c>
      <c r="J415" s="208" t="s">
        <v>523</v>
      </c>
      <c r="K415" s="183" t="str">
        <f>IF(tbTransactions[[#This Row],[Sub-Type]]="Transfer","Neutral",IF(tbTransactions[[#This Row],[Qty]]&lt;0,"Debit",IF(tbTransactions[[#This Row],[Qty]]&gt;0,"Credit","Neutral")))</f>
        <v>Credit</v>
      </c>
      <c r="L415" s="208" t="s">
        <v>532</v>
      </c>
      <c r="M415" s="207" t="s">
        <v>521</v>
      </c>
    </row>
    <row r="416" spans="3:13" ht="30" customHeight="1" x14ac:dyDescent="0.25">
      <c r="C416" s="26">
        <v>414</v>
      </c>
      <c r="D416" s="27">
        <v>44431</v>
      </c>
      <c r="E416" s="23">
        <v>3.2678430000000001</v>
      </c>
      <c r="F416" s="23">
        <v>0</v>
      </c>
      <c r="G416" s="24">
        <v>1</v>
      </c>
      <c r="H416" s="28">
        <f>tbTransactions[[#This Row],[Qty]]*tbTransactions[[#This Row],[Unit Cost]]*tbTransactions[[#This Row],[Exchange Rate]]</f>
        <v>0</v>
      </c>
      <c r="I416" s="206" t="s">
        <v>534</v>
      </c>
      <c r="J416" s="208" t="s">
        <v>19</v>
      </c>
      <c r="K416" s="183" t="str">
        <f>IF(tbTransactions[[#This Row],[Sub-Type]]="Transfer","Neutral",IF(tbTransactions[[#This Row],[Qty]]&lt;0,"Debit",IF(tbTransactions[[#This Row],[Qty]]&gt;0,"Credit","Neutral")))</f>
        <v>Credit</v>
      </c>
      <c r="L416" s="174" t="s">
        <v>546</v>
      </c>
      <c r="M416" s="168" t="s">
        <v>441</v>
      </c>
    </row>
    <row r="417" spans="3:13" ht="30" customHeight="1" x14ac:dyDescent="0.25">
      <c r="C417" s="26">
        <v>415</v>
      </c>
      <c r="D417" s="27">
        <v>44431</v>
      </c>
      <c r="E417" s="23">
        <v>3.18846713E-2</v>
      </c>
      <c r="F417" s="23">
        <v>0</v>
      </c>
      <c r="G417" s="24">
        <v>1</v>
      </c>
      <c r="H417" s="28">
        <f>tbTransactions[[#This Row],[Qty]]*tbTransactions[[#This Row],[Unit Cost]]*tbTransactions[[#This Row],[Exchange Rate]]</f>
        <v>0</v>
      </c>
      <c r="I417" s="100" t="s">
        <v>539</v>
      </c>
      <c r="J417" s="29" t="s">
        <v>22</v>
      </c>
      <c r="K417" s="183" t="str">
        <f>IF(tbTransactions[[#This Row],[Sub-Type]]="Transfer","Neutral",IF(tbTransactions[[#This Row],[Qty]]&lt;0,"Debit",IF(tbTransactions[[#This Row],[Qty]]&gt;0,"Credit","Neutral")))</f>
        <v>Credit</v>
      </c>
      <c r="L417" s="174" t="s">
        <v>546</v>
      </c>
      <c r="M417" s="180" t="s">
        <v>481</v>
      </c>
    </row>
    <row r="418" spans="3:13" ht="30" customHeight="1" x14ac:dyDescent="0.25">
      <c r="C418" s="26">
        <v>416</v>
      </c>
      <c r="D418" s="27">
        <v>44432</v>
      </c>
      <c r="E418" s="23">
        <v>3.4395084200000002E-2</v>
      </c>
      <c r="F418" s="23">
        <v>0</v>
      </c>
      <c r="G418" s="24">
        <v>1</v>
      </c>
      <c r="H418" s="28">
        <f>tbTransactions[[#This Row],[Qty]]*tbTransactions[[#This Row],[Unit Cost]]*tbTransactions[[#This Row],[Exchange Rate]]</f>
        <v>0</v>
      </c>
      <c r="I418" s="100" t="s">
        <v>539</v>
      </c>
      <c r="J418" s="29" t="s">
        <v>22</v>
      </c>
      <c r="K418" s="183" t="str">
        <f>IF(tbTransactions[[#This Row],[Sub-Type]]="Transfer","Neutral",IF(tbTransactions[[#This Row],[Qty]]&lt;0,"Debit",IF(tbTransactions[[#This Row],[Qty]]&gt;0,"Credit","Neutral")))</f>
        <v>Credit</v>
      </c>
      <c r="L418" s="174" t="s">
        <v>546</v>
      </c>
      <c r="M418" s="180" t="s">
        <v>481</v>
      </c>
    </row>
    <row r="419" spans="3:13" ht="30" customHeight="1" x14ac:dyDescent="0.25">
      <c r="C419" s="26">
        <v>417</v>
      </c>
      <c r="D419" s="27">
        <v>44433</v>
      </c>
      <c r="E419" s="209">
        <v>2.78632462E-2</v>
      </c>
      <c r="F419" s="23">
        <v>0</v>
      </c>
      <c r="G419" s="24">
        <v>1</v>
      </c>
      <c r="H419" s="28">
        <f>tbTransactions[[#This Row],[Qty]]*tbTransactions[[#This Row],[Unit Cost]]*tbTransactions[[#This Row],[Exchange Rate]]</f>
        <v>0</v>
      </c>
      <c r="I419" s="100" t="s">
        <v>539</v>
      </c>
      <c r="J419" s="29" t="s">
        <v>22</v>
      </c>
      <c r="K419" s="183" t="str">
        <f>IF(tbTransactions[[#This Row],[Sub-Type]]="Transfer","Neutral",IF(tbTransactions[[#This Row],[Qty]]&lt;0,"Debit",IF(tbTransactions[[#This Row],[Qty]]&gt;0,"Credit","Neutral")))</f>
        <v>Credit</v>
      </c>
      <c r="L419" s="174" t="s">
        <v>546</v>
      </c>
      <c r="M419" s="180" t="s">
        <v>481</v>
      </c>
    </row>
    <row r="420" spans="3:13" ht="30" customHeight="1" x14ac:dyDescent="0.25">
      <c r="C420" s="26">
        <v>418</v>
      </c>
      <c r="D420" s="27">
        <v>44434</v>
      </c>
      <c r="E420" s="23">
        <v>-15</v>
      </c>
      <c r="F420" s="23">
        <v>1.26</v>
      </c>
      <c r="G420" s="24">
        <v>1</v>
      </c>
      <c r="H420" s="28">
        <f>tbTransactions[[#This Row],[Qty]]*tbTransactions[[#This Row],[Unit Cost]]*tbTransactions[[#This Row],[Exchange Rate]]</f>
        <v>-18.899999999999999</v>
      </c>
      <c r="I420" s="210" t="s">
        <v>537</v>
      </c>
      <c r="J420" s="212" t="s">
        <v>523</v>
      </c>
      <c r="K420" s="183" t="str">
        <f>IF(tbTransactions[[#This Row],[Sub-Type]]="Transfer","Neutral",IF(tbTransactions[[#This Row],[Qty]]&lt;0,"Debit",IF(tbTransactions[[#This Row],[Qty]]&gt;0,"Credit","Neutral")))</f>
        <v>Neutral</v>
      </c>
      <c r="L420" s="212" t="s">
        <v>39</v>
      </c>
      <c r="M420" s="211" t="s">
        <v>522</v>
      </c>
    </row>
    <row r="421" spans="3:13" ht="30" customHeight="1" x14ac:dyDescent="0.25">
      <c r="C421" s="26">
        <v>419</v>
      </c>
      <c r="D421" s="27">
        <v>44434</v>
      </c>
      <c r="E421" s="23">
        <v>-12971.62352234</v>
      </c>
      <c r="F421" s="23">
        <v>1.26</v>
      </c>
      <c r="G421" s="24">
        <v>1</v>
      </c>
      <c r="H421" s="28">
        <f>tbTransactions[[#This Row],[Qty]]*tbTransactions[[#This Row],[Unit Cost]]*tbTransactions[[#This Row],[Exchange Rate]]</f>
        <v>-16344.245638148401</v>
      </c>
      <c r="I421" s="210" t="s">
        <v>531</v>
      </c>
      <c r="J421" s="212" t="s">
        <v>523</v>
      </c>
      <c r="K421" s="183" t="str">
        <f>IF(tbTransactions[[#This Row],[Sub-Type]]="Transfer","Neutral",IF(tbTransactions[[#This Row],[Qty]]&lt;0,"Debit",IF(tbTransactions[[#This Row],[Qty]]&gt;0,"Credit","Neutral")))</f>
        <v>Debit</v>
      </c>
      <c r="L421" s="212" t="s">
        <v>14</v>
      </c>
      <c r="M421" s="211" t="s">
        <v>522</v>
      </c>
    </row>
    <row r="422" spans="3:13" ht="30" customHeight="1" x14ac:dyDescent="0.25">
      <c r="C422" s="26">
        <v>420</v>
      </c>
      <c r="D422" s="27">
        <v>44434</v>
      </c>
      <c r="E422" s="23">
        <f>12971.62352234+E420</f>
        <v>12956.62352234</v>
      </c>
      <c r="F422" s="23">
        <v>1.26</v>
      </c>
      <c r="G422" s="24">
        <v>1</v>
      </c>
      <c r="H422" s="28">
        <f>tbTransactions[[#This Row],[Qty]]*tbTransactions[[#This Row],[Unit Cost]]*tbTransactions[[#This Row],[Exchange Rate]]</f>
        <v>16325.345638148399</v>
      </c>
      <c r="I422" s="210" t="s">
        <v>537</v>
      </c>
      <c r="J422" s="212" t="s">
        <v>523</v>
      </c>
      <c r="K422" s="183" t="str">
        <f>IF(tbTransactions[[#This Row],[Sub-Type]]="Transfer","Neutral",IF(tbTransactions[[#This Row],[Qty]]&lt;0,"Debit",IF(tbTransactions[[#This Row],[Qty]]&gt;0,"Credit","Neutral")))</f>
        <v>Neutral</v>
      </c>
      <c r="L422" s="212" t="s">
        <v>39</v>
      </c>
      <c r="M422" s="211" t="s">
        <v>522</v>
      </c>
    </row>
    <row r="423" spans="3:13" ht="30" customHeight="1" x14ac:dyDescent="0.25">
      <c r="C423" s="26">
        <v>421</v>
      </c>
      <c r="D423" s="27">
        <v>44434</v>
      </c>
      <c r="E423" s="23">
        <v>-9.4467004982726702E-3</v>
      </c>
      <c r="F423" s="23">
        <v>3926</v>
      </c>
      <c r="G423" s="24">
        <v>1</v>
      </c>
      <c r="H423" s="28">
        <f>tbTransactions[[#This Row],[Qty]]*tbTransactions[[#This Row],[Unit Cost]]*tbTransactions[[#This Row],[Exchange Rate]]</f>
        <v>-37.0877461562185</v>
      </c>
      <c r="I423" s="210" t="s">
        <v>537</v>
      </c>
      <c r="J423" s="212" t="s">
        <v>523</v>
      </c>
      <c r="K423" s="183" t="str">
        <f>IF(tbTransactions[[#This Row],[Sub-Type]]="Transfer","Neutral",IF(tbTransactions[[#This Row],[Qty]]&lt;0,"Debit",IF(tbTransactions[[#This Row],[Qty]]&gt;0,"Credit","Neutral")))</f>
        <v>Debit</v>
      </c>
      <c r="L423" s="212" t="s">
        <v>14</v>
      </c>
      <c r="M423" s="193" t="s">
        <v>567</v>
      </c>
    </row>
    <row r="424" spans="3:13" ht="30" customHeight="1" x14ac:dyDescent="0.25">
      <c r="C424" s="26">
        <v>422</v>
      </c>
      <c r="D424" s="27">
        <v>44434</v>
      </c>
      <c r="E424" s="23">
        <v>-12994.782076</v>
      </c>
      <c r="F424" s="23">
        <v>1.26</v>
      </c>
      <c r="G424" s="24">
        <v>1</v>
      </c>
      <c r="H424" s="28">
        <f>tbTransactions[[#This Row],[Qty]]*tbTransactions[[#This Row],[Unit Cost]]*tbTransactions[[#This Row],[Exchange Rate]]</f>
        <v>-16373.425415759999</v>
      </c>
      <c r="I424" s="210" t="s">
        <v>537</v>
      </c>
      <c r="J424" s="212" t="s">
        <v>523</v>
      </c>
      <c r="K424" s="183" t="str">
        <f>IF(tbTransactions[[#This Row],[Sub-Type]]="Transfer","Neutral",IF(tbTransactions[[#This Row],[Qty]]&lt;0,"Debit",IF(tbTransactions[[#This Row],[Qty]]&gt;0,"Credit","Neutral")))</f>
        <v>Neutral</v>
      </c>
      <c r="L424" s="212" t="s">
        <v>39</v>
      </c>
      <c r="M424" s="193" t="s">
        <v>567</v>
      </c>
    </row>
    <row r="425" spans="3:13" ht="30" customHeight="1" x14ac:dyDescent="0.25">
      <c r="C425" s="26">
        <v>423</v>
      </c>
      <c r="D425" s="27">
        <v>44434</v>
      </c>
      <c r="E425" s="23">
        <v>12994.782076</v>
      </c>
      <c r="F425" s="23">
        <v>1.26</v>
      </c>
      <c r="G425" s="24">
        <v>1</v>
      </c>
      <c r="H425" s="28">
        <f>tbTransactions[[#This Row],[Qty]]*tbTransactions[[#This Row],[Unit Cost]]*tbTransactions[[#This Row],[Exchange Rate]]</f>
        <v>16373.425415759999</v>
      </c>
      <c r="I425" s="210" t="s">
        <v>555</v>
      </c>
      <c r="J425" s="212" t="s">
        <v>523</v>
      </c>
      <c r="K425" s="183" t="str">
        <f>IF(tbTransactions[[#This Row],[Sub-Type]]="Transfer","Neutral",IF(tbTransactions[[#This Row],[Qty]]&lt;0,"Debit",IF(tbTransactions[[#This Row],[Qty]]&gt;0,"Credit","Neutral")))</f>
        <v>Neutral</v>
      </c>
      <c r="L425" s="212" t="s">
        <v>39</v>
      </c>
      <c r="M425" s="193" t="s">
        <v>567</v>
      </c>
    </row>
    <row r="426" spans="3:13" ht="30" customHeight="1" x14ac:dyDescent="0.25">
      <c r="C426" s="26">
        <v>424</v>
      </c>
      <c r="D426" s="27">
        <v>44434</v>
      </c>
      <c r="E426" s="23">
        <v>14.597924359999499</v>
      </c>
      <c r="F426" s="23">
        <v>1.26</v>
      </c>
      <c r="G426" s="24">
        <v>1</v>
      </c>
      <c r="H426" s="28">
        <f>tbTransactions[[#This Row],[Qty]]*tbTransactions[[#This Row],[Unit Cost]]*tbTransactions[[#This Row],[Exchange Rate]]</f>
        <v>18.393384693599369</v>
      </c>
      <c r="I426" s="210" t="s">
        <v>555</v>
      </c>
      <c r="J426" s="212" t="s">
        <v>523</v>
      </c>
      <c r="K426" s="183" t="str">
        <f>IF(tbTransactions[[#This Row],[Sub-Type]]="Transfer","Neutral",IF(tbTransactions[[#This Row],[Qty]]&lt;0,"Debit",IF(tbTransactions[[#This Row],[Qty]]&gt;0,"Credit","Neutral")))</f>
        <v>Credit</v>
      </c>
      <c r="L426" s="212" t="s">
        <v>36</v>
      </c>
      <c r="M426" s="41"/>
    </row>
    <row r="427" spans="3:13" ht="30" customHeight="1" x14ac:dyDescent="0.25">
      <c r="C427" s="26">
        <v>425</v>
      </c>
      <c r="D427" s="27">
        <v>44434</v>
      </c>
      <c r="E427" s="23">
        <v>3.0254626199999999E-2</v>
      </c>
      <c r="F427" s="23">
        <v>0</v>
      </c>
      <c r="G427" s="24">
        <v>1</v>
      </c>
      <c r="H427" s="28">
        <f>tbTransactions[[#This Row],[Qty]]*tbTransactions[[#This Row],[Unit Cost]]*tbTransactions[[#This Row],[Exchange Rate]]</f>
        <v>0</v>
      </c>
      <c r="I427" s="100" t="s">
        <v>539</v>
      </c>
      <c r="J427" s="29" t="s">
        <v>22</v>
      </c>
      <c r="K427" s="183" t="str">
        <f>IF(tbTransactions[[#This Row],[Sub-Type]]="Transfer","Neutral",IF(tbTransactions[[#This Row],[Qty]]&lt;0,"Debit",IF(tbTransactions[[#This Row],[Qty]]&gt;0,"Credit","Neutral")))</f>
        <v>Credit</v>
      </c>
      <c r="L427" s="174" t="s">
        <v>546</v>
      </c>
      <c r="M427" s="180" t="s">
        <v>481</v>
      </c>
    </row>
    <row r="428" spans="3:13" ht="30" customHeight="1" x14ac:dyDescent="0.25">
      <c r="C428" s="26">
        <v>426</v>
      </c>
      <c r="D428" s="221">
        <v>44435</v>
      </c>
      <c r="E428" s="23">
        <v>2.8570834199999999E-2</v>
      </c>
      <c r="F428" s="23">
        <v>0</v>
      </c>
      <c r="G428" s="24">
        <v>1</v>
      </c>
      <c r="H428" s="28">
        <f>tbTransactions[[#This Row],[Qty]]*tbTransactions[[#This Row],[Unit Cost]]*tbTransactions[[#This Row],[Exchange Rate]]</f>
        <v>0</v>
      </c>
      <c r="I428" s="100" t="s">
        <v>539</v>
      </c>
      <c r="J428" s="29" t="s">
        <v>22</v>
      </c>
      <c r="K428" s="183" t="str">
        <f>IF(tbTransactions[[#This Row],[Sub-Type]]="Transfer","Neutral",IF(tbTransactions[[#This Row],[Qty]]&lt;0,"Debit",IF(tbTransactions[[#This Row],[Qty]]&gt;0,"Credit","Neutral")))</f>
        <v>Credit</v>
      </c>
      <c r="L428" s="174" t="s">
        <v>546</v>
      </c>
      <c r="M428" s="180" t="s">
        <v>481</v>
      </c>
    </row>
    <row r="429" spans="3:13" ht="30" customHeight="1" x14ac:dyDescent="0.25">
      <c r="C429" s="26">
        <v>427</v>
      </c>
      <c r="D429" s="27">
        <v>44436</v>
      </c>
      <c r="E429" s="23">
        <v>2.5957194100000001E-2</v>
      </c>
      <c r="F429" s="23">
        <v>0</v>
      </c>
      <c r="G429" s="24">
        <v>1</v>
      </c>
      <c r="H429" s="28">
        <f>tbTransactions[[#This Row],[Qty]]*tbTransactions[[#This Row],[Unit Cost]]*tbTransactions[[#This Row],[Exchange Rate]]</f>
        <v>0</v>
      </c>
      <c r="I429" s="100" t="s">
        <v>539</v>
      </c>
      <c r="J429" s="29" t="s">
        <v>22</v>
      </c>
      <c r="K429" s="183" t="str">
        <f>IF(tbTransactions[[#This Row],[Sub-Type]]="Transfer","Neutral",IF(tbTransactions[[#This Row],[Qty]]&lt;0,"Debit",IF(tbTransactions[[#This Row],[Qty]]&gt;0,"Credit","Neutral")))</f>
        <v>Credit</v>
      </c>
      <c r="L429" s="174" t="s">
        <v>546</v>
      </c>
      <c r="M429" s="180" t="s">
        <v>481</v>
      </c>
    </row>
    <row r="430" spans="3:13" ht="30" customHeight="1" x14ac:dyDescent="0.25">
      <c r="C430" s="26">
        <v>428</v>
      </c>
      <c r="D430" s="27">
        <v>44436</v>
      </c>
      <c r="E430" s="23">
        <v>5.3169100000000002E-3</v>
      </c>
      <c r="F430" s="23">
        <v>0</v>
      </c>
      <c r="G430" s="24">
        <v>1</v>
      </c>
      <c r="H430" s="28">
        <f>tbTransactions[[#This Row],[Qty]]*tbTransactions[[#This Row],[Unit Cost]]*tbTransactions[[#This Row],[Exchange Rate]]</f>
        <v>0</v>
      </c>
      <c r="I430" s="254" t="s">
        <v>570</v>
      </c>
      <c r="J430" s="222" t="s">
        <v>24</v>
      </c>
      <c r="K430" s="183" t="str">
        <f>IF(tbTransactions[[#This Row],[Sub-Type]]="Transfer","Neutral",IF(tbTransactions[[#This Row],[Qty]]&lt;0,"Debit",IF(tbTransactions[[#This Row],[Qty]]&gt;0,"Credit","Neutral")))</f>
        <v>Credit</v>
      </c>
      <c r="L430" s="174" t="s">
        <v>546</v>
      </c>
      <c r="M430" s="227" t="s">
        <v>588</v>
      </c>
    </row>
    <row r="431" spans="3:13" ht="30" customHeight="1" x14ac:dyDescent="0.25">
      <c r="C431" s="26">
        <v>429</v>
      </c>
      <c r="D431" s="27">
        <v>44436</v>
      </c>
      <c r="E431" s="23">
        <v>3.7076820000000001</v>
      </c>
      <c r="F431" s="23">
        <v>0</v>
      </c>
      <c r="G431" s="24">
        <v>1</v>
      </c>
      <c r="H431" s="28">
        <f>tbTransactions[[#This Row],[Qty]]*tbTransactions[[#This Row],[Unit Cost]]*tbTransactions[[#This Row],[Exchange Rate]]</f>
        <v>0</v>
      </c>
      <c r="I431" s="223" t="s">
        <v>534</v>
      </c>
      <c r="J431" s="224" t="s">
        <v>19</v>
      </c>
      <c r="K431" s="183" t="str">
        <f>IF(tbTransactions[[#This Row],[Sub-Type]]="Transfer","Neutral",IF(tbTransactions[[#This Row],[Qty]]&lt;0,"Debit",IF(tbTransactions[[#This Row],[Qty]]&gt;0,"Credit","Neutral")))</f>
        <v>Credit</v>
      </c>
      <c r="L431" s="224" t="s">
        <v>546</v>
      </c>
      <c r="M431" s="225" t="s">
        <v>441</v>
      </c>
    </row>
    <row r="432" spans="3:13" ht="30" customHeight="1" x14ac:dyDescent="0.25">
      <c r="C432" s="26">
        <v>430</v>
      </c>
      <c r="D432" s="27">
        <v>44437</v>
      </c>
      <c r="E432" s="23">
        <v>2.7771795200000001E-2</v>
      </c>
      <c r="F432" s="23">
        <v>0</v>
      </c>
      <c r="G432" s="24">
        <v>1</v>
      </c>
      <c r="H432" s="28">
        <f>tbTransactions[[#This Row],[Qty]]*tbTransactions[[#This Row],[Unit Cost]]*tbTransactions[[#This Row],[Exchange Rate]]</f>
        <v>0</v>
      </c>
      <c r="I432" s="100" t="s">
        <v>539</v>
      </c>
      <c r="J432" s="29" t="s">
        <v>22</v>
      </c>
      <c r="K432" s="183" t="str">
        <f>IF(tbTransactions[[#This Row],[Sub-Type]]="Transfer","Neutral",IF(tbTransactions[[#This Row],[Qty]]&lt;0,"Debit",IF(tbTransactions[[#This Row],[Qty]]&gt;0,"Credit","Neutral")))</f>
        <v>Credit</v>
      </c>
      <c r="L432" s="174" t="s">
        <v>546</v>
      </c>
      <c r="M432" s="180" t="s">
        <v>481</v>
      </c>
    </row>
    <row r="433" spans="3:13" ht="30" customHeight="1" x14ac:dyDescent="0.25">
      <c r="C433" s="26">
        <v>431</v>
      </c>
      <c r="D433" s="27">
        <v>44438</v>
      </c>
      <c r="E433" s="23">
        <v>2.87112606E-2</v>
      </c>
      <c r="F433" s="23">
        <v>0</v>
      </c>
      <c r="G433" s="24">
        <v>1</v>
      </c>
      <c r="H433" s="28">
        <f>tbTransactions[[#This Row],[Qty]]*tbTransactions[[#This Row],[Unit Cost]]*tbTransactions[[#This Row],[Exchange Rate]]</f>
        <v>0</v>
      </c>
      <c r="I433" s="100" t="s">
        <v>539</v>
      </c>
      <c r="J433" s="29" t="s">
        <v>22</v>
      </c>
      <c r="K433" s="183" t="str">
        <f>IF(tbTransactions[[#This Row],[Sub-Type]]="Transfer","Neutral",IF(tbTransactions[[#This Row],[Qty]]&lt;0,"Debit",IF(tbTransactions[[#This Row],[Qty]]&gt;0,"Credit","Neutral")))</f>
        <v>Credit</v>
      </c>
      <c r="L433" s="174" t="s">
        <v>546</v>
      </c>
      <c r="M433" s="180" t="s">
        <v>481</v>
      </c>
    </row>
    <row r="434" spans="3:13" ht="30" customHeight="1" x14ac:dyDescent="0.25">
      <c r="C434" s="26">
        <v>432</v>
      </c>
      <c r="D434" s="27">
        <v>44438</v>
      </c>
      <c r="E434" s="23">
        <v>0.15364</v>
      </c>
      <c r="F434" s="23">
        <v>0</v>
      </c>
      <c r="G434" s="24">
        <v>1</v>
      </c>
      <c r="H434" s="28">
        <f>tbTransactions[[#This Row],[Qty]]*tbTransactions[[#This Row],[Unit Cost]]*tbTransactions[[#This Row],[Exchange Rate]]</f>
        <v>0</v>
      </c>
      <c r="I434" s="223" t="s">
        <v>445</v>
      </c>
      <c r="J434" s="224" t="s">
        <v>20</v>
      </c>
      <c r="K434" s="183" t="str">
        <f>IF(tbTransactions[[#This Row],[Sub-Type]]="Transfer","Neutral",IF(tbTransactions[[#This Row],[Qty]]&lt;0,"Debit",IF(tbTransactions[[#This Row],[Qty]]&gt;0,"Credit","Neutral")))</f>
        <v>Credit</v>
      </c>
      <c r="L434" s="224" t="s">
        <v>546</v>
      </c>
      <c r="M434" s="225" t="s">
        <v>47</v>
      </c>
    </row>
    <row r="435" spans="3:13" ht="30" customHeight="1" x14ac:dyDescent="0.25">
      <c r="C435" s="26">
        <v>433</v>
      </c>
      <c r="D435" s="27">
        <v>44439</v>
      </c>
      <c r="E435" s="23">
        <v>1.5248551400000001</v>
      </c>
      <c r="F435" s="23">
        <v>0</v>
      </c>
      <c r="G435" s="24">
        <v>1</v>
      </c>
      <c r="H435" s="28">
        <f>tbTransactions[[#This Row],[Qty]]*tbTransactions[[#This Row],[Unit Cost]]*tbTransactions[[#This Row],[Exchange Rate]]</f>
        <v>0</v>
      </c>
      <c r="I435" s="226" t="s">
        <v>430</v>
      </c>
      <c r="J435" s="228" t="s">
        <v>584</v>
      </c>
      <c r="K435" s="183" t="str">
        <f>IF(tbTransactions[[#This Row],[Sub-Type]]="Transfer","Neutral",IF(tbTransactions[[#This Row],[Qty]]&lt;0,"Debit",IF(tbTransactions[[#This Row],[Qty]]&gt;0,"Credit","Neutral")))</f>
        <v>Credit</v>
      </c>
      <c r="L435" s="174" t="s">
        <v>544</v>
      </c>
      <c r="M435" s="227" t="s">
        <v>585</v>
      </c>
    </row>
    <row r="436" spans="3:13" ht="30" customHeight="1" x14ac:dyDescent="0.25">
      <c r="C436" s="26">
        <v>434</v>
      </c>
      <c r="D436" s="27">
        <v>44439</v>
      </c>
      <c r="E436" s="23">
        <v>1.5186028899999999</v>
      </c>
      <c r="F436" s="23">
        <v>0</v>
      </c>
      <c r="G436" s="24">
        <v>1</v>
      </c>
      <c r="H436" s="28">
        <f>tbTransactions[[#This Row],[Qty]]*tbTransactions[[#This Row],[Unit Cost]]*tbTransactions[[#This Row],[Exchange Rate]]</f>
        <v>0</v>
      </c>
      <c r="I436" s="226" t="s">
        <v>430</v>
      </c>
      <c r="J436" s="228" t="s">
        <v>584</v>
      </c>
      <c r="K436" s="183" t="str">
        <f>IF(tbTransactions[[#This Row],[Sub-Type]]="Transfer","Neutral",IF(tbTransactions[[#This Row],[Qty]]&lt;0,"Debit",IF(tbTransactions[[#This Row],[Qty]]&gt;0,"Credit","Neutral")))</f>
        <v>Credit</v>
      </c>
      <c r="L436" s="174" t="s">
        <v>544</v>
      </c>
      <c r="M436" s="227" t="s">
        <v>585</v>
      </c>
    </row>
    <row r="437" spans="3:13" ht="30" customHeight="1" x14ac:dyDescent="0.25">
      <c r="C437" s="26">
        <v>435</v>
      </c>
      <c r="D437" s="27">
        <v>44439</v>
      </c>
      <c r="E437" s="23">
        <v>1.5186028899999999</v>
      </c>
      <c r="F437" s="23">
        <v>0</v>
      </c>
      <c r="G437" s="24">
        <v>1</v>
      </c>
      <c r="H437" s="28">
        <f>tbTransactions[[#This Row],[Qty]]*tbTransactions[[#This Row],[Unit Cost]]*tbTransactions[[#This Row],[Exchange Rate]]</f>
        <v>0</v>
      </c>
      <c r="I437" s="226" t="s">
        <v>430</v>
      </c>
      <c r="J437" s="228" t="s">
        <v>584</v>
      </c>
      <c r="K437" s="183" t="str">
        <f>IF(tbTransactions[[#This Row],[Sub-Type]]="Transfer","Neutral",IF(tbTransactions[[#This Row],[Qty]]&lt;0,"Debit",IF(tbTransactions[[#This Row],[Qty]]&gt;0,"Credit","Neutral")))</f>
        <v>Credit</v>
      </c>
      <c r="L437" s="174" t="s">
        <v>544</v>
      </c>
      <c r="M437" s="227" t="s">
        <v>585</v>
      </c>
    </row>
    <row r="438" spans="3:13" ht="30" customHeight="1" x14ac:dyDescent="0.25">
      <c r="C438" s="26">
        <v>436</v>
      </c>
      <c r="D438" s="27">
        <v>44439</v>
      </c>
      <c r="E438" s="23">
        <v>-19.18</v>
      </c>
      <c r="F438" s="23">
        <v>1</v>
      </c>
      <c r="G438" s="24">
        <v>1</v>
      </c>
      <c r="H438" s="28">
        <f>tbTransactions[[#This Row],[Qty]]*tbTransactions[[#This Row],[Unit Cost]]*tbTransactions[[#This Row],[Exchange Rate]]</f>
        <v>-19.18</v>
      </c>
      <c r="I438" s="226" t="s">
        <v>430</v>
      </c>
      <c r="J438" s="228" t="s">
        <v>418</v>
      </c>
      <c r="K438" s="183" t="str">
        <f>IF(tbTransactions[[#This Row],[Sub-Type]]="Transfer","Neutral",IF(tbTransactions[[#This Row],[Qty]]&lt;0,"Debit",IF(tbTransactions[[#This Row],[Qty]]&gt;0,"Credit","Neutral")))</f>
        <v>Debit</v>
      </c>
      <c r="L438" s="228" t="s">
        <v>14</v>
      </c>
      <c r="M438" s="312" t="s">
        <v>650</v>
      </c>
    </row>
    <row r="439" spans="3:13" ht="30" customHeight="1" x14ac:dyDescent="0.25">
      <c r="C439" s="26">
        <v>437</v>
      </c>
      <c r="D439" s="27">
        <v>44439</v>
      </c>
      <c r="E439" s="23">
        <v>-500</v>
      </c>
      <c r="F439" s="23">
        <v>1</v>
      </c>
      <c r="G439" s="24">
        <v>1</v>
      </c>
      <c r="H439" s="28">
        <f>tbTransactions[[#This Row],[Qty]]*tbTransactions[[#This Row],[Unit Cost]]*tbTransactions[[#This Row],[Exchange Rate]]</f>
        <v>-500</v>
      </c>
      <c r="I439" s="226" t="s">
        <v>526</v>
      </c>
      <c r="J439" s="228" t="s">
        <v>418</v>
      </c>
      <c r="K439" s="183" t="str">
        <f>IF(tbTransactions[[#This Row],[Sub-Type]]="Transfer","Neutral",IF(tbTransactions[[#This Row],[Qty]]&lt;0,"Debit",IF(tbTransactions[[#This Row],[Qty]]&gt;0,"Credit","Neutral")))</f>
        <v>Debit</v>
      </c>
      <c r="L439" s="161" t="s">
        <v>529</v>
      </c>
      <c r="M439" s="312" t="s">
        <v>650</v>
      </c>
    </row>
    <row r="440" spans="3:13" ht="30" customHeight="1" x14ac:dyDescent="0.25">
      <c r="C440" s="26">
        <v>438</v>
      </c>
      <c r="D440" s="27">
        <v>44439</v>
      </c>
      <c r="E440" s="23">
        <v>500</v>
      </c>
      <c r="F440" s="23">
        <v>1</v>
      </c>
      <c r="G440" s="24">
        <v>1</v>
      </c>
      <c r="H440" s="28">
        <v>500</v>
      </c>
      <c r="I440" s="230" t="s">
        <v>430</v>
      </c>
      <c r="J440" s="228" t="s">
        <v>418</v>
      </c>
      <c r="K440" s="183" t="str">
        <f>IF(tbTransactions[[#This Row],[Sub-Type]]="Transfer","Neutral",IF(tbTransactions[[#This Row],[Qty]]&lt;0,"Debit",IF(tbTransactions[[#This Row],[Qty]]&gt;0,"Credit","Neutral")))</f>
        <v>Credit</v>
      </c>
      <c r="L440" s="232" t="s">
        <v>527</v>
      </c>
      <c r="M440" s="312" t="s">
        <v>650</v>
      </c>
    </row>
    <row r="441" spans="3:13" ht="30" customHeight="1" x14ac:dyDescent="0.25">
      <c r="C441" s="26">
        <v>439</v>
      </c>
      <c r="D441" s="27">
        <v>44439</v>
      </c>
      <c r="E441" s="23">
        <v>-480.82</v>
      </c>
      <c r="F441" s="23">
        <v>1</v>
      </c>
      <c r="G441" s="24">
        <v>1</v>
      </c>
      <c r="H441" s="28">
        <f>tbTransactions[[#This Row],[Qty]]*tbTransactions[[#This Row],[Unit Cost]]*tbTransactions[[#This Row],[Exchange Rate]]</f>
        <v>-480.82</v>
      </c>
      <c r="I441" s="226" t="s">
        <v>430</v>
      </c>
      <c r="J441" s="228" t="s">
        <v>418</v>
      </c>
      <c r="K441" s="183" t="str">
        <f>IF(tbTransactions[[#This Row],[Sub-Type]]="Transfer","Neutral",IF(tbTransactions[[#This Row],[Qty]]&lt;0,"Debit",IF(tbTransactions[[#This Row],[Qty]]&gt;0,"Credit","Neutral")))</f>
        <v>Debit</v>
      </c>
      <c r="L441" s="228" t="s">
        <v>528</v>
      </c>
      <c r="M441" s="312" t="s">
        <v>650</v>
      </c>
    </row>
    <row r="442" spans="3:13" ht="30" customHeight="1" x14ac:dyDescent="0.25">
      <c r="C442" s="26">
        <v>440</v>
      </c>
      <c r="D442" s="27">
        <v>44439</v>
      </c>
      <c r="E442" s="23">
        <v>576.31192969999995</v>
      </c>
      <c r="F442" s="23">
        <v>0.83430000000000004</v>
      </c>
      <c r="G442" s="24">
        <v>1</v>
      </c>
      <c r="H442" s="28">
        <f>tbTransactions[[#This Row],[Qty]]*tbTransactions[[#This Row],[Unit Cost]]*tbTransactions[[#This Row],[Exchange Rate]]</f>
        <v>480.81704294870997</v>
      </c>
      <c r="I442" s="226" t="s">
        <v>430</v>
      </c>
      <c r="J442" s="228" t="s">
        <v>584</v>
      </c>
      <c r="K442" s="183" t="str">
        <f>IF(tbTransactions[[#This Row],[Sub-Type]]="Transfer","Neutral",IF(tbTransactions[[#This Row],[Qty]]&lt;0,"Debit",IF(tbTransactions[[#This Row],[Qty]]&gt;0,"Credit","Neutral")))</f>
        <v>Credit</v>
      </c>
      <c r="L442" s="208" t="s">
        <v>532</v>
      </c>
      <c r="M442" s="312" t="s">
        <v>650</v>
      </c>
    </row>
    <row r="443" spans="3:13" ht="30" customHeight="1" x14ac:dyDescent="0.25">
      <c r="C443" s="26">
        <v>441</v>
      </c>
      <c r="D443" s="27">
        <v>44439</v>
      </c>
      <c r="E443" s="23">
        <v>572.02200000000005</v>
      </c>
      <c r="F443" s="23">
        <v>0.83030499999999996</v>
      </c>
      <c r="G443" s="24">
        <v>1</v>
      </c>
      <c r="H443" s="28">
        <f>tbTransactions[[#This Row],[Qty]]*tbTransactions[[#This Row],[Unit Cost]]*tbTransactions[[#This Row],[Exchange Rate]]</f>
        <v>474.95272671000004</v>
      </c>
      <c r="I443" s="226" t="s">
        <v>537</v>
      </c>
      <c r="J443" s="228" t="s">
        <v>584</v>
      </c>
      <c r="K443" s="183" t="str">
        <f>IF(tbTransactions[[#This Row],[Sub-Type]]="Transfer","Neutral",IF(tbTransactions[[#This Row],[Qty]]&lt;0,"Debit",IF(tbTransactions[[#This Row],[Qty]]&gt;0,"Credit","Neutral")))</f>
        <v>Neutral</v>
      </c>
      <c r="L443" s="228" t="s">
        <v>39</v>
      </c>
      <c r="M443" s="227" t="s">
        <v>587</v>
      </c>
    </row>
    <row r="444" spans="3:13" ht="30" customHeight="1" x14ac:dyDescent="0.25">
      <c r="C444" s="26">
        <v>442</v>
      </c>
      <c r="D444" s="27">
        <v>44439</v>
      </c>
      <c r="E444" s="23">
        <v>-8.8519906199999205</v>
      </c>
      <c r="F444" s="23">
        <v>0.83030499999999996</v>
      </c>
      <c r="G444" s="24">
        <v>1</v>
      </c>
      <c r="H444" s="28">
        <f>tbTransactions[[#This Row],[Qty]]*tbTransactions[[#This Row],[Unit Cost]]*tbTransactions[[#This Row],[Exchange Rate]]</f>
        <v>-7.3498520717390337</v>
      </c>
      <c r="I444" s="226" t="s">
        <v>430</v>
      </c>
      <c r="J444" s="228" t="s">
        <v>584</v>
      </c>
      <c r="K444" s="183" t="str">
        <f>IF(tbTransactions[[#This Row],[Sub-Type]]="Transfer","Neutral",IF(tbTransactions[[#This Row],[Qty]]&lt;0,"Debit",IF(tbTransactions[[#This Row],[Qty]]&gt;0,"Credit","Neutral")))</f>
        <v>Debit</v>
      </c>
      <c r="L444" s="228" t="s">
        <v>14</v>
      </c>
      <c r="M444" s="227" t="s">
        <v>587</v>
      </c>
    </row>
    <row r="445" spans="3:13" ht="30" customHeight="1" x14ac:dyDescent="0.25">
      <c r="C445" s="26">
        <v>443</v>
      </c>
      <c r="D445" s="27">
        <v>44439</v>
      </c>
      <c r="E445" s="23">
        <v>-572.02200000000005</v>
      </c>
      <c r="F445" s="23">
        <v>0.83030499999999996</v>
      </c>
      <c r="G445" s="24">
        <v>1</v>
      </c>
      <c r="H445" s="28">
        <f>tbTransactions[[#This Row],[Qty]]*tbTransactions[[#This Row],[Unit Cost]]*tbTransactions[[#This Row],[Exchange Rate]]</f>
        <v>-474.95272671000004</v>
      </c>
      <c r="I445" s="226" t="s">
        <v>430</v>
      </c>
      <c r="J445" s="228" t="s">
        <v>584</v>
      </c>
      <c r="K445" s="183" t="str">
        <f>IF(tbTransactions[[#This Row],[Sub-Type]]="Transfer","Neutral",IF(tbTransactions[[#This Row],[Qty]]&lt;0,"Debit",IF(tbTransactions[[#This Row],[Qty]]&gt;0,"Credit","Neutral")))</f>
        <v>Neutral</v>
      </c>
      <c r="L445" s="228" t="s">
        <v>39</v>
      </c>
      <c r="M445" s="227" t="s">
        <v>587</v>
      </c>
    </row>
    <row r="446" spans="3:13" ht="30" customHeight="1" x14ac:dyDescent="0.25">
      <c r="C446" s="26">
        <v>444</v>
      </c>
      <c r="D446" s="27">
        <v>44439</v>
      </c>
      <c r="E446" s="23">
        <v>2.2326890700000001E-2</v>
      </c>
      <c r="F446" s="23">
        <v>0</v>
      </c>
      <c r="G446" s="24">
        <v>1</v>
      </c>
      <c r="H446" s="28">
        <f>tbTransactions[[#This Row],[Qty]]*tbTransactions[[#This Row],[Unit Cost]]*tbTransactions[[#This Row],[Exchange Rate]]</f>
        <v>0</v>
      </c>
      <c r="I446" s="100" t="s">
        <v>539</v>
      </c>
      <c r="J446" s="228" t="s">
        <v>22</v>
      </c>
      <c r="K446" s="183" t="str">
        <f>IF(tbTransactions[[#This Row],[Sub-Type]]="Transfer","Neutral",IF(tbTransactions[[#This Row],[Qty]]&lt;0,"Debit",IF(tbTransactions[[#This Row],[Qty]]&gt;0,"Credit","Neutral")))</f>
        <v>Credit</v>
      </c>
      <c r="L446" s="174" t="s">
        <v>546</v>
      </c>
      <c r="M446" s="180" t="s">
        <v>481</v>
      </c>
    </row>
    <row r="447" spans="3:13" ht="30" customHeight="1" x14ac:dyDescent="0.25">
      <c r="C447" s="26">
        <v>445</v>
      </c>
      <c r="D447" s="27">
        <v>44439</v>
      </c>
      <c r="E447" s="23">
        <f>6.975525-4.620373</f>
        <v>2.3551520000000004</v>
      </c>
      <c r="F447" s="23">
        <v>3.5</v>
      </c>
      <c r="G447" s="24">
        <v>1</v>
      </c>
      <c r="H447" s="28">
        <f>tbTransactions[[#This Row],[Qty]]*tbTransactions[[#This Row],[Unit Cost]]*tbTransactions[[#This Row],[Exchange Rate]]</f>
        <v>8.2430320000000012</v>
      </c>
      <c r="I447" s="230" t="s">
        <v>534</v>
      </c>
      <c r="J447" s="232" t="s">
        <v>19</v>
      </c>
      <c r="K447" s="183" t="str">
        <f>IF(tbTransactions[[#This Row],[Sub-Type]]="Transfer","Neutral",IF(tbTransactions[[#This Row],[Qty]]&lt;0,"Debit",IF(tbTransactions[[#This Row],[Qty]]&gt;0,"Credit","Neutral")))</f>
        <v>Credit</v>
      </c>
      <c r="L447" s="232" t="s">
        <v>36</v>
      </c>
      <c r="M447" s="41"/>
    </row>
    <row r="448" spans="3:13" ht="30" customHeight="1" x14ac:dyDescent="0.25">
      <c r="C448" s="26">
        <v>446</v>
      </c>
      <c r="D448" s="27">
        <v>44439</v>
      </c>
      <c r="E448" s="23">
        <v>-3.431E-3</v>
      </c>
      <c r="F448" s="23">
        <v>4308.17</v>
      </c>
      <c r="G448" s="24">
        <v>1</v>
      </c>
      <c r="H448" s="28">
        <f>tbTransactions[[#This Row],[Qty]]*tbTransactions[[#This Row],[Unit Cost]]*tbTransactions[[#This Row],[Exchange Rate]]</f>
        <v>-14.781331270000001</v>
      </c>
      <c r="I448" s="233" t="s">
        <v>537</v>
      </c>
      <c r="J448" s="234" t="s">
        <v>24</v>
      </c>
      <c r="K448" s="183" t="str">
        <f>IF(tbTransactions[[#This Row],[Sub-Type]]="Transfer","Neutral",IF(tbTransactions[[#This Row],[Qty]]&lt;0,"Debit",IF(tbTransactions[[#This Row],[Qty]]&gt;0,"Credit","Neutral")))</f>
        <v>Debit</v>
      </c>
      <c r="L448" s="234" t="s">
        <v>14</v>
      </c>
      <c r="M448" s="235" t="s">
        <v>591</v>
      </c>
    </row>
    <row r="449" spans="3:13" ht="30" customHeight="1" x14ac:dyDescent="0.25">
      <c r="C449" s="26">
        <v>447</v>
      </c>
      <c r="D449" s="27">
        <v>44439</v>
      </c>
      <c r="E449" s="23">
        <v>-7.9649999999999999E-3</v>
      </c>
      <c r="F449" s="23">
        <v>4318</v>
      </c>
      <c r="G449" s="24">
        <v>1</v>
      </c>
      <c r="H449" s="28">
        <f>tbTransactions[[#This Row],[Qty]]*tbTransactions[[#This Row],[Unit Cost]]*tbTransactions[[#This Row],[Exchange Rate]]</f>
        <v>-34.392870000000002</v>
      </c>
      <c r="I449" s="233" t="s">
        <v>537</v>
      </c>
      <c r="J449" s="234" t="s">
        <v>24</v>
      </c>
      <c r="K449" s="183" t="str">
        <f>IF(tbTransactions[[#This Row],[Sub-Type]]="Transfer","Neutral",IF(tbTransactions[[#This Row],[Qty]]&lt;0,"Debit",IF(tbTransactions[[#This Row],[Qty]]&gt;0,"Credit","Neutral")))</f>
        <v>Debit</v>
      </c>
      <c r="L449" s="234" t="s">
        <v>14</v>
      </c>
      <c r="M449" s="235" t="s">
        <v>591</v>
      </c>
    </row>
    <row r="450" spans="3:13" ht="30" customHeight="1" x14ac:dyDescent="0.25">
      <c r="C450" s="26">
        <v>448</v>
      </c>
      <c r="D450" s="27">
        <v>44439</v>
      </c>
      <c r="E450" s="23">
        <v>-572</v>
      </c>
      <c r="F450" s="23">
        <v>0.91787799999999997</v>
      </c>
      <c r="G450" s="24">
        <v>1</v>
      </c>
      <c r="H450" s="28">
        <f>tbTransactions[[#This Row],[Qty]]*tbTransactions[[#This Row],[Unit Cost]]*tbTransactions[[#This Row],[Exchange Rate]]</f>
        <v>-525.02621599999998</v>
      </c>
      <c r="I450" s="233" t="s">
        <v>537</v>
      </c>
      <c r="J450" s="234" t="s">
        <v>584</v>
      </c>
      <c r="K450" s="183" t="str">
        <f>IF(tbTransactions[[#This Row],[Sub-Type]]="Transfer","Neutral",IF(tbTransactions[[#This Row],[Qty]]&lt;0,"Debit",IF(tbTransactions[[#This Row],[Qty]]&gt;0,"Credit","Neutral")))</f>
        <v>Neutral</v>
      </c>
      <c r="L450" s="234" t="s">
        <v>39</v>
      </c>
      <c r="M450" s="235" t="s">
        <v>591</v>
      </c>
    </row>
    <row r="451" spans="3:13" ht="30" customHeight="1" x14ac:dyDescent="0.25">
      <c r="C451" s="26">
        <v>449</v>
      </c>
      <c r="D451" s="27">
        <v>44439</v>
      </c>
      <c r="E451" s="23">
        <v>572</v>
      </c>
      <c r="F451" s="23">
        <v>0.91787799999999997</v>
      </c>
      <c r="G451" s="24">
        <v>1</v>
      </c>
      <c r="H451" s="28">
        <f>tbTransactions[[#This Row],[Qty]]*tbTransactions[[#This Row],[Unit Cost]]*tbTransactions[[#This Row],[Exchange Rate]]</f>
        <v>525.02621599999998</v>
      </c>
      <c r="I451" s="233" t="s">
        <v>586</v>
      </c>
      <c r="J451" s="234" t="s">
        <v>584</v>
      </c>
      <c r="K451" s="183" t="str">
        <f>IF(tbTransactions[[#This Row],[Sub-Type]]="Transfer","Neutral",IF(tbTransactions[[#This Row],[Qty]]&lt;0,"Debit",IF(tbTransactions[[#This Row],[Qty]]&gt;0,"Credit","Neutral")))</f>
        <v>Neutral</v>
      </c>
      <c r="L451" s="234" t="s">
        <v>39</v>
      </c>
      <c r="M451" s="235" t="s">
        <v>591</v>
      </c>
    </row>
    <row r="452" spans="3:13" ht="30" customHeight="1" x14ac:dyDescent="0.25">
      <c r="C452" s="26">
        <v>450</v>
      </c>
      <c r="D452" s="27">
        <v>44440</v>
      </c>
      <c r="E452" s="23">
        <v>2.6547181199999999E-2</v>
      </c>
      <c r="F452" s="23">
        <v>0</v>
      </c>
      <c r="G452" s="24">
        <v>1</v>
      </c>
      <c r="H452" s="28">
        <f>tbTransactions[[#This Row],[Qty]]*tbTransactions[[#This Row],[Unit Cost]]*tbTransactions[[#This Row],[Exchange Rate]]</f>
        <v>0</v>
      </c>
      <c r="I452" s="100" t="s">
        <v>539</v>
      </c>
      <c r="J452" s="228" t="s">
        <v>22</v>
      </c>
      <c r="K452" s="183" t="str">
        <f>IF(tbTransactions[[#This Row],[Sub-Type]]="Transfer","Neutral",IF(tbTransactions[[#This Row],[Qty]]&lt;0,"Debit",IF(tbTransactions[[#This Row],[Qty]]&gt;0,"Credit","Neutral")))</f>
        <v>Credit</v>
      </c>
      <c r="L452" s="174" t="s">
        <v>546</v>
      </c>
      <c r="M452" s="180" t="s">
        <v>481</v>
      </c>
    </row>
    <row r="453" spans="3:13" ht="30" customHeight="1" x14ac:dyDescent="0.25">
      <c r="C453" s="26">
        <v>451</v>
      </c>
      <c r="D453" s="27">
        <v>44441</v>
      </c>
      <c r="E453" s="23">
        <v>2.9538413100000001E-2</v>
      </c>
      <c r="F453" s="23">
        <v>0</v>
      </c>
      <c r="G453" s="24">
        <v>1</v>
      </c>
      <c r="H453" s="28">
        <f>tbTransactions[[#This Row],[Qty]]*tbTransactions[[#This Row],[Unit Cost]]*tbTransactions[[#This Row],[Exchange Rate]]</f>
        <v>0</v>
      </c>
      <c r="I453" s="100" t="s">
        <v>539</v>
      </c>
      <c r="J453" s="228" t="s">
        <v>22</v>
      </c>
      <c r="K453" s="183" t="str">
        <f>IF(tbTransactions[[#This Row],[Sub-Type]]="Transfer","Neutral",IF(tbTransactions[[#This Row],[Qty]]&lt;0,"Debit",IF(tbTransactions[[#This Row],[Qty]]&gt;0,"Credit","Neutral")))</f>
        <v>Credit</v>
      </c>
      <c r="L453" s="174" t="s">
        <v>546</v>
      </c>
      <c r="M453" s="180" t="s">
        <v>481</v>
      </c>
    </row>
    <row r="454" spans="3:13" ht="30" customHeight="1" x14ac:dyDescent="0.25">
      <c r="C454" s="26">
        <v>452</v>
      </c>
      <c r="D454" s="27">
        <v>44441</v>
      </c>
      <c r="E454" s="23">
        <v>2.9215460000000002</v>
      </c>
      <c r="F454" s="23">
        <v>0</v>
      </c>
      <c r="G454" s="24">
        <v>1</v>
      </c>
      <c r="H454" s="28">
        <f>tbTransactions[[#This Row],[Qty]]*tbTransactions[[#This Row],[Unit Cost]]*tbTransactions[[#This Row],[Exchange Rate]]</f>
        <v>0</v>
      </c>
      <c r="I454" s="236" t="s">
        <v>534</v>
      </c>
      <c r="J454" s="237" t="s">
        <v>19</v>
      </c>
      <c r="K454" s="183" t="str">
        <f>IF(tbTransactions[[#This Row],[Sub-Type]]="Transfer","Neutral",IF(tbTransactions[[#This Row],[Qty]]&lt;0,"Debit",IF(tbTransactions[[#This Row],[Qty]]&gt;0,"Credit","Neutral")))</f>
        <v>Credit</v>
      </c>
      <c r="L454" s="174" t="s">
        <v>546</v>
      </c>
      <c r="M454" s="225" t="s">
        <v>441</v>
      </c>
    </row>
    <row r="455" spans="3:13" ht="30" customHeight="1" x14ac:dyDescent="0.25">
      <c r="C455" s="26">
        <v>453</v>
      </c>
      <c r="D455" s="27">
        <v>44442</v>
      </c>
      <c r="E455" s="23">
        <v>2.0925557300000001E-2</v>
      </c>
      <c r="F455" s="23">
        <v>0</v>
      </c>
      <c r="G455" s="24">
        <v>1</v>
      </c>
      <c r="H455" s="28">
        <f>tbTransactions[[#This Row],[Qty]]*tbTransactions[[#This Row],[Unit Cost]]*tbTransactions[[#This Row],[Exchange Rate]]</f>
        <v>0</v>
      </c>
      <c r="I455" s="100" t="s">
        <v>539</v>
      </c>
      <c r="J455" s="228" t="s">
        <v>22</v>
      </c>
      <c r="K455" s="183" t="str">
        <f>IF(tbTransactions[[#This Row],[Sub-Type]]="Transfer","Neutral",IF(tbTransactions[[#This Row],[Qty]]&lt;0,"Debit",IF(tbTransactions[[#This Row],[Qty]]&gt;0,"Credit","Neutral")))</f>
        <v>Credit</v>
      </c>
      <c r="L455" s="174" t="s">
        <v>546</v>
      </c>
      <c r="M455" s="180" t="s">
        <v>481</v>
      </c>
    </row>
    <row r="456" spans="3:13" ht="30" customHeight="1" x14ac:dyDescent="0.25">
      <c r="C456" s="26">
        <v>454</v>
      </c>
      <c r="D456" s="27">
        <v>44443</v>
      </c>
      <c r="E456" s="23">
        <v>2.76046099E-2</v>
      </c>
      <c r="F456" s="23">
        <v>0</v>
      </c>
      <c r="G456" s="24">
        <v>1</v>
      </c>
      <c r="H456" s="28">
        <f>tbTransactions[[#This Row],[Qty]]*tbTransactions[[#This Row],[Unit Cost]]*tbTransactions[[#This Row],[Exchange Rate]]</f>
        <v>0</v>
      </c>
      <c r="I456" s="100" t="s">
        <v>539</v>
      </c>
      <c r="J456" s="228" t="s">
        <v>22</v>
      </c>
      <c r="K456" s="183" t="str">
        <f>IF(tbTransactions[[#This Row],[Sub-Type]]="Transfer","Neutral",IF(tbTransactions[[#This Row],[Qty]]&lt;0,"Debit",IF(tbTransactions[[#This Row],[Qty]]&gt;0,"Credit","Neutral")))</f>
        <v>Credit</v>
      </c>
      <c r="L456" s="174" t="s">
        <v>546</v>
      </c>
      <c r="M456" s="180" t="s">
        <v>481</v>
      </c>
    </row>
    <row r="457" spans="3:13" ht="30" customHeight="1" x14ac:dyDescent="0.25">
      <c r="C457" s="26">
        <v>455</v>
      </c>
      <c r="D457" s="27">
        <v>44443</v>
      </c>
      <c r="E457" s="23">
        <v>1.0635708000000001E-2</v>
      </c>
      <c r="F457" s="23">
        <v>0</v>
      </c>
      <c r="G457" s="24">
        <v>1</v>
      </c>
      <c r="H457" s="28">
        <f>tbTransactions[[#This Row],[Qty]]*tbTransactions[[#This Row],[Unit Cost]]*tbTransactions[[#This Row],[Exchange Rate]]</f>
        <v>0</v>
      </c>
      <c r="I457" s="254" t="s">
        <v>570</v>
      </c>
      <c r="J457" s="239" t="s">
        <v>24</v>
      </c>
      <c r="K457" s="183" t="str">
        <f>IF(tbTransactions[[#This Row],[Sub-Type]]="Transfer","Neutral",IF(tbTransactions[[#This Row],[Qty]]&lt;0,"Debit",IF(tbTransactions[[#This Row],[Qty]]&gt;0,"Credit","Neutral")))</f>
        <v>Credit</v>
      </c>
      <c r="L457" s="174" t="s">
        <v>546</v>
      </c>
      <c r="M457" s="238" t="s">
        <v>588</v>
      </c>
    </row>
    <row r="458" spans="3:13" ht="30" customHeight="1" x14ac:dyDescent="0.25">
      <c r="C458" s="26">
        <v>456</v>
      </c>
      <c r="D458" s="27">
        <v>44444</v>
      </c>
      <c r="E458" s="23">
        <v>0.10079200000000001</v>
      </c>
      <c r="F458" s="23">
        <v>0</v>
      </c>
      <c r="G458" s="24">
        <v>1</v>
      </c>
      <c r="H458" s="28">
        <f>tbTransactions[[#This Row],[Qty]]*tbTransactions[[#This Row],[Unit Cost]]*tbTransactions[[#This Row],[Exchange Rate]]</f>
        <v>0</v>
      </c>
      <c r="I458" s="240" t="s">
        <v>445</v>
      </c>
      <c r="J458" s="241" t="s">
        <v>20</v>
      </c>
      <c r="K458" s="183" t="str">
        <f>IF(tbTransactions[[#This Row],[Sub-Type]]="Transfer","Neutral",IF(tbTransactions[[#This Row],[Qty]]&lt;0,"Debit",IF(tbTransactions[[#This Row],[Qty]]&gt;0,"Credit","Neutral")))</f>
        <v>Credit</v>
      </c>
      <c r="L458" s="174" t="s">
        <v>546</v>
      </c>
      <c r="M458" s="242" t="s">
        <v>47</v>
      </c>
    </row>
    <row r="459" spans="3:13" ht="30" customHeight="1" x14ac:dyDescent="0.25">
      <c r="C459" s="26">
        <v>457</v>
      </c>
      <c r="D459" s="27">
        <v>44444</v>
      </c>
      <c r="E459" s="23">
        <v>2.78804803E-2</v>
      </c>
      <c r="F459" s="23">
        <v>0</v>
      </c>
      <c r="G459" s="24">
        <v>1</v>
      </c>
      <c r="H459" s="28">
        <f>tbTransactions[[#This Row],[Qty]]*tbTransactions[[#This Row],[Unit Cost]]*tbTransactions[[#This Row],[Exchange Rate]]</f>
        <v>0</v>
      </c>
      <c r="I459" s="100" t="s">
        <v>539</v>
      </c>
      <c r="J459" s="228" t="s">
        <v>22</v>
      </c>
      <c r="K459" s="183" t="str">
        <f>IF(tbTransactions[[#This Row],[Sub-Type]]="Transfer","Neutral",IF(tbTransactions[[#This Row],[Qty]]&lt;0,"Debit",IF(tbTransactions[[#This Row],[Qty]]&gt;0,"Credit","Neutral")))</f>
        <v>Credit</v>
      </c>
      <c r="L459" s="174" t="s">
        <v>546</v>
      </c>
      <c r="M459" s="180" t="s">
        <v>481</v>
      </c>
    </row>
    <row r="460" spans="3:13" ht="30" customHeight="1" x14ac:dyDescent="0.25">
      <c r="C460" s="26">
        <v>458</v>
      </c>
      <c r="D460" s="27">
        <v>44445</v>
      </c>
      <c r="E460" s="23">
        <v>3.2797119600000001E-2</v>
      </c>
      <c r="F460" s="23">
        <v>0</v>
      </c>
      <c r="G460" s="24">
        <v>1</v>
      </c>
      <c r="H460" s="28">
        <f>tbTransactions[[#This Row],[Qty]]*tbTransactions[[#This Row],[Unit Cost]]*tbTransactions[[#This Row],[Exchange Rate]]</f>
        <v>0</v>
      </c>
      <c r="I460" s="100" t="s">
        <v>539</v>
      </c>
      <c r="J460" s="228" t="s">
        <v>22</v>
      </c>
      <c r="K460" s="183" t="str">
        <f>IF(tbTransactions[[#This Row],[Sub-Type]]="Transfer","Neutral",IF(tbTransactions[[#This Row],[Qty]]&lt;0,"Debit",IF(tbTransactions[[#This Row],[Qty]]&gt;0,"Credit","Neutral")))</f>
        <v>Credit</v>
      </c>
      <c r="L460" s="174" t="s">
        <v>546</v>
      </c>
      <c r="M460" s="180" t="s">
        <v>481</v>
      </c>
    </row>
    <row r="461" spans="3:13" ht="30" customHeight="1" x14ac:dyDescent="0.25">
      <c r="C461" s="26">
        <v>459</v>
      </c>
      <c r="D461" s="27">
        <v>44446</v>
      </c>
      <c r="E461" s="23">
        <v>35.860000000000582</v>
      </c>
      <c r="F461" s="23">
        <v>0</v>
      </c>
      <c r="G461" s="24">
        <v>1</v>
      </c>
      <c r="H461" s="28">
        <f>tbTransactions[[#This Row],[Qty]]*tbTransactions[[#This Row],[Unit Cost]]*tbTransactions[[#This Row],[Exchange Rate]]</f>
        <v>0</v>
      </c>
      <c r="I461" s="210" t="s">
        <v>555</v>
      </c>
      <c r="J461" s="212" t="s">
        <v>523</v>
      </c>
      <c r="K461" s="183" t="str">
        <f>IF(tbTransactions[[#This Row],[Sub-Type]]="Transfer","Neutral",IF(tbTransactions[[#This Row],[Qty]]&lt;0,"Debit",IF(tbTransactions[[#This Row],[Qty]]&gt;0,"Credit","Neutral")))</f>
        <v>Credit</v>
      </c>
      <c r="L461" s="180" t="s">
        <v>558</v>
      </c>
      <c r="M461" s="244" t="s">
        <v>597</v>
      </c>
    </row>
    <row r="462" spans="3:13" ht="30" customHeight="1" x14ac:dyDescent="0.25">
      <c r="C462" s="26">
        <v>460</v>
      </c>
      <c r="D462" s="27">
        <v>44446</v>
      </c>
      <c r="E462" s="23">
        <v>-2.7102000000000001E-2</v>
      </c>
      <c r="F462" s="23">
        <v>4311</v>
      </c>
      <c r="G462" s="24">
        <v>1</v>
      </c>
      <c r="H462" s="28">
        <f>tbTransactions[[#This Row],[Qty]]*tbTransactions[[#This Row],[Unit Cost]]*tbTransactions[[#This Row],[Exchange Rate]]</f>
        <v>-116.83672200000001</v>
      </c>
      <c r="I462" s="245" t="s">
        <v>537</v>
      </c>
      <c r="J462" s="243" t="s">
        <v>24</v>
      </c>
      <c r="K462" s="183" t="str">
        <f>IF(tbTransactions[[#This Row],[Sub-Type]]="Transfer","Neutral",IF(tbTransactions[[#This Row],[Qty]]&lt;0,"Debit",IF(tbTransactions[[#This Row],[Qty]]&gt;0,"Credit","Neutral")))</f>
        <v>Debit</v>
      </c>
      <c r="L462" s="243" t="s">
        <v>14</v>
      </c>
      <c r="M462" s="244" t="s">
        <v>593</v>
      </c>
    </row>
    <row r="463" spans="3:13" ht="30" customHeight="1" x14ac:dyDescent="0.25">
      <c r="C463" s="26">
        <v>461</v>
      </c>
      <c r="D463" s="27">
        <v>44446</v>
      </c>
      <c r="E463" s="23">
        <v>-9.4120000000000002E-3</v>
      </c>
      <c r="F463" s="23">
        <v>4359</v>
      </c>
      <c r="G463" s="24">
        <v>1</v>
      </c>
      <c r="H463" s="28">
        <f>tbTransactions[[#This Row],[Qty]]*tbTransactions[[#This Row],[Unit Cost]]*tbTransactions[[#This Row],[Exchange Rate]]</f>
        <v>-41.026907999999999</v>
      </c>
      <c r="I463" s="245" t="s">
        <v>537</v>
      </c>
      <c r="J463" s="243" t="s">
        <v>24</v>
      </c>
      <c r="K463" s="183" t="str">
        <f>IF(tbTransactions[[#This Row],[Sub-Type]]="Transfer","Neutral",IF(tbTransactions[[#This Row],[Qty]]&lt;0,"Debit",IF(tbTransactions[[#This Row],[Qty]]&gt;0,"Credit","Neutral")))</f>
        <v>Debit</v>
      </c>
      <c r="L463" s="243" t="s">
        <v>14</v>
      </c>
      <c r="M463" s="244" t="s">
        <v>594</v>
      </c>
    </row>
    <row r="464" spans="3:13" ht="30" customHeight="1" x14ac:dyDescent="0.25">
      <c r="C464" s="26">
        <v>462</v>
      </c>
      <c r="D464" s="27">
        <v>44446</v>
      </c>
      <c r="E464" s="23">
        <v>-15175.840786999999</v>
      </c>
      <c r="F464" s="23">
        <v>1.26</v>
      </c>
      <c r="G464" s="24">
        <v>1</v>
      </c>
      <c r="H464" s="28">
        <f>tbTransactions[[#This Row],[Qty]]*tbTransactions[[#This Row],[Unit Cost]]*tbTransactions[[#This Row],[Exchange Rate]]</f>
        <v>-19121.559391619998</v>
      </c>
      <c r="I464" s="245" t="s">
        <v>537</v>
      </c>
      <c r="J464" s="243" t="s">
        <v>523</v>
      </c>
      <c r="K464" s="183" t="str">
        <f>IF(tbTransactions[[#This Row],[Sub-Type]]="Transfer","Neutral",IF(tbTransactions[[#This Row],[Qty]]&lt;0,"Debit",IF(tbTransactions[[#This Row],[Qty]]&gt;0,"Credit","Neutral")))</f>
        <v>Neutral</v>
      </c>
      <c r="L464" s="243" t="s">
        <v>39</v>
      </c>
      <c r="M464" s="244" t="s">
        <v>594</v>
      </c>
    </row>
    <row r="465" spans="3:13" ht="30" customHeight="1" x14ac:dyDescent="0.25">
      <c r="C465" s="26">
        <v>463</v>
      </c>
      <c r="D465" s="27">
        <v>44446</v>
      </c>
      <c r="E465" s="23">
        <v>15175.840786999999</v>
      </c>
      <c r="F465" s="23">
        <v>1.26</v>
      </c>
      <c r="G465" s="24">
        <v>1</v>
      </c>
      <c r="H465" s="28">
        <f>tbTransactions[[#This Row],[Qty]]*tbTransactions[[#This Row],[Unit Cost]]*tbTransactions[[#This Row],[Exchange Rate]]</f>
        <v>19121.559391619998</v>
      </c>
      <c r="I465" s="245" t="s">
        <v>536</v>
      </c>
      <c r="J465" s="243" t="s">
        <v>523</v>
      </c>
      <c r="K465" s="183" t="str">
        <f>IF(tbTransactions[[#This Row],[Sub-Type]]="Transfer","Neutral",IF(tbTransactions[[#This Row],[Qty]]&lt;0,"Debit",IF(tbTransactions[[#This Row],[Qty]]&gt;0,"Credit","Neutral")))</f>
        <v>Neutral</v>
      </c>
      <c r="L465" s="243" t="s">
        <v>39</v>
      </c>
      <c r="M465" s="244" t="s">
        <v>594</v>
      </c>
    </row>
    <row r="466" spans="3:13" ht="30" customHeight="1" x14ac:dyDescent="0.25">
      <c r="C466" s="26">
        <v>464</v>
      </c>
      <c r="D466" s="27">
        <v>44446</v>
      </c>
      <c r="E466" s="23">
        <v>-15175.840786999999</v>
      </c>
      <c r="F466" s="23">
        <v>1.2484257225622399</v>
      </c>
      <c r="G466" s="24">
        <v>1</v>
      </c>
      <c r="H466" s="28">
        <f>tbTransactions[[#This Row],[Qty]]*tbTransactions[[#This Row],[Unit Cost]]*tbTransactions[[#This Row],[Exchange Rate]]</f>
        <v>-18945.909999999985</v>
      </c>
      <c r="I466" s="245" t="s">
        <v>536</v>
      </c>
      <c r="J466" s="243" t="s">
        <v>523</v>
      </c>
      <c r="K466" s="183" t="str">
        <f>IF(tbTransactions[[#This Row],[Sub-Type]]="Transfer","Neutral",IF(tbTransactions[[#This Row],[Qty]]&lt;0,"Debit",IF(tbTransactions[[#This Row],[Qty]]&gt;0,"Credit","Neutral")))</f>
        <v>Debit</v>
      </c>
      <c r="L466" s="243" t="s">
        <v>533</v>
      </c>
      <c r="M466" s="244" t="s">
        <v>595</v>
      </c>
    </row>
    <row r="467" spans="3:13" ht="30" customHeight="1" x14ac:dyDescent="0.25">
      <c r="C467" s="26">
        <v>465</v>
      </c>
      <c r="D467" s="27">
        <v>44446</v>
      </c>
      <c r="E467" s="23">
        <v>-94.72</v>
      </c>
      <c r="F467" s="23">
        <v>1</v>
      </c>
      <c r="G467" s="24">
        <v>1</v>
      </c>
      <c r="H467" s="28">
        <f>tbTransactions[[#This Row],[Qty]]*tbTransactions[[#This Row],[Unit Cost]]*tbTransactions[[#This Row],[Exchange Rate]]</f>
        <v>-94.72</v>
      </c>
      <c r="I467" s="245" t="s">
        <v>536</v>
      </c>
      <c r="J467" s="243" t="s">
        <v>418</v>
      </c>
      <c r="K467" s="183" t="str">
        <f>IF(tbTransactions[[#This Row],[Sub-Type]]="Transfer","Neutral",IF(tbTransactions[[#This Row],[Qty]]&lt;0,"Debit",IF(tbTransactions[[#This Row],[Qty]]&gt;0,"Credit","Neutral")))</f>
        <v>Debit</v>
      </c>
      <c r="L467" s="243" t="s">
        <v>14</v>
      </c>
      <c r="M467" s="244" t="s">
        <v>595</v>
      </c>
    </row>
    <row r="468" spans="3:13" ht="30" customHeight="1" x14ac:dyDescent="0.25">
      <c r="C468" s="26">
        <v>466</v>
      </c>
      <c r="D468" s="27">
        <v>44446</v>
      </c>
      <c r="E468" s="23">
        <v>18945.91</v>
      </c>
      <c r="F468" s="23">
        <v>1</v>
      </c>
      <c r="G468" s="24">
        <v>1</v>
      </c>
      <c r="H468" s="28">
        <f>tbTransactions[[#This Row],[Qty]]*tbTransactions[[#This Row],[Unit Cost]]*tbTransactions[[#This Row],[Exchange Rate]]</f>
        <v>18945.91</v>
      </c>
      <c r="I468" s="245" t="s">
        <v>536</v>
      </c>
      <c r="J468" s="243" t="s">
        <v>418</v>
      </c>
      <c r="K468" s="183" t="str">
        <f>IF(tbTransactions[[#This Row],[Sub-Type]]="Transfer","Neutral",IF(tbTransactions[[#This Row],[Qty]]&lt;0,"Debit",IF(tbTransactions[[#This Row],[Qty]]&gt;0,"Credit","Neutral")))</f>
        <v>Credit</v>
      </c>
      <c r="L468" s="243" t="s">
        <v>527</v>
      </c>
      <c r="M468" s="244" t="s">
        <v>595</v>
      </c>
    </row>
    <row r="469" spans="3:13" ht="30" customHeight="1" x14ac:dyDescent="0.25">
      <c r="C469" s="26">
        <v>467</v>
      </c>
      <c r="D469" s="27">
        <v>44446</v>
      </c>
      <c r="E469" s="23">
        <v>4.28238334</v>
      </c>
      <c r="F469" s="23">
        <v>4402</v>
      </c>
      <c r="G469" s="24">
        <v>1</v>
      </c>
      <c r="H469" s="28">
        <f>tbTransactions[[#This Row],[Qty]]*tbTransactions[[#This Row],[Unit Cost]]*tbTransactions[[#This Row],[Exchange Rate]]</f>
        <v>18851.05146268</v>
      </c>
      <c r="I469" s="245" t="s">
        <v>536</v>
      </c>
      <c r="J469" s="243" t="s">
        <v>24</v>
      </c>
      <c r="K469" s="183" t="str">
        <f>IF(tbTransactions[[#This Row],[Sub-Type]]="Transfer","Neutral",IF(tbTransactions[[#This Row],[Qty]]&lt;0,"Debit",IF(tbTransactions[[#This Row],[Qty]]&gt;0,"Credit","Neutral")))</f>
        <v>Credit</v>
      </c>
      <c r="L469" s="243" t="s">
        <v>532</v>
      </c>
      <c r="M469" s="244" t="s">
        <v>454</v>
      </c>
    </row>
    <row r="470" spans="3:13" ht="30" customHeight="1" x14ac:dyDescent="0.25">
      <c r="C470" s="26">
        <v>468</v>
      </c>
      <c r="D470" s="27">
        <v>44446</v>
      </c>
      <c r="E470" s="23">
        <v>-18945.91</v>
      </c>
      <c r="F470" s="23">
        <v>1</v>
      </c>
      <c r="G470" s="24">
        <v>1</v>
      </c>
      <c r="H470" s="28">
        <f>tbTransactions[[#This Row],[Qty]]*tbTransactions[[#This Row],[Unit Cost]]*tbTransactions[[#This Row],[Exchange Rate]]</f>
        <v>-18945.91</v>
      </c>
      <c r="I470" s="245" t="s">
        <v>536</v>
      </c>
      <c r="J470" s="243" t="s">
        <v>418</v>
      </c>
      <c r="K470" s="183" t="str">
        <f>IF(tbTransactions[[#This Row],[Sub-Type]]="Transfer","Neutral",IF(tbTransactions[[#This Row],[Qty]]&lt;0,"Debit",IF(tbTransactions[[#This Row],[Qty]]&gt;0,"Credit","Neutral")))</f>
        <v>Debit</v>
      </c>
      <c r="L470" s="243" t="s">
        <v>528</v>
      </c>
      <c r="M470" s="244" t="s">
        <v>454</v>
      </c>
    </row>
    <row r="471" spans="3:13" ht="30" customHeight="1" x14ac:dyDescent="0.25">
      <c r="C471" s="26">
        <v>469</v>
      </c>
      <c r="D471" s="27">
        <v>44446</v>
      </c>
      <c r="E471" s="23">
        <v>-94.72</v>
      </c>
      <c r="F471" s="23">
        <v>1</v>
      </c>
      <c r="G471" s="24">
        <v>1</v>
      </c>
      <c r="H471" s="28">
        <f>tbTransactions[[#This Row],[Qty]]*tbTransactions[[#This Row],[Unit Cost]]*tbTransactions[[#This Row],[Exchange Rate]]</f>
        <v>-94.72</v>
      </c>
      <c r="I471" s="245" t="s">
        <v>536</v>
      </c>
      <c r="J471" s="243" t="s">
        <v>418</v>
      </c>
      <c r="K471" s="183" t="str">
        <f>IF(tbTransactions[[#This Row],[Sub-Type]]="Transfer","Neutral",IF(tbTransactions[[#This Row],[Qty]]&lt;0,"Debit",IF(tbTransactions[[#This Row],[Qty]]&gt;0,"Credit","Neutral")))</f>
        <v>Debit</v>
      </c>
      <c r="L471" s="243" t="s">
        <v>14</v>
      </c>
      <c r="M471" s="244" t="s">
        <v>454</v>
      </c>
    </row>
    <row r="472" spans="3:13" ht="30" customHeight="1" x14ac:dyDescent="0.25">
      <c r="C472" s="26">
        <v>470</v>
      </c>
      <c r="D472" s="27">
        <v>44446</v>
      </c>
      <c r="E472" s="23">
        <v>1.3079542200000001</v>
      </c>
      <c r="F472" s="23">
        <v>2935.4900252343964</v>
      </c>
      <c r="G472" s="24">
        <v>1</v>
      </c>
      <c r="H472" s="28">
        <f>tbTransactions[[#This Row],[Qty]]*tbTransactions[[#This Row],[Unit Cost]]*tbTransactions[[#This Row],[Exchange Rate]]</f>
        <v>3839.4865662732354</v>
      </c>
      <c r="I472" s="245" t="s">
        <v>536</v>
      </c>
      <c r="J472" s="243" t="s">
        <v>24</v>
      </c>
      <c r="K472" s="183" t="str">
        <f>IF(tbTransactions[[#This Row],[Sub-Type]]="Transfer","Neutral",IF(tbTransactions[[#This Row],[Qty]]&lt;0,"Debit",IF(tbTransactions[[#This Row],[Qty]]&gt;0,"Credit","Neutral")))</f>
        <v>Credit</v>
      </c>
      <c r="L472" s="243" t="s">
        <v>36</v>
      </c>
      <c r="M472" s="244" t="s">
        <v>596</v>
      </c>
    </row>
    <row r="473" spans="3:13" ht="30" customHeight="1" x14ac:dyDescent="0.25">
      <c r="C473" s="26">
        <v>471</v>
      </c>
      <c r="D473" s="27">
        <v>44446</v>
      </c>
      <c r="E473" s="23">
        <f>153.29-151.159213</f>
        <v>2.130786999999998</v>
      </c>
      <c r="F473" s="23">
        <v>1.26</v>
      </c>
      <c r="G473" s="24">
        <v>1</v>
      </c>
      <c r="H473" s="28">
        <f>tbTransactions[[#This Row],[Qty]]*tbTransactions[[#This Row],[Unit Cost]]*tbTransactions[[#This Row],[Exchange Rate]]</f>
        <v>2.6847916199999973</v>
      </c>
      <c r="I473" s="245" t="s">
        <v>537</v>
      </c>
      <c r="J473" s="243" t="s">
        <v>523</v>
      </c>
      <c r="K473" s="183" t="str">
        <f>IF(tbTransactions[[#This Row],[Sub-Type]]="Transfer","Neutral",IF(tbTransactions[[#This Row],[Qty]]&lt;0,"Debit",IF(tbTransactions[[#This Row],[Qty]]&gt;0,"Credit","Neutral")))</f>
        <v>Credit</v>
      </c>
      <c r="L473" s="243" t="s">
        <v>36</v>
      </c>
      <c r="M473" s="41"/>
    </row>
    <row r="474" spans="3:13" ht="30" customHeight="1" x14ac:dyDescent="0.25">
      <c r="C474" s="26">
        <v>472</v>
      </c>
      <c r="D474" s="27">
        <v>44446</v>
      </c>
      <c r="E474" s="23">
        <v>2.5579999999999999E-3</v>
      </c>
      <c r="F474" s="23">
        <v>0</v>
      </c>
      <c r="G474" s="24">
        <v>1</v>
      </c>
      <c r="H474" s="28">
        <f>tbTransactions[[#This Row],[Qty]]*tbTransactions[[#This Row],[Unit Cost]]*tbTransactions[[#This Row],[Exchange Rate]]</f>
        <v>0</v>
      </c>
      <c r="I474" s="245" t="s">
        <v>534</v>
      </c>
      <c r="J474" s="243" t="s">
        <v>19</v>
      </c>
      <c r="K474" s="183" t="str">
        <f>IF(tbTransactions[[#This Row],[Sub-Type]]="Transfer","Neutral",IF(tbTransactions[[#This Row],[Qty]]&lt;0,"Debit",IF(tbTransactions[[#This Row],[Qty]]&gt;0,"Credit","Neutral")))</f>
        <v>Credit</v>
      </c>
      <c r="L474" s="174" t="s">
        <v>546</v>
      </c>
      <c r="M474" s="225" t="s">
        <v>441</v>
      </c>
    </row>
    <row r="475" spans="3:13" ht="30" customHeight="1" x14ac:dyDescent="0.25">
      <c r="C475" s="26">
        <v>473</v>
      </c>
      <c r="D475" s="27">
        <v>44446</v>
      </c>
      <c r="E475" s="23">
        <v>2.4863330699999998E-2</v>
      </c>
      <c r="F475" s="23">
        <v>0</v>
      </c>
      <c r="G475" s="24">
        <v>1</v>
      </c>
      <c r="H475" s="28">
        <f>tbTransactions[[#This Row],[Qty]]*tbTransactions[[#This Row],[Unit Cost]]*tbTransactions[[#This Row],[Exchange Rate]]</f>
        <v>0</v>
      </c>
      <c r="I475" s="100" t="s">
        <v>539</v>
      </c>
      <c r="J475" s="228" t="s">
        <v>22</v>
      </c>
      <c r="K475" s="183" t="str">
        <f>IF(tbTransactions[[#This Row],[Sub-Type]]="Transfer","Neutral",IF(tbTransactions[[#This Row],[Qty]]&lt;0,"Debit",IF(tbTransactions[[#This Row],[Qty]]&gt;0,"Credit","Neutral")))</f>
        <v>Credit</v>
      </c>
      <c r="L475" s="174" t="s">
        <v>546</v>
      </c>
      <c r="M475" s="180" t="s">
        <v>481</v>
      </c>
    </row>
    <row r="476" spans="3:13" ht="30" customHeight="1" x14ac:dyDescent="0.25">
      <c r="C476" s="26">
        <v>474</v>
      </c>
      <c r="D476" s="27">
        <v>44446</v>
      </c>
      <c r="E476" s="23">
        <v>-0.05</v>
      </c>
      <c r="F476" s="23">
        <v>4336</v>
      </c>
      <c r="G476" s="24">
        <v>1</v>
      </c>
      <c r="H476" s="28">
        <f>tbTransactions[[#This Row],[Qty]]*tbTransactions[[#This Row],[Unit Cost]]*tbTransactions[[#This Row],[Exchange Rate]]</f>
        <v>-216.8</v>
      </c>
      <c r="I476" s="245" t="s">
        <v>536</v>
      </c>
      <c r="J476" s="243" t="s">
        <v>24</v>
      </c>
      <c r="K476" s="183" t="str">
        <f>IF(tbTransactions[[#This Row],[Sub-Type]]="Transfer","Neutral",IF(tbTransactions[[#This Row],[Qty]]&lt;0,"Debit",IF(tbTransactions[[#This Row],[Qty]]&gt;0,"Credit","Neutral")))</f>
        <v>Debit</v>
      </c>
      <c r="L476" s="243" t="s">
        <v>14</v>
      </c>
      <c r="M476" s="244" t="s">
        <v>569</v>
      </c>
    </row>
    <row r="477" spans="3:13" ht="30" customHeight="1" x14ac:dyDescent="0.25">
      <c r="C477" s="26">
        <v>475</v>
      </c>
      <c r="D477" s="27">
        <v>44446</v>
      </c>
      <c r="E477" s="23">
        <v>-5.5853375600000001</v>
      </c>
      <c r="F477" s="23">
        <v>4336</v>
      </c>
      <c r="G477" s="24">
        <v>1</v>
      </c>
      <c r="H477" s="28">
        <f>tbTransactions[[#This Row],[Qty]]*tbTransactions[[#This Row],[Unit Cost]]*tbTransactions[[#This Row],[Exchange Rate]]</f>
        <v>-24218.023660160001</v>
      </c>
      <c r="I477" s="245" t="s">
        <v>536</v>
      </c>
      <c r="J477" s="243" t="s">
        <v>24</v>
      </c>
      <c r="K477" s="183" t="str">
        <f>IF(tbTransactions[[#This Row],[Sub-Type]]="Transfer","Neutral",IF(tbTransactions[[#This Row],[Qty]]&lt;0,"Debit",IF(tbTransactions[[#This Row],[Qty]]&gt;0,"Credit","Neutral")))</f>
        <v>Neutral</v>
      </c>
      <c r="L477" s="243" t="s">
        <v>39</v>
      </c>
      <c r="M477" s="244" t="s">
        <v>569</v>
      </c>
    </row>
    <row r="478" spans="3:13" ht="30" customHeight="1" x14ac:dyDescent="0.25">
      <c r="C478" s="26">
        <v>476</v>
      </c>
      <c r="D478" s="27">
        <v>44446</v>
      </c>
      <c r="E478" s="23">
        <v>5.5812299999999997</v>
      </c>
      <c r="F478" s="23">
        <v>4305</v>
      </c>
      <c r="G478" s="24">
        <v>1</v>
      </c>
      <c r="H478" s="28">
        <f>tbTransactions[[#This Row],[Qty]]*tbTransactions[[#This Row],[Unit Cost]]*tbTransactions[[#This Row],[Exchange Rate]]</f>
        <v>24027.19515</v>
      </c>
      <c r="I478" s="245" t="s">
        <v>568</v>
      </c>
      <c r="J478" s="243" t="s">
        <v>24</v>
      </c>
      <c r="K478" s="183" t="str">
        <f>IF(tbTransactions[[#This Row],[Sub-Type]]="Transfer","Neutral",IF(tbTransactions[[#This Row],[Qty]]&lt;0,"Debit",IF(tbTransactions[[#This Row],[Qty]]&gt;0,"Credit","Neutral")))</f>
        <v>Neutral</v>
      </c>
      <c r="L478" s="243" t="s">
        <v>39</v>
      </c>
      <c r="M478" s="244" t="s">
        <v>569</v>
      </c>
    </row>
    <row r="479" spans="3:13" ht="30" customHeight="1" x14ac:dyDescent="0.25">
      <c r="C479" s="26">
        <v>477</v>
      </c>
      <c r="D479" s="27">
        <v>44446</v>
      </c>
      <c r="E479" s="23">
        <v>-5.5812299999999997</v>
      </c>
      <c r="F479" s="23">
        <v>4311</v>
      </c>
      <c r="G479" s="24">
        <v>1</v>
      </c>
      <c r="H479" s="28">
        <f>tbTransactions[[#This Row],[Qty]]*tbTransactions[[#This Row],[Unit Cost]]*tbTransactions[[#This Row],[Exchange Rate]]</f>
        <v>-24060.682529999998</v>
      </c>
      <c r="I479" s="197" t="s">
        <v>568</v>
      </c>
      <c r="J479" s="296" t="s">
        <v>24</v>
      </c>
      <c r="K479" s="183" t="str">
        <f>IF(tbTransactions[[#This Row],[Sub-Type]]="Transfer","Neutral",IF(tbTransactions[[#This Row],[Qty]]&lt;0,"Debit",IF(tbTransactions[[#This Row],[Qty]]&gt;0,"Credit","Neutral")))</f>
        <v>Neutral</v>
      </c>
      <c r="L479" s="243" t="s">
        <v>39</v>
      </c>
      <c r="M479" s="244" t="s">
        <v>571</v>
      </c>
    </row>
    <row r="480" spans="3:13" ht="30" customHeight="1" x14ac:dyDescent="0.25">
      <c r="C480" s="26">
        <v>478</v>
      </c>
      <c r="D480" s="27">
        <v>44446</v>
      </c>
      <c r="E480" s="23">
        <v>5.5812299999999997</v>
      </c>
      <c r="F480" s="23">
        <v>4311</v>
      </c>
      <c r="G480" s="24">
        <v>1</v>
      </c>
      <c r="H480" s="28">
        <f>tbTransactions[[#This Row],[Qty]]*tbTransactions[[#This Row],[Unit Cost]]*tbTransactions[[#This Row],[Exchange Rate]]</f>
        <v>24060.682529999998</v>
      </c>
      <c r="I480" s="197" t="s">
        <v>570</v>
      </c>
      <c r="J480" s="296" t="s">
        <v>24</v>
      </c>
      <c r="K480" s="183" t="str">
        <f>IF(tbTransactions[[#This Row],[Sub-Type]]="Transfer","Neutral",IF(tbTransactions[[#This Row],[Qty]]&lt;0,"Debit",IF(tbTransactions[[#This Row],[Qty]]&gt;0,"Credit","Neutral")))</f>
        <v>Neutral</v>
      </c>
      <c r="L480" s="243" t="s">
        <v>39</v>
      </c>
      <c r="M480" s="244" t="s">
        <v>571</v>
      </c>
    </row>
    <row r="481" spans="3:13" ht="30" customHeight="1" x14ac:dyDescent="0.25">
      <c r="C481" s="26">
        <v>479</v>
      </c>
      <c r="D481" s="27">
        <v>44446</v>
      </c>
      <c r="E481" s="23">
        <v>-3000</v>
      </c>
      <c r="F481" s="23">
        <v>1</v>
      </c>
      <c r="G481" s="24">
        <v>1</v>
      </c>
      <c r="H481" s="28">
        <f>tbTransactions[[#This Row],[Qty]]*tbTransactions[[#This Row],[Unit Cost]]*tbTransactions[[#This Row],[Exchange Rate]]</f>
        <v>-3000</v>
      </c>
      <c r="I481" s="246" t="s">
        <v>526</v>
      </c>
      <c r="J481" s="247" t="s">
        <v>418</v>
      </c>
      <c r="K481" s="183" t="str">
        <f>IF(tbTransactions[[#This Row],[Sub-Type]]="Transfer","Neutral",IF(tbTransactions[[#This Row],[Qty]]&lt;0,"Debit",IF(tbTransactions[[#This Row],[Qty]]&gt;0,"Credit","Neutral")))</f>
        <v>Debit</v>
      </c>
      <c r="L481" s="161" t="s">
        <v>529</v>
      </c>
      <c r="M481" s="41"/>
    </row>
    <row r="482" spans="3:13" ht="30" customHeight="1" x14ac:dyDescent="0.25">
      <c r="C482" s="26">
        <v>480</v>
      </c>
      <c r="D482" s="27">
        <v>44446</v>
      </c>
      <c r="E482" s="23">
        <v>3000</v>
      </c>
      <c r="F482" s="23">
        <v>1</v>
      </c>
      <c r="G482" s="24">
        <v>1</v>
      </c>
      <c r="H482" s="28">
        <f>tbTransactions[[#This Row],[Qty]]*tbTransactions[[#This Row],[Unit Cost]]*tbTransactions[[#This Row],[Exchange Rate]]</f>
        <v>3000</v>
      </c>
      <c r="I482" s="246" t="s">
        <v>531</v>
      </c>
      <c r="J482" s="247" t="s">
        <v>418</v>
      </c>
      <c r="K482" s="183" t="str">
        <f>IF(tbTransactions[[#This Row],[Sub-Type]]="Transfer","Neutral",IF(tbTransactions[[#This Row],[Qty]]&lt;0,"Debit",IF(tbTransactions[[#This Row],[Qty]]&gt;0,"Credit","Neutral")))</f>
        <v>Credit</v>
      </c>
      <c r="L482" s="174" t="s">
        <v>527</v>
      </c>
      <c r="M482" s="41"/>
    </row>
    <row r="483" spans="3:13" ht="30" customHeight="1" x14ac:dyDescent="0.25">
      <c r="C483" s="26">
        <v>481</v>
      </c>
      <c r="D483" s="27">
        <v>44447</v>
      </c>
      <c r="E483" s="23">
        <v>2.9647993899999999E-2</v>
      </c>
      <c r="F483" s="23">
        <v>0</v>
      </c>
      <c r="G483" s="24">
        <v>1</v>
      </c>
      <c r="H483" s="28">
        <f>tbTransactions[[#This Row],[Qty]]*tbTransactions[[#This Row],[Unit Cost]]*tbTransactions[[#This Row],[Exchange Rate]]</f>
        <v>0</v>
      </c>
      <c r="I483" s="100" t="s">
        <v>539</v>
      </c>
      <c r="J483" s="228" t="s">
        <v>22</v>
      </c>
      <c r="K483" s="183" t="str">
        <f>IF(tbTransactions[[#This Row],[Sub-Type]]="Transfer","Neutral",IF(tbTransactions[[#This Row],[Qty]]&lt;0,"Debit",IF(tbTransactions[[#This Row],[Qty]]&gt;0,"Credit","Neutral")))</f>
        <v>Credit</v>
      </c>
      <c r="L483" s="174" t="s">
        <v>546</v>
      </c>
      <c r="M483" s="180" t="s">
        <v>481</v>
      </c>
    </row>
    <row r="484" spans="3:13" ht="30" customHeight="1" x14ac:dyDescent="0.25">
      <c r="C484" s="26">
        <v>482</v>
      </c>
      <c r="D484" s="27">
        <v>44448</v>
      </c>
      <c r="E484" s="23">
        <v>2.7696067500000001E-2</v>
      </c>
      <c r="F484" s="23">
        <v>0</v>
      </c>
      <c r="G484" s="24">
        <v>1</v>
      </c>
      <c r="H484" s="28">
        <f>tbTransactions[[#This Row],[Qty]]*tbTransactions[[#This Row],[Unit Cost]]*tbTransactions[[#This Row],[Exchange Rate]]</f>
        <v>0</v>
      </c>
      <c r="I484" s="100" t="s">
        <v>539</v>
      </c>
      <c r="J484" s="228" t="s">
        <v>22</v>
      </c>
      <c r="K484" s="183" t="str">
        <f>IF(tbTransactions[[#This Row],[Sub-Type]]="Transfer","Neutral",IF(tbTransactions[[#This Row],[Qty]]&lt;0,"Debit",IF(tbTransactions[[#This Row],[Qty]]&gt;0,"Credit","Neutral")))</f>
        <v>Credit</v>
      </c>
      <c r="L484" s="174" t="s">
        <v>546</v>
      </c>
      <c r="M484" s="180" t="s">
        <v>481</v>
      </c>
    </row>
    <row r="485" spans="3:13" ht="30" customHeight="1" x14ac:dyDescent="0.25">
      <c r="C485" s="26">
        <v>483</v>
      </c>
      <c r="D485" s="27">
        <v>44448</v>
      </c>
      <c r="E485" s="23">
        <v>973.05</v>
      </c>
      <c r="F485" s="23">
        <v>3.05</v>
      </c>
      <c r="G485" s="24">
        <v>1</v>
      </c>
      <c r="H485" s="28">
        <f>tbTransactions[[#This Row],[Qty]]*tbTransactions[[#This Row],[Unit Cost]]*tbTransactions[[#This Row],[Exchange Rate]]</f>
        <v>2967.8024999999998</v>
      </c>
      <c r="I485" s="246" t="s">
        <v>531</v>
      </c>
      <c r="J485" s="250" t="s">
        <v>19</v>
      </c>
      <c r="K485" s="183" t="str">
        <f>IF(tbTransactions[[#This Row],[Sub-Type]]="Transfer","Neutral",IF(tbTransactions[[#This Row],[Qty]]&lt;0,"Debit",IF(tbTransactions[[#This Row],[Qty]]&gt;0,"Credit","Neutral")))</f>
        <v>Credit</v>
      </c>
      <c r="L485" s="250" t="s">
        <v>532</v>
      </c>
      <c r="M485" s="249" t="s">
        <v>469</v>
      </c>
    </row>
    <row r="486" spans="3:13" ht="30" customHeight="1" x14ac:dyDescent="0.25">
      <c r="C486" s="26">
        <v>484</v>
      </c>
      <c r="D486" s="27">
        <v>44448</v>
      </c>
      <c r="E486" s="23">
        <v>-2967.8024999999998</v>
      </c>
      <c r="F486" s="23">
        <v>1</v>
      </c>
      <c r="G486" s="24">
        <v>1</v>
      </c>
      <c r="H486" s="28">
        <f>tbTransactions[[#This Row],[Qty]]*tbTransactions[[#This Row],[Unit Cost]]*tbTransactions[[#This Row],[Exchange Rate]]</f>
        <v>-2967.8024999999998</v>
      </c>
      <c r="I486" s="246" t="s">
        <v>531</v>
      </c>
      <c r="J486" s="250" t="s">
        <v>418</v>
      </c>
      <c r="K486" s="183" t="str">
        <f>IF(tbTransactions[[#This Row],[Sub-Type]]="Transfer","Neutral",IF(tbTransactions[[#This Row],[Qty]]&lt;0,"Debit",IF(tbTransactions[[#This Row],[Qty]]&gt;0,"Credit","Neutral")))</f>
        <v>Debit</v>
      </c>
      <c r="L486" s="250" t="s">
        <v>528</v>
      </c>
      <c r="M486" s="249" t="s">
        <v>469</v>
      </c>
    </row>
    <row r="487" spans="3:13" ht="30" customHeight="1" x14ac:dyDescent="0.25">
      <c r="C487" s="26">
        <v>485</v>
      </c>
      <c r="D487" s="27">
        <v>44449</v>
      </c>
      <c r="E487" s="23">
        <v>-3000</v>
      </c>
      <c r="F487" s="23">
        <v>1</v>
      </c>
      <c r="G487" s="24">
        <v>1</v>
      </c>
      <c r="H487" s="28">
        <f>tbTransactions[[#This Row],[Qty]]*tbTransactions[[#This Row],[Unit Cost]]*tbTransactions[[#This Row],[Exchange Rate]]</f>
        <v>-3000</v>
      </c>
      <c r="I487" s="246" t="s">
        <v>526</v>
      </c>
      <c r="J487" s="247" t="s">
        <v>418</v>
      </c>
      <c r="K487" s="183" t="str">
        <f>IF(tbTransactions[[#This Row],[Sub-Type]]="Transfer","Neutral",IF(tbTransactions[[#This Row],[Qty]]&lt;0,"Debit",IF(tbTransactions[[#This Row],[Qty]]&gt;0,"Credit","Neutral")))</f>
        <v>Debit</v>
      </c>
      <c r="L487" s="161" t="s">
        <v>529</v>
      </c>
      <c r="M487" s="41"/>
    </row>
    <row r="488" spans="3:13" ht="30" customHeight="1" x14ac:dyDescent="0.25">
      <c r="C488" s="26">
        <v>486</v>
      </c>
      <c r="D488" s="27">
        <v>44449</v>
      </c>
      <c r="E488" s="23">
        <v>3000</v>
      </c>
      <c r="F488" s="23">
        <v>1</v>
      </c>
      <c r="G488" s="24">
        <v>1</v>
      </c>
      <c r="H488" s="28">
        <f>tbTransactions[[#This Row],[Qty]]*tbTransactions[[#This Row],[Unit Cost]]*tbTransactions[[#This Row],[Exchange Rate]]</f>
        <v>3000</v>
      </c>
      <c r="I488" s="246" t="s">
        <v>531</v>
      </c>
      <c r="J488" s="247" t="s">
        <v>418</v>
      </c>
      <c r="K488" s="183" t="str">
        <f>IF(tbTransactions[[#This Row],[Sub-Type]]="Transfer","Neutral",IF(tbTransactions[[#This Row],[Qty]]&lt;0,"Debit",IF(tbTransactions[[#This Row],[Qty]]&gt;0,"Credit","Neutral")))</f>
        <v>Credit</v>
      </c>
      <c r="L488" s="174" t="s">
        <v>527</v>
      </c>
      <c r="M488" s="41"/>
    </row>
    <row r="489" spans="3:13" ht="30" customHeight="1" x14ac:dyDescent="0.25">
      <c r="C489" s="26">
        <v>487</v>
      </c>
      <c r="D489" s="27">
        <v>44449</v>
      </c>
      <c r="E489" s="23">
        <v>74</v>
      </c>
      <c r="F489" s="23">
        <v>3.087202</v>
      </c>
      <c r="G489" s="24">
        <v>1</v>
      </c>
      <c r="H489" s="28">
        <f>tbTransactions[[#This Row],[Qty]]*tbTransactions[[#This Row],[Unit Cost]]*tbTransactions[[#This Row],[Exchange Rate]]</f>
        <v>228.45294799999999</v>
      </c>
      <c r="I489" s="246" t="s">
        <v>531</v>
      </c>
      <c r="J489" s="250" t="s">
        <v>19</v>
      </c>
      <c r="K489" s="183" t="str">
        <f>IF(tbTransactions[[#This Row],[Sub-Type]]="Transfer","Neutral",IF(tbTransactions[[#This Row],[Qty]]&lt;0,"Debit",IF(tbTransactions[[#This Row],[Qty]]&gt;0,"Credit","Neutral")))</f>
        <v>Credit</v>
      </c>
      <c r="L489" s="250" t="s">
        <v>532</v>
      </c>
      <c r="M489" s="249" t="s">
        <v>469</v>
      </c>
    </row>
    <row r="490" spans="3:13" ht="30" customHeight="1" x14ac:dyDescent="0.25">
      <c r="C490" s="26">
        <v>488</v>
      </c>
      <c r="D490" s="27">
        <v>44449</v>
      </c>
      <c r="E490" s="23">
        <v>97</v>
      </c>
      <c r="F490" s="23">
        <v>3.1</v>
      </c>
      <c r="G490" s="24">
        <v>1</v>
      </c>
      <c r="H490" s="28">
        <f>tbTransactions[[#This Row],[Qty]]*tbTransactions[[#This Row],[Unit Cost]]*tbTransactions[[#This Row],[Exchange Rate]]</f>
        <v>300.7</v>
      </c>
      <c r="I490" s="246" t="s">
        <v>531</v>
      </c>
      <c r="J490" s="250" t="s">
        <v>19</v>
      </c>
      <c r="K490" s="183" t="str">
        <f>IF(tbTransactions[[#This Row],[Sub-Type]]="Transfer","Neutral",IF(tbTransactions[[#This Row],[Qty]]&lt;0,"Debit",IF(tbTransactions[[#This Row],[Qty]]&gt;0,"Credit","Neutral")))</f>
        <v>Credit</v>
      </c>
      <c r="L490" s="250" t="s">
        <v>532</v>
      </c>
      <c r="M490" s="249" t="s">
        <v>469</v>
      </c>
    </row>
    <row r="491" spans="3:13" ht="30" customHeight="1" x14ac:dyDescent="0.25">
      <c r="C491" s="26">
        <v>489</v>
      </c>
      <c r="D491" s="27">
        <v>44449</v>
      </c>
      <c r="E491" s="23">
        <v>796</v>
      </c>
      <c r="F491" s="23">
        <v>3.1</v>
      </c>
      <c r="G491" s="24">
        <v>1</v>
      </c>
      <c r="H491" s="28">
        <f>tbTransactions[[#This Row],[Qty]]*tbTransactions[[#This Row],[Unit Cost]]*tbTransactions[[#This Row],[Exchange Rate]]</f>
        <v>2467.6</v>
      </c>
      <c r="I491" s="246" t="s">
        <v>531</v>
      </c>
      <c r="J491" s="250" t="s">
        <v>19</v>
      </c>
      <c r="K491" s="183" t="str">
        <f>IF(tbTransactions[[#This Row],[Sub-Type]]="Transfer","Neutral",IF(tbTransactions[[#This Row],[Qty]]&lt;0,"Debit",IF(tbTransactions[[#This Row],[Qty]]&gt;0,"Credit","Neutral")))</f>
        <v>Credit</v>
      </c>
      <c r="L491" s="250" t="s">
        <v>532</v>
      </c>
      <c r="M491" s="249" t="s">
        <v>469</v>
      </c>
    </row>
    <row r="492" spans="3:13" ht="30" customHeight="1" x14ac:dyDescent="0.25">
      <c r="C492" s="26">
        <v>490</v>
      </c>
      <c r="D492" s="27">
        <v>44449</v>
      </c>
      <c r="E492" s="23">
        <v>-2997.7</v>
      </c>
      <c r="F492" s="23">
        <v>1</v>
      </c>
      <c r="G492" s="24">
        <v>1</v>
      </c>
      <c r="H492" s="28">
        <f>tbTransactions[[#This Row],[Qty]]*tbTransactions[[#This Row],[Unit Cost]]*tbTransactions[[#This Row],[Exchange Rate]]</f>
        <v>-2997.7</v>
      </c>
      <c r="I492" s="246" t="s">
        <v>531</v>
      </c>
      <c r="J492" s="250" t="s">
        <v>418</v>
      </c>
      <c r="K492" s="183" t="str">
        <f>IF(tbTransactions[[#This Row],[Sub-Type]]="Transfer","Neutral",IF(tbTransactions[[#This Row],[Qty]]&lt;0,"Debit",IF(tbTransactions[[#This Row],[Qty]]&gt;0,"Credit","Neutral")))</f>
        <v>Debit</v>
      </c>
      <c r="L492" s="250" t="s">
        <v>528</v>
      </c>
      <c r="M492" s="249" t="s">
        <v>469</v>
      </c>
    </row>
    <row r="493" spans="3:13" ht="30" customHeight="1" x14ac:dyDescent="0.25">
      <c r="C493" s="26">
        <v>491</v>
      </c>
      <c r="D493" s="27">
        <v>44449</v>
      </c>
      <c r="E493" s="23">
        <v>-1937.816</v>
      </c>
      <c r="F493" s="23">
        <v>3.05</v>
      </c>
      <c r="G493" s="24">
        <v>1</v>
      </c>
      <c r="H493" s="28">
        <f>tbTransactions[[#This Row],[Qty]]*tbTransactions[[#This Row],[Unit Cost]]*tbTransactions[[#This Row],[Exchange Rate]]</f>
        <v>-5910.3387999999995</v>
      </c>
      <c r="I493" s="246" t="s">
        <v>531</v>
      </c>
      <c r="J493" s="250" t="s">
        <v>19</v>
      </c>
      <c r="K493" s="183" t="str">
        <f>IF(tbTransactions[[#This Row],[Sub-Type]]="Transfer","Neutral",IF(tbTransactions[[#This Row],[Qty]]&lt;0,"Debit",IF(tbTransactions[[#This Row],[Qty]]&gt;0,"Credit","Neutral")))</f>
        <v>Neutral</v>
      </c>
      <c r="L493" s="250" t="s">
        <v>39</v>
      </c>
      <c r="M493" s="249" t="s">
        <v>42</v>
      </c>
    </row>
    <row r="494" spans="3:13" ht="30" customHeight="1" x14ac:dyDescent="0.25">
      <c r="C494" s="26">
        <v>492</v>
      </c>
      <c r="D494" s="27">
        <v>44449</v>
      </c>
      <c r="E494" s="23">
        <v>1937.816</v>
      </c>
      <c r="F494" s="23">
        <v>3.05</v>
      </c>
      <c r="G494" s="24">
        <v>1</v>
      </c>
      <c r="H494" s="28">
        <f>tbTransactions[[#This Row],[Qty]]*tbTransactions[[#This Row],[Unit Cost]]*tbTransactions[[#This Row],[Exchange Rate]]</f>
        <v>5910.3387999999995</v>
      </c>
      <c r="I494" s="248" t="s">
        <v>534</v>
      </c>
      <c r="J494" s="250" t="s">
        <v>19</v>
      </c>
      <c r="K494" s="183" t="str">
        <f>IF(tbTransactions[[#This Row],[Sub-Type]]="Transfer","Neutral",IF(tbTransactions[[#This Row],[Qty]]&lt;0,"Debit",IF(tbTransactions[[#This Row],[Qty]]&gt;0,"Credit","Neutral")))</f>
        <v>Neutral</v>
      </c>
      <c r="L494" s="250" t="s">
        <v>39</v>
      </c>
      <c r="M494" s="249" t="s">
        <v>42</v>
      </c>
    </row>
    <row r="495" spans="3:13" ht="30" customHeight="1" x14ac:dyDescent="0.25">
      <c r="C495" s="26">
        <v>493</v>
      </c>
      <c r="D495" s="27">
        <v>44449</v>
      </c>
      <c r="E495" s="23">
        <v>-0.3</v>
      </c>
      <c r="F495" s="23">
        <v>3.05</v>
      </c>
      <c r="G495" s="24">
        <v>1</v>
      </c>
      <c r="H495" s="28">
        <f>tbTransactions[[#This Row],[Qty]]*tbTransactions[[#This Row],[Unit Cost]]*tbTransactions[[#This Row],[Exchange Rate]]</f>
        <v>-0.91499999999999992</v>
      </c>
      <c r="I495" s="248" t="s">
        <v>534</v>
      </c>
      <c r="J495" s="250" t="s">
        <v>19</v>
      </c>
      <c r="K495" s="183" t="str">
        <f>IF(tbTransactions[[#This Row],[Sub-Type]]="Transfer","Neutral",IF(tbTransactions[[#This Row],[Qty]]&lt;0,"Debit",IF(tbTransactions[[#This Row],[Qty]]&gt;0,"Credit","Neutral")))</f>
        <v>Debit</v>
      </c>
      <c r="L495" s="250" t="s">
        <v>14</v>
      </c>
      <c r="M495" s="249" t="s">
        <v>42</v>
      </c>
    </row>
    <row r="496" spans="3:13" ht="30" customHeight="1" x14ac:dyDescent="0.25">
      <c r="C496" s="26">
        <v>494</v>
      </c>
      <c r="D496" s="27">
        <v>44449</v>
      </c>
      <c r="E496" s="23">
        <v>2.3807840300000001E-2</v>
      </c>
      <c r="F496" s="23">
        <v>0</v>
      </c>
      <c r="G496" s="24">
        <v>1</v>
      </c>
      <c r="H496" s="28">
        <f>tbTransactions[[#This Row],[Qty]]*tbTransactions[[#This Row],[Unit Cost]]*tbTransactions[[#This Row],[Exchange Rate]]</f>
        <v>0</v>
      </c>
      <c r="I496" s="100" t="s">
        <v>539</v>
      </c>
      <c r="J496" s="228" t="s">
        <v>22</v>
      </c>
      <c r="K496" s="183" t="str">
        <f>IF(tbTransactions[[#This Row],[Sub-Type]]="Transfer","Neutral",IF(tbTransactions[[#This Row],[Qty]]&lt;0,"Debit",IF(tbTransactions[[#This Row],[Qty]]&gt;0,"Credit","Neutral")))</f>
        <v>Credit</v>
      </c>
      <c r="L496" s="174" t="s">
        <v>546</v>
      </c>
      <c r="M496" s="180" t="s">
        <v>481</v>
      </c>
    </row>
    <row r="497" spans="3:13" ht="30" customHeight="1" x14ac:dyDescent="0.25">
      <c r="C497" s="26">
        <v>495</v>
      </c>
      <c r="D497" s="27">
        <v>44449</v>
      </c>
      <c r="E497" s="23">
        <v>-2.643E-3</v>
      </c>
      <c r="F497" s="23">
        <v>4158</v>
      </c>
      <c r="G497" s="24">
        <v>1</v>
      </c>
      <c r="H497" s="28">
        <f>tbTransactions[[#This Row],[Qty]]*tbTransactions[[#This Row],[Unit Cost]]*tbTransactions[[#This Row],[Exchange Rate]]</f>
        <v>-10.989594</v>
      </c>
      <c r="I497" s="251" t="s">
        <v>537</v>
      </c>
      <c r="J497" s="252" t="s">
        <v>24</v>
      </c>
      <c r="K497" s="183" t="str">
        <f>IF(tbTransactions[[#This Row],[Sub-Type]]="Transfer","Neutral",IF(tbTransactions[[#This Row],[Qty]]&lt;0,"Debit",IF(tbTransactions[[#This Row],[Qty]]&gt;0,"Credit","Neutral")))</f>
        <v>Debit</v>
      </c>
      <c r="L497" s="252" t="s">
        <v>14</v>
      </c>
      <c r="M497" s="253" t="s">
        <v>598</v>
      </c>
    </row>
    <row r="498" spans="3:13" ht="30" customHeight="1" x14ac:dyDescent="0.25">
      <c r="C498" s="26">
        <v>496</v>
      </c>
      <c r="D498" s="27">
        <v>44449</v>
      </c>
      <c r="E498" s="23">
        <v>-2.6373000000000001E-2</v>
      </c>
      <c r="F498" s="23">
        <v>4158</v>
      </c>
      <c r="G498" s="24">
        <v>1</v>
      </c>
      <c r="H498" s="28">
        <f>tbTransactions[[#This Row],[Qty]]*tbTransactions[[#This Row],[Unit Cost]]*tbTransactions[[#This Row],[Exchange Rate]]</f>
        <v>-109.658934</v>
      </c>
      <c r="I498" s="251" t="s">
        <v>537</v>
      </c>
      <c r="J498" s="252" t="s">
        <v>24</v>
      </c>
      <c r="K498" s="183" t="str">
        <f>IF(tbTransactions[[#This Row],[Sub-Type]]="Transfer","Neutral",IF(tbTransactions[[#This Row],[Qty]]&lt;0,"Debit",IF(tbTransactions[[#This Row],[Qty]]&gt;0,"Credit","Neutral")))</f>
        <v>Debit</v>
      </c>
      <c r="L498" s="252" t="s">
        <v>14</v>
      </c>
      <c r="M498" s="253" t="s">
        <v>598</v>
      </c>
    </row>
    <row r="499" spans="3:13" ht="30" customHeight="1" x14ac:dyDescent="0.25">
      <c r="C499" s="26">
        <v>497</v>
      </c>
      <c r="D499" s="27">
        <v>44450</v>
      </c>
      <c r="E499" s="23">
        <v>2.7303147600000001E-2</v>
      </c>
      <c r="F499" s="23">
        <v>0</v>
      </c>
      <c r="G499" s="24">
        <v>1</v>
      </c>
      <c r="H499" s="28">
        <f>tbTransactions[[#This Row],[Qty]]*tbTransactions[[#This Row],[Unit Cost]]*tbTransactions[[#This Row],[Exchange Rate]]</f>
        <v>0</v>
      </c>
      <c r="I499" s="100" t="s">
        <v>539</v>
      </c>
      <c r="J499" s="228" t="s">
        <v>22</v>
      </c>
      <c r="K499" s="183" t="str">
        <f>IF(tbTransactions[[#This Row],[Sub-Type]]="Transfer","Neutral",IF(tbTransactions[[#This Row],[Qty]]&lt;0,"Debit",IF(tbTransactions[[#This Row],[Qty]]&gt;0,"Credit","Neutral")))</f>
        <v>Credit</v>
      </c>
      <c r="L499" s="174" t="s">
        <v>546</v>
      </c>
      <c r="M499" s="180" t="s">
        <v>481</v>
      </c>
    </row>
    <row r="500" spans="3:13" ht="30" customHeight="1" x14ac:dyDescent="0.25">
      <c r="C500" s="26">
        <v>498</v>
      </c>
      <c r="D500" s="27">
        <v>44450</v>
      </c>
      <c r="E500" s="23">
        <v>1.0500247000000001E-2</v>
      </c>
      <c r="F500" s="23">
        <v>0</v>
      </c>
      <c r="G500" s="24">
        <v>1</v>
      </c>
      <c r="H500" s="28">
        <f>tbTransactions[[#This Row],[Qty]]*tbTransactions[[#This Row],[Unit Cost]]*tbTransactions[[#This Row],[Exchange Rate]]</f>
        <v>0</v>
      </c>
      <c r="I500" s="254" t="s">
        <v>570</v>
      </c>
      <c r="J500" s="256" t="s">
        <v>24</v>
      </c>
      <c r="K500" s="183" t="str">
        <f>IF(tbTransactions[[#This Row],[Sub-Type]]="Transfer","Neutral",IF(tbTransactions[[#This Row],[Qty]]&lt;0,"Debit",IF(tbTransactions[[#This Row],[Qty]]&gt;0,"Credit","Neutral")))</f>
        <v>Credit</v>
      </c>
      <c r="L500" s="174" t="s">
        <v>546</v>
      </c>
      <c r="M500" s="255" t="s">
        <v>588</v>
      </c>
    </row>
    <row r="501" spans="3:13" ht="30" customHeight="1" x14ac:dyDescent="0.25">
      <c r="C501" s="26">
        <v>499</v>
      </c>
      <c r="D501" s="27">
        <v>44450</v>
      </c>
      <c r="E501" s="23">
        <v>0.1128</v>
      </c>
      <c r="F501" s="23">
        <v>0</v>
      </c>
      <c r="G501" s="24">
        <v>1</v>
      </c>
      <c r="H501" s="28">
        <f>tbTransactions[[#This Row],[Qty]]*tbTransactions[[#This Row],[Unit Cost]]*tbTransactions[[#This Row],[Exchange Rate]]</f>
        <v>0</v>
      </c>
      <c r="I501" s="254" t="s">
        <v>445</v>
      </c>
      <c r="J501" s="256" t="s">
        <v>20</v>
      </c>
      <c r="K501" s="183" t="str">
        <f>IF(tbTransactions[[#This Row],[Sub-Type]]="Transfer","Neutral",IF(tbTransactions[[#This Row],[Qty]]&lt;0,"Debit",IF(tbTransactions[[#This Row],[Qty]]&gt;0,"Credit","Neutral")))</f>
        <v>Credit</v>
      </c>
      <c r="L501" s="174" t="s">
        <v>546</v>
      </c>
      <c r="M501" s="255" t="s">
        <v>47</v>
      </c>
    </row>
    <row r="502" spans="3:13" ht="30" customHeight="1" x14ac:dyDescent="0.25">
      <c r="C502" s="26">
        <v>500</v>
      </c>
      <c r="D502" s="27">
        <v>44450</v>
      </c>
      <c r="E502" s="23">
        <v>-1.6689999999999999E-3</v>
      </c>
      <c r="F502" s="23">
        <v>6.5483E-2</v>
      </c>
      <c r="G502" s="24">
        <v>1</v>
      </c>
      <c r="H502" s="28">
        <f>tbTransactions[[#This Row],[Qty]]*tbTransactions[[#This Row],[Unit Cost]]*tbTransactions[[#This Row],[Exchange Rate]]</f>
        <v>-1.0929112699999999E-4</v>
      </c>
      <c r="I502" s="257" t="s">
        <v>559</v>
      </c>
      <c r="J502" s="259" t="s">
        <v>455</v>
      </c>
      <c r="K502" s="183" t="str">
        <f>IF(tbTransactions[[#This Row],[Sub-Type]]="Transfer","Neutral",IF(tbTransactions[[#This Row],[Qty]]&lt;0,"Debit",IF(tbTransactions[[#This Row],[Qty]]&gt;0,"Credit","Neutral")))</f>
        <v>Debit</v>
      </c>
      <c r="L502" s="259" t="s">
        <v>14</v>
      </c>
      <c r="M502" s="258" t="s">
        <v>599</v>
      </c>
    </row>
    <row r="503" spans="3:13" ht="30" customHeight="1" x14ac:dyDescent="0.25">
      <c r="C503" s="26">
        <v>501</v>
      </c>
      <c r="D503" s="27">
        <v>44450</v>
      </c>
      <c r="E503" s="23">
        <v>-19.18</v>
      </c>
      <c r="F503" s="23">
        <v>1</v>
      </c>
      <c r="G503" s="24">
        <v>1</v>
      </c>
      <c r="H503" s="28">
        <f>tbTransactions[[#This Row],[Qty]]*tbTransactions[[#This Row],[Unit Cost]]*tbTransactions[[#This Row],[Exchange Rate]]</f>
        <v>-19.18</v>
      </c>
      <c r="I503" s="257" t="s">
        <v>430</v>
      </c>
      <c r="J503" s="259" t="s">
        <v>418</v>
      </c>
      <c r="K503" s="183" t="str">
        <f>IF(tbTransactions[[#This Row],[Sub-Type]]="Transfer","Neutral",IF(tbTransactions[[#This Row],[Qty]]&lt;0,"Debit",IF(tbTransactions[[#This Row],[Qty]]&gt;0,"Credit","Neutral")))</f>
        <v>Debit</v>
      </c>
      <c r="L503" s="259" t="s">
        <v>14</v>
      </c>
      <c r="M503" s="258" t="s">
        <v>472</v>
      </c>
    </row>
    <row r="504" spans="3:13" ht="30" customHeight="1" x14ac:dyDescent="0.25">
      <c r="C504" s="26">
        <v>502</v>
      </c>
      <c r="D504" s="27">
        <v>44450</v>
      </c>
      <c r="E504" s="23">
        <v>-480.82</v>
      </c>
      <c r="F504" s="23">
        <v>1</v>
      </c>
      <c r="G504" s="24">
        <v>1</v>
      </c>
      <c r="H504" s="28">
        <f>tbTransactions[[#This Row],[Qty]]*tbTransactions[[#This Row],[Unit Cost]]*tbTransactions[[#This Row],[Exchange Rate]]</f>
        <v>-480.82</v>
      </c>
      <c r="I504" s="257" t="s">
        <v>430</v>
      </c>
      <c r="J504" s="259" t="s">
        <v>418</v>
      </c>
      <c r="K504" s="183" t="str">
        <f>IF(tbTransactions[[#This Row],[Sub-Type]]="Transfer","Neutral",IF(tbTransactions[[#This Row],[Qty]]&lt;0,"Debit",IF(tbTransactions[[#This Row],[Qty]]&gt;0,"Credit","Neutral")))</f>
        <v>Debit</v>
      </c>
      <c r="L504" s="259" t="s">
        <v>527</v>
      </c>
      <c r="M504" s="258" t="s">
        <v>472</v>
      </c>
    </row>
    <row r="505" spans="3:13" ht="30" customHeight="1" x14ac:dyDescent="0.25">
      <c r="C505" s="26">
        <v>503</v>
      </c>
      <c r="D505" s="27">
        <v>44450</v>
      </c>
      <c r="E505" s="23">
        <v>7297.7124999999996</v>
      </c>
      <c r="F505" s="23">
        <v>6.5886399334037907E-2</v>
      </c>
      <c r="G505" s="24">
        <v>1</v>
      </c>
      <c r="H505" s="28">
        <f>tbTransactions[[#This Row],[Qty]]*tbTransactions[[#This Row],[Unit Cost]]*tbTransactions[[#This Row],[Exchange Rate]]</f>
        <v>480.82000000000011</v>
      </c>
      <c r="I505" s="257" t="s">
        <v>430</v>
      </c>
      <c r="J505" s="259" t="s">
        <v>455</v>
      </c>
      <c r="K505" s="183" t="str">
        <f>IF(tbTransactions[[#This Row],[Sub-Type]]="Transfer","Neutral",IF(tbTransactions[[#This Row],[Qty]]&lt;0,"Debit",IF(tbTransactions[[#This Row],[Qty]]&gt;0,"Credit","Neutral")))</f>
        <v>Credit</v>
      </c>
      <c r="L505" s="259" t="s">
        <v>532</v>
      </c>
      <c r="M505" s="258" t="s">
        <v>472</v>
      </c>
    </row>
    <row r="506" spans="3:13" ht="30" customHeight="1" x14ac:dyDescent="0.25">
      <c r="C506" s="26">
        <v>504</v>
      </c>
      <c r="D506" s="27">
        <v>44450</v>
      </c>
      <c r="E506" s="23">
        <v>-500</v>
      </c>
      <c r="F506" s="23">
        <v>1</v>
      </c>
      <c r="G506" s="24">
        <v>1</v>
      </c>
      <c r="H506" s="28">
        <f>tbTransactions[[#This Row],[Qty]]*tbTransactions[[#This Row],[Unit Cost]]*tbTransactions[[#This Row],[Exchange Rate]]</f>
        <v>-500</v>
      </c>
      <c r="I506" s="257" t="s">
        <v>526</v>
      </c>
      <c r="J506" s="259" t="s">
        <v>418</v>
      </c>
      <c r="K506" s="183" t="str">
        <f>IF(tbTransactions[[#This Row],[Sub-Type]]="Transfer","Neutral",IF(tbTransactions[[#This Row],[Qty]]&lt;0,"Debit",IF(tbTransactions[[#This Row],[Qty]]&gt;0,"Credit","Neutral")))</f>
        <v>Debit</v>
      </c>
      <c r="L506" s="161" t="s">
        <v>529</v>
      </c>
      <c r="M506" s="258" t="s">
        <v>472</v>
      </c>
    </row>
    <row r="507" spans="3:13" ht="30" customHeight="1" x14ac:dyDescent="0.25">
      <c r="C507" s="26">
        <v>505</v>
      </c>
      <c r="D507" s="27">
        <v>44451</v>
      </c>
      <c r="E507" s="23">
        <v>2.6239992600000001E-2</v>
      </c>
      <c r="F507" s="23">
        <v>0</v>
      </c>
      <c r="G507" s="24">
        <v>1</v>
      </c>
      <c r="H507" s="28">
        <f>tbTransactions[[#This Row],[Qty]]*tbTransactions[[#This Row],[Unit Cost]]*tbTransactions[[#This Row],[Exchange Rate]]</f>
        <v>0</v>
      </c>
      <c r="I507" s="100" t="s">
        <v>539</v>
      </c>
      <c r="J507" s="228" t="s">
        <v>22</v>
      </c>
      <c r="K507" s="183" t="str">
        <f>IF(tbTransactions[[#This Row],[Sub-Type]]="Transfer","Neutral",IF(tbTransactions[[#This Row],[Qty]]&lt;0,"Debit",IF(tbTransactions[[#This Row],[Qty]]&gt;0,"Credit","Neutral")))</f>
        <v>Credit</v>
      </c>
      <c r="L507" s="174" t="s">
        <v>546</v>
      </c>
      <c r="M507" s="180" t="s">
        <v>481</v>
      </c>
    </row>
    <row r="508" spans="3:13" ht="30" customHeight="1" x14ac:dyDescent="0.25">
      <c r="C508" s="26">
        <v>506</v>
      </c>
      <c r="D508" s="27">
        <v>44451</v>
      </c>
      <c r="E508" s="23">
        <v>4.7359999999999998E-3</v>
      </c>
      <c r="F508" s="23">
        <v>0</v>
      </c>
      <c r="G508" s="24">
        <v>1</v>
      </c>
      <c r="H508" s="28">
        <f>tbTransactions[[#This Row],[Qty]]*tbTransactions[[#This Row],[Unit Cost]]*tbTransactions[[#This Row],[Exchange Rate]]</f>
        <v>0</v>
      </c>
      <c r="I508" s="260" t="s">
        <v>534</v>
      </c>
      <c r="J508" s="261" t="s">
        <v>19</v>
      </c>
      <c r="K508" s="183" t="str">
        <f>IF(tbTransactions[[#This Row],[Sub-Type]]="Transfer","Neutral",IF(tbTransactions[[#This Row],[Qty]]&lt;0,"Debit",IF(tbTransactions[[#This Row],[Qty]]&gt;0,"Credit","Neutral")))</f>
        <v>Credit</v>
      </c>
      <c r="L508" s="174" t="s">
        <v>546</v>
      </c>
      <c r="M508" s="262" t="s">
        <v>441</v>
      </c>
    </row>
    <row r="509" spans="3:13" ht="30" customHeight="1" x14ac:dyDescent="0.25">
      <c r="C509" s="26">
        <v>507</v>
      </c>
      <c r="D509" s="27">
        <v>44452</v>
      </c>
      <c r="E509" s="23">
        <v>-19.18</v>
      </c>
      <c r="F509" s="23">
        <v>1</v>
      </c>
      <c r="G509" s="24">
        <v>1</v>
      </c>
      <c r="H509" s="28">
        <f>tbTransactions[[#This Row],[Qty]]*tbTransactions[[#This Row],[Unit Cost]]*tbTransactions[[#This Row],[Exchange Rate]]</f>
        <v>-19.18</v>
      </c>
      <c r="I509" s="257" t="s">
        <v>430</v>
      </c>
      <c r="J509" s="259" t="s">
        <v>418</v>
      </c>
      <c r="K509" s="183" t="str">
        <f>IF(tbTransactions[[#This Row],[Sub-Type]]="Transfer","Neutral",IF(tbTransactions[[#This Row],[Qty]]&lt;0,"Debit",IF(tbTransactions[[#This Row],[Qty]]&gt;0,"Credit","Neutral")))</f>
        <v>Debit</v>
      </c>
      <c r="L509" s="259" t="s">
        <v>14</v>
      </c>
      <c r="M509" s="258" t="s">
        <v>472</v>
      </c>
    </row>
    <row r="510" spans="3:13" ht="30" customHeight="1" x14ac:dyDescent="0.25">
      <c r="C510" s="26">
        <v>508</v>
      </c>
      <c r="D510" s="27">
        <v>44452</v>
      </c>
      <c r="E510" s="23">
        <v>-480.82</v>
      </c>
      <c r="F510" s="23">
        <v>1</v>
      </c>
      <c r="G510" s="24">
        <v>1</v>
      </c>
      <c r="H510" s="28">
        <f>tbTransactions[[#This Row],[Qty]]*tbTransactions[[#This Row],[Unit Cost]]*tbTransactions[[#This Row],[Exchange Rate]]</f>
        <v>-480.82</v>
      </c>
      <c r="I510" s="257" t="s">
        <v>430</v>
      </c>
      <c r="J510" s="259" t="s">
        <v>418</v>
      </c>
      <c r="K510" s="183" t="str">
        <f>IF(tbTransactions[[#This Row],[Sub-Type]]="Transfer","Neutral",IF(tbTransactions[[#This Row],[Qty]]&lt;0,"Debit",IF(tbTransactions[[#This Row],[Qty]]&gt;0,"Credit","Neutral")))</f>
        <v>Debit</v>
      </c>
      <c r="L510" s="259" t="s">
        <v>527</v>
      </c>
      <c r="M510" s="258" t="s">
        <v>472</v>
      </c>
    </row>
    <row r="511" spans="3:13" ht="30" customHeight="1" x14ac:dyDescent="0.25">
      <c r="C511" s="26">
        <v>509</v>
      </c>
      <c r="D511" s="27">
        <v>44452</v>
      </c>
      <c r="E511" s="23">
        <v>7527.4814194800001</v>
      </c>
      <c r="F511" s="23">
        <v>6.3875282210024406E-2</v>
      </c>
      <c r="G511" s="24">
        <v>1</v>
      </c>
      <c r="H511" s="28">
        <f>tbTransactions[[#This Row],[Qty]]*tbTransactions[[#This Row],[Unit Cost]]*tbTransactions[[#This Row],[Exchange Rate]]</f>
        <v>480.82000000000011</v>
      </c>
      <c r="I511" s="257" t="s">
        <v>430</v>
      </c>
      <c r="J511" s="259" t="s">
        <v>455</v>
      </c>
      <c r="K511" s="183" t="str">
        <f>IF(tbTransactions[[#This Row],[Sub-Type]]="Transfer","Neutral",IF(tbTransactions[[#This Row],[Qty]]&lt;0,"Debit",IF(tbTransactions[[#This Row],[Qty]]&gt;0,"Credit","Neutral")))</f>
        <v>Credit</v>
      </c>
      <c r="L511" s="259" t="s">
        <v>532</v>
      </c>
      <c r="M511" s="258" t="s">
        <v>472</v>
      </c>
    </row>
    <row r="512" spans="3:13" ht="30" customHeight="1" x14ac:dyDescent="0.25">
      <c r="C512" s="26">
        <v>510</v>
      </c>
      <c r="D512" s="27">
        <v>44452</v>
      </c>
      <c r="E512" s="23">
        <v>-500</v>
      </c>
      <c r="F512" s="23">
        <v>1</v>
      </c>
      <c r="G512" s="24">
        <v>1</v>
      </c>
      <c r="H512" s="28">
        <f>tbTransactions[[#This Row],[Qty]]*tbTransactions[[#This Row],[Unit Cost]]*tbTransactions[[#This Row],[Exchange Rate]]</f>
        <v>-500</v>
      </c>
      <c r="I512" s="257" t="s">
        <v>526</v>
      </c>
      <c r="J512" s="259" t="s">
        <v>418</v>
      </c>
      <c r="K512" s="183" t="str">
        <f>IF(tbTransactions[[#This Row],[Sub-Type]]="Transfer","Neutral",IF(tbTransactions[[#This Row],[Qty]]&lt;0,"Debit",IF(tbTransactions[[#This Row],[Qty]]&gt;0,"Credit","Neutral")))</f>
        <v>Debit</v>
      </c>
      <c r="L512" s="161" t="s">
        <v>529</v>
      </c>
      <c r="M512" s="258" t="s">
        <v>472</v>
      </c>
    </row>
    <row r="513" spans="3:13" ht="30" customHeight="1" x14ac:dyDescent="0.25">
      <c r="C513" s="26">
        <v>511</v>
      </c>
      <c r="D513" s="27">
        <v>44452</v>
      </c>
      <c r="E513" s="23">
        <v>-14825.193908630001</v>
      </c>
      <c r="F513" s="23">
        <v>6.3700000000000007E-2</v>
      </c>
      <c r="G513" s="24">
        <v>1</v>
      </c>
      <c r="H513" s="28">
        <f>tbTransactions[[#This Row],[Qty]]*tbTransactions[[#This Row],[Unit Cost]]*tbTransactions[[#This Row],[Exchange Rate]]</f>
        <v>-944.36485197973116</v>
      </c>
      <c r="I513" s="257" t="s">
        <v>430</v>
      </c>
      <c r="J513" s="259" t="s">
        <v>455</v>
      </c>
      <c r="K513" s="183" t="str">
        <f>IF(tbTransactions[[#This Row],[Sub-Type]]="Transfer","Neutral",IF(tbTransactions[[#This Row],[Qty]]&lt;0,"Debit",IF(tbTransactions[[#This Row],[Qty]]&gt;0,"Credit","Neutral")))</f>
        <v>Neutral</v>
      </c>
      <c r="L513" s="265" t="s">
        <v>39</v>
      </c>
      <c r="M513" s="264" t="s">
        <v>519</v>
      </c>
    </row>
    <row r="514" spans="3:13" ht="30" customHeight="1" x14ac:dyDescent="0.25">
      <c r="C514" s="26">
        <v>512</v>
      </c>
      <c r="D514" s="27">
        <v>44452</v>
      </c>
      <c r="E514" s="23">
        <v>14825.193908630001</v>
      </c>
      <c r="F514" s="23">
        <v>6.3700000000000007E-2</v>
      </c>
      <c r="G514" s="24">
        <v>1</v>
      </c>
      <c r="H514" s="28">
        <f>tbTransactions[[#This Row],[Qty]]*tbTransactions[[#This Row],[Unit Cost]]*tbTransactions[[#This Row],[Exchange Rate]]</f>
        <v>944.36485197973116</v>
      </c>
      <c r="I514" s="263" t="s">
        <v>537</v>
      </c>
      <c r="J514" s="259" t="s">
        <v>455</v>
      </c>
      <c r="K514" s="183" t="str">
        <f>IF(tbTransactions[[#This Row],[Sub-Type]]="Transfer","Neutral",IF(tbTransactions[[#This Row],[Qty]]&lt;0,"Debit",IF(tbTransactions[[#This Row],[Qty]]&gt;0,"Credit","Neutral")))</f>
        <v>Neutral</v>
      </c>
      <c r="L514" s="265" t="s">
        <v>39</v>
      </c>
      <c r="M514" s="264" t="s">
        <v>519</v>
      </c>
    </row>
    <row r="515" spans="3:13" ht="30" customHeight="1" x14ac:dyDescent="0.25">
      <c r="C515" s="26">
        <v>513</v>
      </c>
      <c r="D515" s="27">
        <v>44452</v>
      </c>
      <c r="E515" s="23">
        <v>-52.704939430000003</v>
      </c>
      <c r="F515" s="23">
        <v>6.3700000000000007E-2</v>
      </c>
      <c r="G515" s="24">
        <v>1</v>
      </c>
      <c r="H515" s="28">
        <f>tbTransactions[[#This Row],[Qty]]*tbTransactions[[#This Row],[Unit Cost]]*tbTransactions[[#This Row],[Exchange Rate]]</f>
        <v>-3.3573046416910004</v>
      </c>
      <c r="I515" s="263" t="s">
        <v>537</v>
      </c>
      <c r="J515" s="259" t="s">
        <v>455</v>
      </c>
      <c r="K515" s="183" t="str">
        <f>IF(tbTransactions[[#This Row],[Sub-Type]]="Transfer","Neutral",IF(tbTransactions[[#This Row],[Qty]]&lt;0,"Debit",IF(tbTransactions[[#This Row],[Qty]]&gt;0,"Credit","Neutral")))</f>
        <v>Debit</v>
      </c>
      <c r="L515" s="265" t="s">
        <v>14</v>
      </c>
      <c r="M515" s="264" t="s">
        <v>519</v>
      </c>
    </row>
    <row r="516" spans="3:13" ht="30" customHeight="1" x14ac:dyDescent="0.25">
      <c r="C516" s="26">
        <v>514</v>
      </c>
      <c r="D516" s="27">
        <v>44452</v>
      </c>
      <c r="E516" s="23">
        <v>-1.2772E-2</v>
      </c>
      <c r="F516" s="23">
        <v>4100</v>
      </c>
      <c r="G516" s="24">
        <v>1</v>
      </c>
      <c r="H516" s="28">
        <f>tbTransactions[[#This Row],[Qty]]*tbTransactions[[#This Row],[Unit Cost]]*tbTransactions[[#This Row],[Exchange Rate]]</f>
        <v>-52.365200000000002</v>
      </c>
      <c r="I516" s="263" t="s">
        <v>537</v>
      </c>
      <c r="J516" s="265" t="s">
        <v>24</v>
      </c>
      <c r="K516" s="183" t="str">
        <f>IF(tbTransactions[[#This Row],[Sub-Type]]="Transfer","Neutral",IF(tbTransactions[[#This Row],[Qty]]&lt;0,"Debit",IF(tbTransactions[[#This Row],[Qty]]&gt;0,"Credit","Neutral")))</f>
        <v>Debit</v>
      </c>
      <c r="L516" s="265" t="s">
        <v>14</v>
      </c>
      <c r="M516" s="264" t="s">
        <v>600</v>
      </c>
    </row>
    <row r="517" spans="3:13" ht="30" customHeight="1" x14ac:dyDescent="0.25">
      <c r="C517" s="26">
        <v>515</v>
      </c>
      <c r="D517" s="27">
        <v>44452</v>
      </c>
      <c r="E517" s="23">
        <v>-1.1050000000000001E-2</v>
      </c>
      <c r="F517" s="23">
        <v>4100</v>
      </c>
      <c r="G517" s="24">
        <v>1</v>
      </c>
      <c r="H517" s="28">
        <f>tbTransactions[[#This Row],[Qty]]*tbTransactions[[#This Row],[Unit Cost]]*tbTransactions[[#This Row],[Exchange Rate]]</f>
        <v>-45.305</v>
      </c>
      <c r="I517" s="263" t="s">
        <v>537</v>
      </c>
      <c r="J517" s="265" t="s">
        <v>24</v>
      </c>
      <c r="K517" s="183" t="str">
        <f>IF(tbTransactions[[#This Row],[Sub-Type]]="Transfer","Neutral",IF(tbTransactions[[#This Row],[Qty]]&lt;0,"Debit",IF(tbTransactions[[#This Row],[Qty]]&gt;0,"Credit","Neutral")))</f>
        <v>Debit</v>
      </c>
      <c r="L517" s="265" t="s">
        <v>14</v>
      </c>
      <c r="M517" s="264" t="s">
        <v>600</v>
      </c>
    </row>
    <row r="518" spans="3:13" ht="30" customHeight="1" x14ac:dyDescent="0.25">
      <c r="C518" s="26">
        <v>516</v>
      </c>
      <c r="D518" s="27">
        <v>44452</v>
      </c>
      <c r="E518" s="23">
        <v>-3256</v>
      </c>
      <c r="F518" s="23">
        <v>6.3782000000000005E-2</v>
      </c>
      <c r="G518" s="24">
        <v>1</v>
      </c>
      <c r="H518" s="28">
        <f>tbTransactions[[#This Row],[Qty]]*tbTransactions[[#This Row],[Unit Cost]]*tbTransactions[[#This Row],[Exchange Rate]]</f>
        <v>-207.67419200000001</v>
      </c>
      <c r="I518" s="263" t="s">
        <v>559</v>
      </c>
      <c r="J518" s="265" t="s">
        <v>455</v>
      </c>
      <c r="K518" s="183" t="str">
        <f>IF(tbTransactions[[#This Row],[Sub-Type]]="Transfer","Neutral",IF(tbTransactions[[#This Row],[Qty]]&lt;0,"Debit",IF(tbTransactions[[#This Row],[Qty]]&gt;0,"Credit","Neutral")))</f>
        <v>Neutral</v>
      </c>
      <c r="L518" s="265" t="s">
        <v>39</v>
      </c>
      <c r="M518" s="264" t="s">
        <v>600</v>
      </c>
    </row>
    <row r="519" spans="3:13" ht="30" customHeight="1" x14ac:dyDescent="0.25">
      <c r="C519" s="26">
        <v>517</v>
      </c>
      <c r="D519" s="27">
        <v>44452</v>
      </c>
      <c r="E519" s="23">
        <v>3256</v>
      </c>
      <c r="F519" s="23">
        <v>6.3782000000000005E-2</v>
      </c>
      <c r="G519" s="24">
        <v>1</v>
      </c>
      <c r="H519" s="28">
        <f>tbTransactions[[#This Row],[Qty]]*tbTransactions[[#This Row],[Unit Cost]]*tbTransactions[[#This Row],[Exchange Rate]]</f>
        <v>207.67419200000001</v>
      </c>
      <c r="I519" s="263" t="s">
        <v>601</v>
      </c>
      <c r="J519" s="265" t="s">
        <v>455</v>
      </c>
      <c r="K519" s="183" t="str">
        <f>IF(tbTransactions[[#This Row],[Sub-Type]]="Transfer","Neutral",IF(tbTransactions[[#This Row],[Qty]]&lt;0,"Debit",IF(tbTransactions[[#This Row],[Qty]]&gt;0,"Credit","Neutral")))</f>
        <v>Neutral</v>
      </c>
      <c r="L519" s="265" t="s">
        <v>39</v>
      </c>
      <c r="M519" s="264" t="s">
        <v>600</v>
      </c>
    </row>
    <row r="520" spans="3:13" ht="30" customHeight="1" x14ac:dyDescent="0.25">
      <c r="C520" s="26">
        <v>518</v>
      </c>
      <c r="D520" s="27">
        <v>44452</v>
      </c>
      <c r="E520" s="23">
        <v>-14772</v>
      </c>
      <c r="F520" s="23">
        <v>6.3782000000000005E-2</v>
      </c>
      <c r="G520" s="24">
        <v>1</v>
      </c>
      <c r="H520" s="28">
        <f>tbTransactions[[#This Row],[Qty]]*tbTransactions[[#This Row],[Unit Cost]]*tbTransactions[[#This Row],[Exchange Rate]]</f>
        <v>-942.18770400000005</v>
      </c>
      <c r="I520" s="263" t="s">
        <v>537</v>
      </c>
      <c r="J520" s="265" t="s">
        <v>455</v>
      </c>
      <c r="K520" s="183" t="str">
        <f>IF(tbTransactions[[#This Row],[Sub-Type]]="Transfer","Neutral",IF(tbTransactions[[#This Row],[Qty]]&lt;0,"Debit",IF(tbTransactions[[#This Row],[Qty]]&gt;0,"Credit","Neutral")))</f>
        <v>Neutral</v>
      </c>
      <c r="L520" s="265" t="s">
        <v>39</v>
      </c>
      <c r="M520" s="264" t="s">
        <v>600</v>
      </c>
    </row>
    <row r="521" spans="3:13" ht="30" customHeight="1" x14ac:dyDescent="0.25">
      <c r="C521" s="26">
        <v>519</v>
      </c>
      <c r="D521" s="27">
        <v>44452</v>
      </c>
      <c r="E521" s="23">
        <v>14772</v>
      </c>
      <c r="F521" s="23">
        <v>6.3782000000000005E-2</v>
      </c>
      <c r="G521" s="24">
        <v>1</v>
      </c>
      <c r="H521" s="28">
        <f>tbTransactions[[#This Row],[Qty]]*tbTransactions[[#This Row],[Unit Cost]]*tbTransactions[[#This Row],[Exchange Rate]]</f>
        <v>942.18770400000005</v>
      </c>
      <c r="I521" s="263" t="s">
        <v>601</v>
      </c>
      <c r="J521" s="265" t="s">
        <v>455</v>
      </c>
      <c r="K521" s="183" t="str">
        <f>IF(tbTransactions[[#This Row],[Sub-Type]]="Transfer","Neutral",IF(tbTransactions[[#This Row],[Qty]]&lt;0,"Debit",IF(tbTransactions[[#This Row],[Qty]]&gt;0,"Credit","Neutral")))</f>
        <v>Neutral</v>
      </c>
      <c r="L521" s="265" t="s">
        <v>39</v>
      </c>
      <c r="M521" s="264" t="s">
        <v>600</v>
      </c>
    </row>
    <row r="522" spans="3:13" ht="30" customHeight="1" x14ac:dyDescent="0.25">
      <c r="C522" s="26">
        <v>520</v>
      </c>
      <c r="D522" s="27">
        <v>44452</v>
      </c>
      <c r="E522" s="23">
        <v>2.6754086699999999E-2</v>
      </c>
      <c r="F522" s="23">
        <v>0</v>
      </c>
      <c r="G522" s="24">
        <v>1</v>
      </c>
      <c r="H522" s="28">
        <f>tbTransactions[[#This Row],[Qty]]*tbTransactions[[#This Row],[Unit Cost]]*tbTransactions[[#This Row],[Exchange Rate]]</f>
        <v>0</v>
      </c>
      <c r="I522" s="100" t="s">
        <v>539</v>
      </c>
      <c r="J522" s="228" t="s">
        <v>22</v>
      </c>
      <c r="K522" s="183" t="str">
        <f>IF(tbTransactions[[#This Row],[Sub-Type]]="Transfer","Neutral",IF(tbTransactions[[#This Row],[Qty]]&lt;0,"Debit",IF(tbTransactions[[#This Row],[Qty]]&gt;0,"Credit","Neutral")))</f>
        <v>Credit</v>
      </c>
      <c r="L522" s="174" t="s">
        <v>546</v>
      </c>
      <c r="M522" s="180" t="s">
        <v>481</v>
      </c>
    </row>
    <row r="523" spans="3:13" ht="30" customHeight="1" x14ac:dyDescent="0.25">
      <c r="C523" s="26">
        <v>521</v>
      </c>
      <c r="D523" s="27">
        <v>44453</v>
      </c>
      <c r="E523" s="23">
        <v>-500</v>
      </c>
      <c r="F523" s="23">
        <v>1</v>
      </c>
      <c r="G523" s="24">
        <v>1</v>
      </c>
      <c r="H523" s="28">
        <f>tbTransactions[[#This Row],[Qty]]*tbTransactions[[#This Row],[Unit Cost]]*tbTransactions[[#This Row],[Exchange Rate]]</f>
        <v>-500</v>
      </c>
      <c r="I523" s="266" t="s">
        <v>526</v>
      </c>
      <c r="J523" s="268" t="s">
        <v>418</v>
      </c>
      <c r="K523" s="183" t="str">
        <f>IF(tbTransactions[[#This Row],[Sub-Type]]="Transfer","Neutral",IF(tbTransactions[[#This Row],[Qty]]&lt;0,"Debit",IF(tbTransactions[[#This Row],[Qty]]&gt;0,"Credit","Neutral")))</f>
        <v>Debit</v>
      </c>
      <c r="L523" s="268" t="s">
        <v>529</v>
      </c>
      <c r="M523" s="267" t="s">
        <v>602</v>
      </c>
    </row>
    <row r="524" spans="3:13" ht="30" customHeight="1" x14ac:dyDescent="0.25">
      <c r="C524" s="26">
        <v>522</v>
      </c>
      <c r="D524" s="27">
        <v>44453</v>
      </c>
      <c r="E524" s="23">
        <v>500</v>
      </c>
      <c r="F524" s="23">
        <v>1</v>
      </c>
      <c r="G524" s="24">
        <v>1</v>
      </c>
      <c r="H524" s="28">
        <f>tbTransactions[[#This Row],[Qty]]*tbTransactions[[#This Row],[Unit Cost]]*tbTransactions[[#This Row],[Exchange Rate]]</f>
        <v>500</v>
      </c>
      <c r="I524" s="266" t="s">
        <v>430</v>
      </c>
      <c r="J524" s="268" t="s">
        <v>418</v>
      </c>
      <c r="K524" s="183" t="str">
        <f>IF(tbTransactions[[#This Row],[Sub-Type]]="Transfer","Neutral",IF(tbTransactions[[#This Row],[Qty]]&lt;0,"Debit",IF(tbTransactions[[#This Row],[Qty]]&gt;0,"Credit","Neutral")))</f>
        <v>Credit</v>
      </c>
      <c r="L524" s="268" t="s">
        <v>527</v>
      </c>
      <c r="M524" s="267" t="s">
        <v>602</v>
      </c>
    </row>
    <row r="525" spans="3:13" ht="30" customHeight="1" x14ac:dyDescent="0.25">
      <c r="C525" s="26">
        <v>523</v>
      </c>
      <c r="D525" s="27">
        <v>44453</v>
      </c>
      <c r="E525" s="23">
        <v>-19.18</v>
      </c>
      <c r="F525" s="23">
        <v>1</v>
      </c>
      <c r="G525" s="24">
        <v>1</v>
      </c>
      <c r="H525" s="28">
        <f>tbTransactions[[#This Row],[Qty]]*tbTransactions[[#This Row],[Unit Cost]]*tbTransactions[[#This Row],[Exchange Rate]]</f>
        <v>-19.18</v>
      </c>
      <c r="I525" s="266" t="s">
        <v>430</v>
      </c>
      <c r="J525" s="268" t="s">
        <v>418</v>
      </c>
      <c r="K525" s="183" t="str">
        <f>IF(tbTransactions[[#This Row],[Sub-Type]]="Transfer","Neutral",IF(tbTransactions[[#This Row],[Qty]]&lt;0,"Debit",IF(tbTransactions[[#This Row],[Qty]]&gt;0,"Credit","Neutral")))</f>
        <v>Debit</v>
      </c>
      <c r="L525" s="268" t="s">
        <v>14</v>
      </c>
      <c r="M525" s="267" t="s">
        <v>602</v>
      </c>
    </row>
    <row r="526" spans="3:13" ht="30" customHeight="1" x14ac:dyDescent="0.25">
      <c r="C526" s="26">
        <v>524</v>
      </c>
      <c r="D526" s="27">
        <v>44453</v>
      </c>
      <c r="E526" s="23">
        <v>181.41844800000001</v>
      </c>
      <c r="F526" s="23">
        <v>2.6503368610010374</v>
      </c>
      <c r="G526" s="24">
        <v>1</v>
      </c>
      <c r="H526" s="28">
        <f>tbTransactions[[#This Row],[Qty]]*tbTransactions[[#This Row],[Unit Cost]]*tbTransactions[[#This Row],[Exchange Rate]]</f>
        <v>480.81999999999994</v>
      </c>
      <c r="I526" s="266" t="s">
        <v>430</v>
      </c>
      <c r="J526" s="268" t="s">
        <v>8</v>
      </c>
      <c r="K526" s="183" t="str">
        <f>IF(tbTransactions[[#This Row],[Sub-Type]]="Transfer","Neutral",IF(tbTransactions[[#This Row],[Qty]]&lt;0,"Debit",IF(tbTransactions[[#This Row],[Qty]]&gt;0,"Credit","Neutral")))</f>
        <v>Credit</v>
      </c>
      <c r="L526" s="268" t="s">
        <v>532</v>
      </c>
      <c r="M526" s="267" t="s">
        <v>602</v>
      </c>
    </row>
    <row r="527" spans="3:13" ht="30" customHeight="1" x14ac:dyDescent="0.25">
      <c r="C527" s="26">
        <v>525</v>
      </c>
      <c r="D527" s="27">
        <v>44453</v>
      </c>
      <c r="E527" s="23">
        <v>-480.82</v>
      </c>
      <c r="F527" s="23">
        <v>1</v>
      </c>
      <c r="G527" s="24">
        <v>1</v>
      </c>
      <c r="H527" s="28">
        <f>tbTransactions[[#This Row],[Qty]]*tbTransactions[[#This Row],[Unit Cost]]*tbTransactions[[#This Row],[Exchange Rate]]</f>
        <v>-480.82</v>
      </c>
      <c r="I527" s="266" t="s">
        <v>430</v>
      </c>
      <c r="J527" s="273" t="s">
        <v>418</v>
      </c>
      <c r="K527" s="183" t="str">
        <f>IF(tbTransactions[[#This Row],[Sub-Type]]="Transfer","Neutral",IF(tbTransactions[[#This Row],[Qty]]&lt;0,"Debit",IF(tbTransactions[[#This Row],[Qty]]&gt;0,"Credit","Neutral")))</f>
        <v>Debit</v>
      </c>
      <c r="L527" s="273" t="s">
        <v>528</v>
      </c>
      <c r="M527" s="267" t="s">
        <v>602</v>
      </c>
    </row>
    <row r="528" spans="3:13" ht="30" customHeight="1" x14ac:dyDescent="0.25">
      <c r="C528" s="26">
        <v>526</v>
      </c>
      <c r="D528" s="27">
        <v>44453</v>
      </c>
      <c r="E528" s="23">
        <v>2.5112044699999999E-2</v>
      </c>
      <c r="F528" s="23">
        <v>0</v>
      </c>
      <c r="G528" s="24">
        <v>1</v>
      </c>
      <c r="H528" s="28">
        <f>tbTransactions[[#This Row],[Qty]]*tbTransactions[[#This Row],[Unit Cost]]*tbTransactions[[#This Row],[Exchange Rate]]</f>
        <v>0</v>
      </c>
      <c r="I528" s="100" t="s">
        <v>539</v>
      </c>
      <c r="J528" s="228" t="s">
        <v>22</v>
      </c>
      <c r="K528" s="183" t="str">
        <f>IF(tbTransactions[[#This Row],[Sub-Type]]="Transfer","Neutral",IF(tbTransactions[[#This Row],[Qty]]&lt;0,"Debit",IF(tbTransactions[[#This Row],[Qty]]&gt;0,"Credit","Neutral")))</f>
        <v>Credit</v>
      </c>
      <c r="L528" s="174" t="s">
        <v>546</v>
      </c>
      <c r="M528" s="180" t="s">
        <v>481</v>
      </c>
    </row>
    <row r="529" spans="3:13" ht="30" customHeight="1" x14ac:dyDescent="0.25">
      <c r="C529" s="26">
        <v>527</v>
      </c>
      <c r="D529" s="27">
        <v>44454</v>
      </c>
      <c r="E529" s="23">
        <v>6.6E-3</v>
      </c>
      <c r="F529" s="23">
        <v>0</v>
      </c>
      <c r="G529" s="24">
        <v>1</v>
      </c>
      <c r="H529" s="28">
        <f>tbTransactions[[#This Row],[Qty]]*tbTransactions[[#This Row],[Unit Cost]]*tbTransactions[[#This Row],[Exchange Rate]]</f>
        <v>0</v>
      </c>
      <c r="I529" s="266" t="s">
        <v>430</v>
      </c>
      <c r="J529" s="268" t="s">
        <v>8</v>
      </c>
      <c r="K529" s="183" t="str">
        <f>IF(tbTransactions[[#This Row],[Sub-Type]]="Transfer","Neutral",IF(tbTransactions[[#This Row],[Qty]]&lt;0,"Debit",IF(tbTransactions[[#This Row],[Qty]]&gt;0,"Credit","Neutral")))</f>
        <v>Credit</v>
      </c>
      <c r="L529" s="268" t="s">
        <v>546</v>
      </c>
      <c r="M529" s="270" t="s">
        <v>604</v>
      </c>
    </row>
    <row r="530" spans="3:13" ht="30" customHeight="1" x14ac:dyDescent="0.25">
      <c r="C530" s="26">
        <v>528</v>
      </c>
      <c r="D530" s="27">
        <v>44454</v>
      </c>
      <c r="E530" s="23">
        <v>-500</v>
      </c>
      <c r="F530" s="23">
        <v>1</v>
      </c>
      <c r="G530" s="24">
        <v>1</v>
      </c>
      <c r="H530" s="28">
        <f>tbTransactions[[#This Row],[Qty]]*tbTransactions[[#This Row],[Unit Cost]]*tbTransactions[[#This Row],[Exchange Rate]]</f>
        <v>-500</v>
      </c>
      <c r="I530" s="266" t="s">
        <v>526</v>
      </c>
      <c r="J530" s="268" t="s">
        <v>418</v>
      </c>
      <c r="K530" s="183" t="str">
        <f>IF(tbTransactions[[#This Row],[Sub-Type]]="Transfer","Neutral",IF(tbTransactions[[#This Row],[Qty]]&lt;0,"Debit",IF(tbTransactions[[#This Row],[Qty]]&gt;0,"Credit","Neutral")))</f>
        <v>Debit</v>
      </c>
      <c r="L530" s="268" t="s">
        <v>529</v>
      </c>
      <c r="M530" s="267" t="s">
        <v>602</v>
      </c>
    </row>
    <row r="531" spans="3:13" ht="30" customHeight="1" x14ac:dyDescent="0.25">
      <c r="C531" s="26">
        <v>529</v>
      </c>
      <c r="D531" s="27">
        <v>44454</v>
      </c>
      <c r="E531" s="23">
        <v>500</v>
      </c>
      <c r="F531" s="23">
        <v>1</v>
      </c>
      <c r="G531" s="24">
        <v>1</v>
      </c>
      <c r="H531" s="28">
        <f>tbTransactions[[#This Row],[Qty]]*tbTransactions[[#This Row],[Unit Cost]]*tbTransactions[[#This Row],[Exchange Rate]]</f>
        <v>500</v>
      </c>
      <c r="I531" s="266" t="s">
        <v>430</v>
      </c>
      <c r="J531" s="268" t="s">
        <v>418</v>
      </c>
      <c r="K531" s="183" t="str">
        <f>IF(tbTransactions[[#This Row],[Sub-Type]]="Transfer","Neutral",IF(tbTransactions[[#This Row],[Qty]]&lt;0,"Debit",IF(tbTransactions[[#This Row],[Qty]]&gt;0,"Credit","Neutral")))</f>
        <v>Credit</v>
      </c>
      <c r="L531" s="268" t="s">
        <v>527</v>
      </c>
      <c r="M531" s="267" t="s">
        <v>602</v>
      </c>
    </row>
    <row r="532" spans="3:13" ht="30" customHeight="1" x14ac:dyDescent="0.25">
      <c r="C532" s="26">
        <v>530</v>
      </c>
      <c r="D532" s="27">
        <v>44454</v>
      </c>
      <c r="E532" s="23">
        <v>-19.18</v>
      </c>
      <c r="F532" s="23">
        <v>1</v>
      </c>
      <c r="G532" s="24">
        <v>1</v>
      </c>
      <c r="H532" s="28">
        <f>tbTransactions[[#This Row],[Qty]]*tbTransactions[[#This Row],[Unit Cost]]*tbTransactions[[#This Row],[Exchange Rate]]</f>
        <v>-19.18</v>
      </c>
      <c r="I532" s="266" t="s">
        <v>430</v>
      </c>
      <c r="J532" s="268" t="s">
        <v>418</v>
      </c>
      <c r="K532" s="183" t="str">
        <f>IF(tbTransactions[[#This Row],[Sub-Type]]="Transfer","Neutral",IF(tbTransactions[[#This Row],[Qty]]&lt;0,"Debit",IF(tbTransactions[[#This Row],[Qty]]&gt;0,"Credit","Neutral")))</f>
        <v>Debit</v>
      </c>
      <c r="L532" s="268" t="s">
        <v>14</v>
      </c>
      <c r="M532" s="267" t="s">
        <v>602</v>
      </c>
    </row>
    <row r="533" spans="3:13" ht="30" customHeight="1" x14ac:dyDescent="0.25">
      <c r="C533" s="26">
        <v>531</v>
      </c>
      <c r="D533" s="27">
        <v>44454</v>
      </c>
      <c r="E533" s="23">
        <v>186.82740000000001</v>
      </c>
      <c r="F533" s="23">
        <v>2.5736053705184569</v>
      </c>
      <c r="G533" s="24">
        <v>1</v>
      </c>
      <c r="H533" s="28">
        <f>tbTransactions[[#This Row],[Qty]]*tbTransactions[[#This Row],[Unit Cost]]*tbTransactions[[#This Row],[Exchange Rate]]</f>
        <v>480.82</v>
      </c>
      <c r="I533" s="266" t="s">
        <v>430</v>
      </c>
      <c r="J533" s="268" t="s">
        <v>8</v>
      </c>
      <c r="K533" s="183" t="str">
        <f>IF(tbTransactions[[#This Row],[Sub-Type]]="Transfer","Neutral",IF(tbTransactions[[#This Row],[Qty]]&lt;0,"Debit",IF(tbTransactions[[#This Row],[Qty]]&gt;0,"Credit","Neutral")))</f>
        <v>Credit</v>
      </c>
      <c r="L533" s="268" t="s">
        <v>532</v>
      </c>
      <c r="M533" s="267" t="s">
        <v>602</v>
      </c>
    </row>
    <row r="534" spans="3:13" ht="30" customHeight="1" x14ac:dyDescent="0.25">
      <c r="C534" s="26">
        <v>532</v>
      </c>
      <c r="D534" s="27">
        <v>44454</v>
      </c>
      <c r="E534" s="23">
        <v>2.4583832E-2</v>
      </c>
      <c r="F534" s="23">
        <v>0</v>
      </c>
      <c r="G534" s="24">
        <v>1</v>
      </c>
      <c r="H534" s="28">
        <f>tbTransactions[[#This Row],[Qty]]*tbTransactions[[#This Row],[Unit Cost]]*tbTransactions[[#This Row],[Exchange Rate]]</f>
        <v>0</v>
      </c>
      <c r="I534" s="100" t="s">
        <v>539</v>
      </c>
      <c r="J534" s="228" t="s">
        <v>22</v>
      </c>
      <c r="K534" s="183" t="str">
        <f>IF(tbTransactions[[#This Row],[Sub-Type]]="Transfer","Neutral",IF(tbTransactions[[#This Row],[Qty]]&lt;0,"Debit",IF(tbTransactions[[#This Row],[Qty]]&gt;0,"Credit","Neutral")))</f>
        <v>Credit</v>
      </c>
      <c r="L534" s="174" t="s">
        <v>546</v>
      </c>
      <c r="M534" s="180" t="s">
        <v>481</v>
      </c>
    </row>
    <row r="535" spans="3:13" ht="30" customHeight="1" x14ac:dyDescent="0.25">
      <c r="C535" s="26">
        <v>533</v>
      </c>
      <c r="D535" s="27">
        <v>44455</v>
      </c>
      <c r="E535" s="23">
        <v>1.88</v>
      </c>
      <c r="F535" s="23">
        <v>0</v>
      </c>
      <c r="G535" s="24">
        <v>1</v>
      </c>
      <c r="H535" s="28">
        <f>tbTransactions[[#This Row],[Qty]]*tbTransactions[[#This Row],[Unit Cost]]*tbTransactions[[#This Row],[Exchange Rate]]</f>
        <v>0</v>
      </c>
      <c r="I535" s="233" t="s">
        <v>586</v>
      </c>
      <c r="J535" s="234" t="s">
        <v>584</v>
      </c>
      <c r="K535" s="183" t="str">
        <f>IF(tbTransactions[[#This Row],[Sub-Type]]="Transfer","Neutral",IF(tbTransactions[[#This Row],[Qty]]&lt;0,"Debit",IF(tbTransactions[[#This Row],[Qty]]&gt;0,"Credit","Neutral")))</f>
        <v>Credit</v>
      </c>
      <c r="L535" s="234" t="s">
        <v>546</v>
      </c>
      <c r="M535" s="284" t="s">
        <v>617</v>
      </c>
    </row>
    <row r="536" spans="3:13" ht="30" customHeight="1" x14ac:dyDescent="0.25">
      <c r="C536" s="26">
        <v>534</v>
      </c>
      <c r="D536" s="27">
        <v>44455</v>
      </c>
      <c r="E536" s="23">
        <v>2.7304938500000001E-2</v>
      </c>
      <c r="F536" s="23">
        <v>0</v>
      </c>
      <c r="G536" s="24">
        <v>1</v>
      </c>
      <c r="H536" s="28">
        <f>tbTransactions[[#This Row],[Qty]]*tbTransactions[[#This Row],[Unit Cost]]*tbTransactions[[#This Row],[Exchange Rate]]</f>
        <v>0</v>
      </c>
      <c r="I536" s="100" t="s">
        <v>539</v>
      </c>
      <c r="J536" s="228" t="s">
        <v>22</v>
      </c>
      <c r="K536" s="183" t="str">
        <f>IF(tbTransactions[[#This Row],[Sub-Type]]="Transfer","Neutral",IF(tbTransactions[[#This Row],[Qty]]&lt;0,"Debit",IF(tbTransactions[[#This Row],[Qty]]&gt;0,"Credit","Neutral")))</f>
        <v>Credit</v>
      </c>
      <c r="L536" s="174" t="s">
        <v>546</v>
      </c>
      <c r="M536" s="180" t="s">
        <v>481</v>
      </c>
    </row>
    <row r="537" spans="3:13" ht="30" customHeight="1" x14ac:dyDescent="0.25">
      <c r="C537" s="26">
        <v>535</v>
      </c>
      <c r="D537" s="27">
        <v>44455</v>
      </c>
      <c r="E537" s="23">
        <v>-385</v>
      </c>
      <c r="F537" s="23">
        <v>1</v>
      </c>
      <c r="G537" s="24">
        <v>1</v>
      </c>
      <c r="H537" s="28">
        <f>tbTransactions[[#This Row],[Qty]]*tbTransactions[[#This Row],[Unit Cost]]*tbTransactions[[#This Row],[Exchange Rate]]</f>
        <v>-385</v>
      </c>
      <c r="I537" s="271" t="s">
        <v>526</v>
      </c>
      <c r="J537" s="273" t="s">
        <v>418</v>
      </c>
      <c r="K537" s="183" t="str">
        <f>IF(tbTransactions[[#This Row],[Sub-Type]]="Transfer","Neutral",IF(tbTransactions[[#This Row],[Qty]]&lt;0,"Debit",IF(tbTransactions[[#This Row],[Qty]]&gt;0,"Credit","Neutral")))</f>
        <v>Debit</v>
      </c>
      <c r="L537" s="273" t="s">
        <v>529</v>
      </c>
      <c r="M537" s="272" t="s">
        <v>607</v>
      </c>
    </row>
    <row r="538" spans="3:13" ht="30" customHeight="1" x14ac:dyDescent="0.25">
      <c r="C538" s="26">
        <v>536</v>
      </c>
      <c r="D538" s="27">
        <v>44455</v>
      </c>
      <c r="E538" s="23">
        <v>385</v>
      </c>
      <c r="F538" s="23">
        <v>1</v>
      </c>
      <c r="G538" s="24">
        <v>1</v>
      </c>
      <c r="H538" s="28">
        <f>tbTransactions[[#This Row],[Qty]]*tbTransactions[[#This Row],[Unit Cost]]*tbTransactions[[#This Row],[Exchange Rate]]</f>
        <v>385</v>
      </c>
      <c r="I538" s="271" t="s">
        <v>430</v>
      </c>
      <c r="J538" s="273" t="s">
        <v>418</v>
      </c>
      <c r="K538" s="183" t="str">
        <f>IF(tbTransactions[[#This Row],[Sub-Type]]="Transfer","Neutral",IF(tbTransactions[[#This Row],[Qty]]&lt;0,"Debit",IF(tbTransactions[[#This Row],[Qty]]&gt;0,"Credit","Neutral")))</f>
        <v>Credit</v>
      </c>
      <c r="L538" s="273" t="s">
        <v>527</v>
      </c>
      <c r="M538" s="272" t="s">
        <v>607</v>
      </c>
    </row>
    <row r="539" spans="3:13" ht="30" customHeight="1" x14ac:dyDescent="0.25">
      <c r="C539" s="26">
        <v>537</v>
      </c>
      <c r="D539" s="27">
        <v>44455</v>
      </c>
      <c r="E539" s="23">
        <v>7405.4211671499997</v>
      </c>
      <c r="F539" s="23">
        <v>4.9994455635057992E-2</v>
      </c>
      <c r="G539" s="24">
        <v>1</v>
      </c>
      <c r="H539" s="28">
        <f>tbTransactions[[#This Row],[Qty]]*tbTransactions[[#This Row],[Unit Cost]]*tbTransactions[[#This Row],[Exchange Rate]]</f>
        <v>370.23</v>
      </c>
      <c r="I539" s="271" t="s">
        <v>430</v>
      </c>
      <c r="J539" s="273" t="s">
        <v>605</v>
      </c>
      <c r="K539" s="183" t="str">
        <f>IF(tbTransactions[[#This Row],[Sub-Type]]="Transfer","Neutral",IF(tbTransactions[[#This Row],[Qty]]&lt;0,"Debit",IF(tbTransactions[[#This Row],[Qty]]&gt;0,"Credit","Neutral")))</f>
        <v>Credit</v>
      </c>
      <c r="L539" s="268" t="s">
        <v>532</v>
      </c>
      <c r="M539" s="272" t="s">
        <v>607</v>
      </c>
    </row>
    <row r="540" spans="3:13" ht="30" customHeight="1" x14ac:dyDescent="0.25">
      <c r="C540" s="26">
        <v>538</v>
      </c>
      <c r="D540" s="27">
        <v>44455</v>
      </c>
      <c r="E540" s="23">
        <v>-370.23</v>
      </c>
      <c r="F540" s="23">
        <v>1</v>
      </c>
      <c r="G540" s="24">
        <v>1</v>
      </c>
      <c r="H540" s="28">
        <f>tbTransactions[[#This Row],[Qty]]*tbTransactions[[#This Row],[Unit Cost]]*tbTransactions[[#This Row],[Exchange Rate]]</f>
        <v>-370.23</v>
      </c>
      <c r="I540" s="271" t="s">
        <v>430</v>
      </c>
      <c r="J540" s="273" t="s">
        <v>418</v>
      </c>
      <c r="K540" s="183" t="str">
        <f>IF(tbTransactions[[#This Row],[Sub-Type]]="Transfer","Neutral",IF(tbTransactions[[#This Row],[Qty]]&lt;0,"Debit",IF(tbTransactions[[#This Row],[Qty]]&gt;0,"Credit","Neutral")))</f>
        <v>Debit</v>
      </c>
      <c r="L540" s="273" t="s">
        <v>528</v>
      </c>
      <c r="M540" s="272" t="s">
        <v>607</v>
      </c>
    </row>
    <row r="541" spans="3:13" ht="30" customHeight="1" x14ac:dyDescent="0.25">
      <c r="C541" s="26">
        <v>539</v>
      </c>
      <c r="D541" s="27">
        <v>44455</v>
      </c>
      <c r="E541" s="23">
        <v>-14.77</v>
      </c>
      <c r="F541" s="23">
        <v>1</v>
      </c>
      <c r="G541" s="24">
        <v>1</v>
      </c>
      <c r="H541" s="28">
        <f>tbTransactions[[#This Row],[Qty]]*tbTransactions[[#This Row],[Unit Cost]]*tbTransactions[[#This Row],[Exchange Rate]]</f>
        <v>-14.77</v>
      </c>
      <c r="I541" s="271" t="s">
        <v>430</v>
      </c>
      <c r="J541" s="273" t="s">
        <v>418</v>
      </c>
      <c r="K541" s="183" t="str">
        <f>IF(tbTransactions[[#This Row],[Sub-Type]]="Transfer","Neutral",IF(tbTransactions[[#This Row],[Qty]]&lt;0,"Debit",IF(tbTransactions[[#This Row],[Qty]]&gt;0,"Credit","Neutral")))</f>
        <v>Debit</v>
      </c>
      <c r="L541" s="273" t="s">
        <v>14</v>
      </c>
      <c r="M541" s="272" t="s">
        <v>607</v>
      </c>
    </row>
    <row r="542" spans="3:13" ht="30" customHeight="1" x14ac:dyDescent="0.25">
      <c r="C542" s="26">
        <v>540</v>
      </c>
      <c r="D542" s="27">
        <v>44455</v>
      </c>
      <c r="E542" s="23">
        <v>2.8332E-2</v>
      </c>
      <c r="F542" s="23">
        <v>0</v>
      </c>
      <c r="G542" s="24">
        <v>1</v>
      </c>
      <c r="H542" s="28">
        <f>tbTransactions[[#This Row],[Qty]]*tbTransactions[[#This Row],[Unit Cost]]*tbTransactions[[#This Row],[Exchange Rate]]</f>
        <v>0</v>
      </c>
      <c r="I542" s="266" t="s">
        <v>430</v>
      </c>
      <c r="J542" s="268" t="s">
        <v>8</v>
      </c>
      <c r="K542" s="183" t="str">
        <f>IF(tbTransactions[[#This Row],[Sub-Type]]="Transfer","Neutral",IF(tbTransactions[[#This Row],[Qty]]&lt;0,"Debit",IF(tbTransactions[[#This Row],[Qty]]&gt;0,"Credit","Neutral")))</f>
        <v>Credit</v>
      </c>
      <c r="L542" s="268" t="s">
        <v>546</v>
      </c>
      <c r="M542" s="270" t="s">
        <v>604</v>
      </c>
    </row>
    <row r="543" spans="3:13" ht="30" customHeight="1" x14ac:dyDescent="0.25">
      <c r="C543" s="26">
        <v>541</v>
      </c>
      <c r="D543" s="27">
        <v>44456</v>
      </c>
      <c r="E543" s="23">
        <v>3.0675729700000001E-2</v>
      </c>
      <c r="F543" s="23">
        <v>0</v>
      </c>
      <c r="G543" s="24">
        <v>1</v>
      </c>
      <c r="H543" s="28">
        <f>tbTransactions[[#This Row],[Qty]]*tbTransactions[[#This Row],[Unit Cost]]*tbTransactions[[#This Row],[Exchange Rate]]</f>
        <v>0</v>
      </c>
      <c r="I543" s="100" t="s">
        <v>539</v>
      </c>
      <c r="J543" s="228" t="s">
        <v>22</v>
      </c>
      <c r="K543" s="183" t="str">
        <f>IF(tbTransactions[[#This Row],[Sub-Type]]="Transfer","Neutral",IF(tbTransactions[[#This Row],[Qty]]&lt;0,"Debit",IF(tbTransactions[[#This Row],[Qty]]&gt;0,"Credit","Neutral")))</f>
        <v>Credit</v>
      </c>
      <c r="L543" s="174" t="s">
        <v>546</v>
      </c>
      <c r="M543" s="180" t="s">
        <v>481</v>
      </c>
    </row>
    <row r="544" spans="3:13" ht="30" customHeight="1" x14ac:dyDescent="0.25">
      <c r="C544" s="26">
        <v>542</v>
      </c>
      <c r="D544" s="27">
        <v>44456</v>
      </c>
      <c r="E544" s="23">
        <v>6.1209999999999997E-3</v>
      </c>
      <c r="F544" s="23">
        <v>0</v>
      </c>
      <c r="G544" s="24">
        <v>1</v>
      </c>
      <c r="H544" s="28">
        <f>tbTransactions[[#This Row],[Qty]]*tbTransactions[[#This Row],[Unit Cost]]*tbTransactions[[#This Row],[Exchange Rate]]</f>
        <v>0</v>
      </c>
      <c r="I544" s="277" t="s">
        <v>534</v>
      </c>
      <c r="J544" s="279" t="s">
        <v>19</v>
      </c>
      <c r="K544" s="183" t="str">
        <f>IF(tbTransactions[[#This Row],[Sub-Type]]="Transfer","Neutral",IF(tbTransactions[[#This Row],[Qty]]&lt;0,"Debit",IF(tbTransactions[[#This Row],[Qty]]&gt;0,"Credit","Neutral")))</f>
        <v>Credit</v>
      </c>
      <c r="L544" s="174" t="s">
        <v>546</v>
      </c>
      <c r="M544" s="278" t="s">
        <v>441</v>
      </c>
    </row>
    <row r="545" spans="3:13" ht="30" customHeight="1" x14ac:dyDescent="0.25">
      <c r="C545" s="26">
        <v>543</v>
      </c>
      <c r="D545" s="27">
        <v>44456</v>
      </c>
      <c r="E545" s="23">
        <v>3.9572999999999997E-2</v>
      </c>
      <c r="F545" s="23">
        <v>0</v>
      </c>
      <c r="G545" s="24">
        <v>1</v>
      </c>
      <c r="H545" s="28">
        <f>tbTransactions[[#This Row],[Qty]]*tbTransactions[[#This Row],[Unit Cost]]*tbTransactions[[#This Row],[Exchange Rate]]</f>
        <v>0</v>
      </c>
      <c r="I545" s="266" t="s">
        <v>430</v>
      </c>
      <c r="J545" s="268" t="s">
        <v>8</v>
      </c>
      <c r="K545" s="183" t="str">
        <f>IF(tbTransactions[[#This Row],[Sub-Type]]="Transfer","Neutral",IF(tbTransactions[[#This Row],[Qty]]&lt;0,"Debit",IF(tbTransactions[[#This Row],[Qty]]&gt;0,"Credit","Neutral")))</f>
        <v>Credit</v>
      </c>
      <c r="L545" s="268" t="s">
        <v>546</v>
      </c>
      <c r="M545" s="270" t="s">
        <v>604</v>
      </c>
    </row>
    <row r="546" spans="3:13" ht="30" customHeight="1" x14ac:dyDescent="0.25">
      <c r="C546" s="26">
        <v>544</v>
      </c>
      <c r="D546" s="27">
        <v>44457</v>
      </c>
      <c r="E546" s="23">
        <v>2.2907822299999998E-2</v>
      </c>
      <c r="F546" s="23">
        <v>0</v>
      </c>
      <c r="G546" s="24">
        <v>1</v>
      </c>
      <c r="H546" s="28">
        <f>tbTransactions[[#This Row],[Qty]]*tbTransactions[[#This Row],[Unit Cost]]*tbTransactions[[#This Row],[Exchange Rate]]</f>
        <v>0</v>
      </c>
      <c r="I546" s="100" t="s">
        <v>539</v>
      </c>
      <c r="J546" s="228" t="s">
        <v>22</v>
      </c>
      <c r="K546" s="183" t="str">
        <f>IF(tbTransactions[[#This Row],[Sub-Type]]="Transfer","Neutral",IF(tbTransactions[[#This Row],[Qty]]&lt;0,"Debit",IF(tbTransactions[[#This Row],[Qty]]&gt;0,"Credit","Neutral")))</f>
        <v>Credit</v>
      </c>
      <c r="L546" s="174" t="s">
        <v>546</v>
      </c>
      <c r="M546" s="180" t="s">
        <v>481</v>
      </c>
    </row>
    <row r="547" spans="3:13" ht="30" customHeight="1" x14ac:dyDescent="0.25">
      <c r="C547" s="26">
        <v>545</v>
      </c>
      <c r="D547" s="27">
        <v>44457</v>
      </c>
      <c r="E547" s="23">
        <v>1.5097943000000001E-2</v>
      </c>
      <c r="F547" s="23">
        <v>0</v>
      </c>
      <c r="G547" s="24">
        <v>1</v>
      </c>
      <c r="H547" s="28">
        <f>tbTransactions[[#This Row],[Qty]]*tbTransactions[[#This Row],[Unit Cost]]*tbTransactions[[#This Row],[Exchange Rate]]</f>
        <v>0</v>
      </c>
      <c r="I547" s="280" t="s">
        <v>570</v>
      </c>
      <c r="J547" s="282" t="s">
        <v>24</v>
      </c>
      <c r="K547" s="183" t="str">
        <f>IF(tbTransactions[[#This Row],[Sub-Type]]="Transfer","Neutral",IF(tbTransactions[[#This Row],[Qty]]&lt;0,"Debit",IF(tbTransactions[[#This Row],[Qty]]&gt;0,"Credit","Neutral")))</f>
        <v>Credit</v>
      </c>
      <c r="L547" s="174" t="s">
        <v>546</v>
      </c>
      <c r="M547" s="281" t="s">
        <v>588</v>
      </c>
    </row>
    <row r="548" spans="3:13" ht="30" customHeight="1" x14ac:dyDescent="0.25">
      <c r="C548" s="26">
        <v>546</v>
      </c>
      <c r="D548" s="27">
        <v>44457</v>
      </c>
      <c r="E548" s="23">
        <v>0.122499</v>
      </c>
      <c r="F548" s="23">
        <v>0</v>
      </c>
      <c r="G548" s="24">
        <v>1</v>
      </c>
      <c r="H548" s="28">
        <f>tbTransactions[[#This Row],[Qty]]*tbTransactions[[#This Row],[Unit Cost]]*tbTransactions[[#This Row],[Exchange Rate]]</f>
        <v>0</v>
      </c>
      <c r="I548" s="280" t="s">
        <v>445</v>
      </c>
      <c r="J548" s="282" t="s">
        <v>20</v>
      </c>
      <c r="K548" s="183" t="str">
        <f>IF(tbTransactions[[#This Row],[Sub-Type]]="Transfer","Neutral",IF(tbTransactions[[#This Row],[Qty]]&lt;0,"Debit",IF(tbTransactions[[#This Row],[Qty]]&gt;0,"Credit","Neutral")))</f>
        <v>Credit</v>
      </c>
      <c r="L548" s="174" t="s">
        <v>546</v>
      </c>
      <c r="M548" s="281" t="s">
        <v>47</v>
      </c>
    </row>
    <row r="549" spans="3:13" ht="30" customHeight="1" x14ac:dyDescent="0.25">
      <c r="C549" s="26">
        <v>547</v>
      </c>
      <c r="D549" s="27">
        <v>44457</v>
      </c>
      <c r="E549" s="23">
        <v>3.9577000000000001E-2</v>
      </c>
      <c r="F549" s="23">
        <v>0</v>
      </c>
      <c r="G549" s="24">
        <v>1</v>
      </c>
      <c r="H549" s="28">
        <f>tbTransactions[[#This Row],[Qty]]*tbTransactions[[#This Row],[Unit Cost]]*tbTransactions[[#This Row],[Exchange Rate]]</f>
        <v>0</v>
      </c>
      <c r="I549" s="266" t="s">
        <v>430</v>
      </c>
      <c r="J549" s="268" t="s">
        <v>8</v>
      </c>
      <c r="K549" s="183" t="str">
        <f>IF(tbTransactions[[#This Row],[Sub-Type]]="Transfer","Neutral",IF(tbTransactions[[#This Row],[Qty]]&lt;0,"Debit",IF(tbTransactions[[#This Row],[Qty]]&gt;0,"Credit","Neutral")))</f>
        <v>Credit</v>
      </c>
      <c r="L549" s="268" t="s">
        <v>546</v>
      </c>
      <c r="M549" s="270" t="s">
        <v>604</v>
      </c>
    </row>
    <row r="550" spans="3:13" ht="30" customHeight="1" x14ac:dyDescent="0.25">
      <c r="C550" s="26">
        <v>548</v>
      </c>
      <c r="D550" s="27">
        <v>44458</v>
      </c>
      <c r="E550" s="23">
        <v>2.3405923499999998E-2</v>
      </c>
      <c r="F550" s="23">
        <v>0</v>
      </c>
      <c r="G550" s="24">
        <v>1</v>
      </c>
      <c r="H550" s="28">
        <f>tbTransactions[[#This Row],[Qty]]*tbTransactions[[#This Row],[Unit Cost]]*tbTransactions[[#This Row],[Exchange Rate]]</f>
        <v>0</v>
      </c>
      <c r="I550" s="100" t="s">
        <v>539</v>
      </c>
      <c r="J550" s="228" t="s">
        <v>22</v>
      </c>
      <c r="K550" s="183" t="str">
        <f>IF(tbTransactions[[#This Row],[Sub-Type]]="Transfer","Neutral",IF(tbTransactions[[#This Row],[Qty]]&lt;0,"Debit",IF(tbTransactions[[#This Row],[Qty]]&gt;0,"Credit","Neutral")))</f>
        <v>Credit</v>
      </c>
      <c r="L550" s="174" t="s">
        <v>546</v>
      </c>
      <c r="M550" s="180" t="s">
        <v>481</v>
      </c>
    </row>
    <row r="551" spans="3:13" ht="30" customHeight="1" x14ac:dyDescent="0.25">
      <c r="C551" s="26">
        <v>549</v>
      </c>
      <c r="D551" s="27">
        <v>44458</v>
      </c>
      <c r="E551" s="23">
        <v>-47.014699999999998</v>
      </c>
      <c r="F551" s="23">
        <v>29.95</v>
      </c>
      <c r="G551" s="24">
        <v>1</v>
      </c>
      <c r="H551" s="28">
        <f>tbTransactions[[#This Row],[Qty]]*tbTransactions[[#This Row],[Unit Cost]]*tbTransactions[[#This Row],[Exchange Rate]]</f>
        <v>-1408.0902649999998</v>
      </c>
      <c r="I551" s="283" t="s">
        <v>537</v>
      </c>
      <c r="J551" s="293" t="s">
        <v>491</v>
      </c>
      <c r="K551" s="183" t="str">
        <f>IF(tbTransactions[[#This Row],[Sub-Type]]="Transfer","Neutral",IF(tbTransactions[[#This Row],[Qty]]&lt;0,"Debit",IF(tbTransactions[[#This Row],[Qty]]&gt;0,"Credit","Neutral")))</f>
        <v>Neutral</v>
      </c>
      <c r="L551" s="285" t="s">
        <v>39</v>
      </c>
      <c r="M551" s="284" t="s">
        <v>622</v>
      </c>
    </row>
    <row r="552" spans="3:13" ht="30" customHeight="1" x14ac:dyDescent="0.25">
      <c r="C552" s="26">
        <v>550</v>
      </c>
      <c r="D552" s="27">
        <v>44458</v>
      </c>
      <c r="E552" s="23">
        <v>0.324349</v>
      </c>
      <c r="F552" s="23">
        <v>4298</v>
      </c>
      <c r="G552" s="24">
        <v>1</v>
      </c>
      <c r="H552" s="28">
        <f>tbTransactions[[#This Row],[Qty]]*tbTransactions[[#This Row],[Unit Cost]]*tbTransactions[[#This Row],[Exchange Rate]]</f>
        <v>1394.0520019999999</v>
      </c>
      <c r="I552" s="283" t="s">
        <v>537</v>
      </c>
      <c r="J552" s="293" t="s">
        <v>24</v>
      </c>
      <c r="K552" s="183" t="str">
        <f>IF(tbTransactions[[#This Row],[Sub-Type]]="Transfer","Neutral",IF(tbTransactions[[#This Row],[Qty]]&lt;0,"Debit",IF(tbTransactions[[#This Row],[Qty]]&gt;0,"Credit","Neutral")))</f>
        <v>Neutral</v>
      </c>
      <c r="L552" s="285" t="s">
        <v>39</v>
      </c>
      <c r="M552" s="284" t="s">
        <v>622</v>
      </c>
    </row>
    <row r="553" spans="3:13" ht="30" customHeight="1" x14ac:dyDescent="0.25">
      <c r="C553" s="26">
        <v>551</v>
      </c>
      <c r="D553" s="27">
        <v>44458</v>
      </c>
      <c r="E553" s="23">
        <v>-7.6114642005922304E-3</v>
      </c>
      <c r="F553" s="23">
        <v>4298</v>
      </c>
      <c r="G553" s="24">
        <v>1</v>
      </c>
      <c r="H553" s="28">
        <f>tbTransactions[[#This Row],[Qty]]*tbTransactions[[#This Row],[Unit Cost]]*tbTransactions[[#This Row],[Exchange Rate]]</f>
        <v>-32.714073134145409</v>
      </c>
      <c r="I553" s="283" t="s">
        <v>537</v>
      </c>
      <c r="J553" s="293" t="s">
        <v>24</v>
      </c>
      <c r="K553" s="183" t="str">
        <f>IF(tbTransactions[[#This Row],[Sub-Type]]="Transfer","Neutral",IF(tbTransactions[[#This Row],[Qty]]&lt;0,"Debit",IF(tbTransactions[[#This Row],[Qty]]&gt;0,"Credit","Neutral")))</f>
        <v>Debit</v>
      </c>
      <c r="L553" s="285" t="s">
        <v>14</v>
      </c>
      <c r="M553" s="284" t="s">
        <v>622</v>
      </c>
    </row>
    <row r="554" spans="3:13" ht="30" customHeight="1" x14ac:dyDescent="0.25">
      <c r="C554" s="26">
        <v>552</v>
      </c>
      <c r="D554" s="27">
        <v>44458</v>
      </c>
      <c r="E554" s="23">
        <v>3.1259768700000001</v>
      </c>
      <c r="F554" s="23">
        <v>0</v>
      </c>
      <c r="G554" s="24">
        <v>1</v>
      </c>
      <c r="H554" s="28">
        <f>tbTransactions[[#This Row],[Qty]]*tbTransactions[[#This Row],[Unit Cost]]*tbTransactions[[#This Row],[Exchange Rate]]</f>
        <v>0</v>
      </c>
      <c r="I554" s="283" t="s">
        <v>430</v>
      </c>
      <c r="J554" s="285" t="s">
        <v>621</v>
      </c>
      <c r="K554" s="183" t="str">
        <f>IF(tbTransactions[[#This Row],[Sub-Type]]="Transfer","Neutral",IF(tbTransactions[[#This Row],[Qty]]&lt;0,"Debit",IF(tbTransactions[[#This Row],[Qty]]&gt;0,"Credit","Neutral")))</f>
        <v>Credit</v>
      </c>
      <c r="L554" s="285" t="s">
        <v>544</v>
      </c>
      <c r="M554" s="145" t="s">
        <v>501</v>
      </c>
    </row>
    <row r="555" spans="3:13" ht="30" customHeight="1" x14ac:dyDescent="0.25">
      <c r="C555" s="26">
        <v>553</v>
      </c>
      <c r="D555" s="27">
        <v>44458</v>
      </c>
      <c r="E555" s="23">
        <v>3.1279324399999999</v>
      </c>
      <c r="F555" s="23">
        <v>0</v>
      </c>
      <c r="G555" s="24">
        <v>1</v>
      </c>
      <c r="H555" s="28">
        <f>tbTransactions[[#This Row],[Qty]]*tbTransactions[[#This Row],[Unit Cost]]*tbTransactions[[#This Row],[Exchange Rate]]</f>
        <v>0</v>
      </c>
      <c r="I555" s="283" t="s">
        <v>430</v>
      </c>
      <c r="J555" s="285" t="s">
        <v>621</v>
      </c>
      <c r="K555" s="183" t="str">
        <f>IF(tbTransactions[[#This Row],[Sub-Type]]="Transfer","Neutral",IF(tbTransactions[[#This Row],[Qty]]&lt;0,"Debit",IF(tbTransactions[[#This Row],[Qty]]&gt;0,"Credit","Neutral")))</f>
        <v>Credit</v>
      </c>
      <c r="L555" s="285" t="s">
        <v>544</v>
      </c>
      <c r="M555" s="145" t="s">
        <v>501</v>
      </c>
    </row>
    <row r="556" spans="3:13" ht="30" customHeight="1" x14ac:dyDescent="0.25">
      <c r="C556" s="26">
        <v>554</v>
      </c>
      <c r="D556" s="27">
        <v>44458</v>
      </c>
      <c r="E556" s="23">
        <v>3.1279324399999999</v>
      </c>
      <c r="F556" s="23">
        <v>0</v>
      </c>
      <c r="G556" s="24">
        <v>1</v>
      </c>
      <c r="H556" s="28">
        <f>tbTransactions[[#This Row],[Qty]]*tbTransactions[[#This Row],[Unit Cost]]*tbTransactions[[#This Row],[Exchange Rate]]</f>
        <v>0</v>
      </c>
      <c r="I556" s="283" t="s">
        <v>430</v>
      </c>
      <c r="J556" s="285" t="s">
        <v>621</v>
      </c>
      <c r="K556" s="183" t="str">
        <f>IF(tbTransactions[[#This Row],[Sub-Type]]="Transfer","Neutral",IF(tbTransactions[[#This Row],[Qty]]&lt;0,"Debit",IF(tbTransactions[[#This Row],[Qty]]&gt;0,"Credit","Neutral")))</f>
        <v>Credit</v>
      </c>
      <c r="L556" s="285" t="s">
        <v>544</v>
      </c>
      <c r="M556" s="145" t="s">
        <v>501</v>
      </c>
    </row>
    <row r="557" spans="3:13" ht="30" customHeight="1" x14ac:dyDescent="0.25">
      <c r="C557" s="26">
        <v>555</v>
      </c>
      <c r="D557" s="27">
        <v>44458</v>
      </c>
      <c r="E557" s="23">
        <v>-3000</v>
      </c>
      <c r="F557" s="23">
        <v>1</v>
      </c>
      <c r="G557" s="24">
        <v>1</v>
      </c>
      <c r="H557" s="28">
        <f>tbTransactions[[#This Row],[Qty]]*tbTransactions[[#This Row],[Unit Cost]]*tbTransactions[[#This Row],[Exchange Rate]]</f>
        <v>-3000</v>
      </c>
      <c r="I557" s="288" t="s">
        <v>526</v>
      </c>
      <c r="J557" s="290" t="s">
        <v>418</v>
      </c>
      <c r="K557" s="183" t="str">
        <f>IF(tbTransactions[[#This Row],[Sub-Type]]="Transfer","Neutral",IF(tbTransactions[[#This Row],[Qty]]&lt;0,"Debit",IF(tbTransactions[[#This Row],[Qty]]&gt;0,"Credit","Neutral")))</f>
        <v>Debit</v>
      </c>
      <c r="L557" s="290" t="s">
        <v>529</v>
      </c>
      <c r="M557" s="289" t="s">
        <v>469</v>
      </c>
    </row>
    <row r="558" spans="3:13" ht="30" customHeight="1" x14ac:dyDescent="0.25">
      <c r="C558" s="26">
        <v>556</v>
      </c>
      <c r="D558" s="27">
        <v>44458</v>
      </c>
      <c r="E558" s="23">
        <v>3000</v>
      </c>
      <c r="F558" s="23">
        <v>1</v>
      </c>
      <c r="G558" s="24">
        <v>1</v>
      </c>
      <c r="H558" s="28">
        <f>tbTransactions[[#This Row],[Qty]]*tbTransactions[[#This Row],[Unit Cost]]*tbTransactions[[#This Row],[Exchange Rate]]</f>
        <v>3000</v>
      </c>
      <c r="I558" s="288" t="s">
        <v>531</v>
      </c>
      <c r="J558" s="290" t="s">
        <v>418</v>
      </c>
      <c r="K558" s="183" t="str">
        <f>IF(tbTransactions[[#This Row],[Sub-Type]]="Transfer","Neutral",IF(tbTransactions[[#This Row],[Qty]]&lt;0,"Debit",IF(tbTransactions[[#This Row],[Qty]]&gt;0,"Credit","Neutral")))</f>
        <v>Credit</v>
      </c>
      <c r="L558" s="290" t="s">
        <v>527</v>
      </c>
      <c r="M558" s="289" t="s">
        <v>469</v>
      </c>
    </row>
    <row r="559" spans="3:13" ht="30" customHeight="1" x14ac:dyDescent="0.25">
      <c r="C559" s="26">
        <v>557</v>
      </c>
      <c r="D559" s="27">
        <v>44458</v>
      </c>
      <c r="E559" s="23">
        <v>3.9580999999999998E-2</v>
      </c>
      <c r="F559" s="23">
        <v>0</v>
      </c>
      <c r="G559" s="24">
        <v>1</v>
      </c>
      <c r="H559" s="28">
        <f>tbTransactions[[#This Row],[Qty]]*tbTransactions[[#This Row],[Unit Cost]]*tbTransactions[[#This Row],[Exchange Rate]]</f>
        <v>0</v>
      </c>
      <c r="I559" s="266" t="s">
        <v>430</v>
      </c>
      <c r="J559" s="268" t="s">
        <v>8</v>
      </c>
      <c r="K559" s="183" t="str">
        <f>IF(tbTransactions[[#This Row],[Sub-Type]]="Transfer","Neutral",IF(tbTransactions[[#This Row],[Qty]]&lt;0,"Debit",IF(tbTransactions[[#This Row],[Qty]]&gt;0,"Credit","Neutral")))</f>
        <v>Credit</v>
      </c>
      <c r="L559" s="268" t="s">
        <v>546</v>
      </c>
      <c r="M559" s="270" t="s">
        <v>604</v>
      </c>
    </row>
    <row r="560" spans="3:13" ht="30" customHeight="1" x14ac:dyDescent="0.25">
      <c r="C560" s="26">
        <v>558</v>
      </c>
      <c r="D560" s="27">
        <v>44459</v>
      </c>
      <c r="E560" s="180">
        <v>2.4670000000000001</v>
      </c>
      <c r="F560" s="180">
        <v>0</v>
      </c>
      <c r="G560" s="181">
        <v>1</v>
      </c>
      <c r="H560" s="28">
        <f>tbTransactions[[#This Row],[Qty]]*tbTransactions[[#This Row],[Unit Cost]]*tbTransactions[[#This Row],[Exchange Rate]]</f>
        <v>0</v>
      </c>
      <c r="I560" s="200" t="s">
        <v>562</v>
      </c>
      <c r="J560" s="201" t="s">
        <v>437</v>
      </c>
      <c r="K560" s="183" t="str">
        <f>IF(tbTransactions[[#This Row],[Sub-Type]]="Transfer","Neutral",IF(tbTransactions[[#This Row],[Qty]]&lt;0,"Debit",IF(tbTransactions[[#This Row],[Qty]]&gt;0,"Credit","Neutral")))</f>
        <v>Credit</v>
      </c>
      <c r="L560" s="202" t="s">
        <v>546</v>
      </c>
      <c r="M560" s="299" t="s">
        <v>627</v>
      </c>
    </row>
    <row r="561" spans="3:13" ht="30" customHeight="1" x14ac:dyDescent="0.25">
      <c r="C561" s="26">
        <v>559</v>
      </c>
      <c r="D561" s="27">
        <v>44459</v>
      </c>
      <c r="E561" s="23">
        <v>1089</v>
      </c>
      <c r="F561" s="23">
        <v>2.78</v>
      </c>
      <c r="G561" s="24">
        <v>1</v>
      </c>
      <c r="H561" s="28">
        <f>tbTransactions[[#This Row],[Qty]]*tbTransactions[[#This Row],[Unit Cost]]*tbTransactions[[#This Row],[Exchange Rate]]</f>
        <v>3027.4199999999996</v>
      </c>
      <c r="I561" s="288" t="s">
        <v>531</v>
      </c>
      <c r="J561" s="293" t="s">
        <v>19</v>
      </c>
      <c r="K561" s="183" t="str">
        <f>IF(tbTransactions[[#This Row],[Sub-Type]]="Transfer","Neutral",IF(tbTransactions[[#This Row],[Qty]]&lt;0,"Debit",IF(tbTransactions[[#This Row],[Qty]]&gt;0,"Credit","Neutral")))</f>
        <v>Credit</v>
      </c>
      <c r="L561" s="293" t="s">
        <v>532</v>
      </c>
      <c r="M561" s="289" t="s">
        <v>469</v>
      </c>
    </row>
    <row r="562" spans="3:13" ht="30" customHeight="1" x14ac:dyDescent="0.25">
      <c r="C562" s="26">
        <v>560</v>
      </c>
      <c r="D562" s="27">
        <v>44459</v>
      </c>
      <c r="E562" s="23">
        <v>-3027.42</v>
      </c>
      <c r="F562" s="23">
        <v>1</v>
      </c>
      <c r="G562" s="24">
        <v>1</v>
      </c>
      <c r="H562" s="28">
        <f>tbTransactions[[#This Row],[Qty]]*tbTransactions[[#This Row],[Unit Cost]]*tbTransactions[[#This Row],[Exchange Rate]]</f>
        <v>-3027.42</v>
      </c>
      <c r="I562" s="288" t="s">
        <v>531</v>
      </c>
      <c r="J562" s="290" t="s">
        <v>418</v>
      </c>
      <c r="K562" s="183" t="str">
        <f>IF(tbTransactions[[#This Row],[Sub-Type]]="Transfer","Neutral",IF(tbTransactions[[#This Row],[Qty]]&lt;0,"Debit",IF(tbTransactions[[#This Row],[Qty]]&gt;0,"Credit","Neutral")))</f>
        <v>Debit</v>
      </c>
      <c r="L562" s="293" t="s">
        <v>528</v>
      </c>
      <c r="M562" s="289" t="s">
        <v>469</v>
      </c>
    </row>
    <row r="563" spans="3:13" ht="30" customHeight="1" x14ac:dyDescent="0.25">
      <c r="C563" s="26">
        <v>561</v>
      </c>
      <c r="D563" s="27">
        <v>44459</v>
      </c>
      <c r="E563" s="23">
        <v>-3.5079999999999998E-3</v>
      </c>
      <c r="F563" s="23">
        <v>3976.92</v>
      </c>
      <c r="G563" s="24">
        <v>1</v>
      </c>
      <c r="H563" s="28">
        <f>tbTransactions[[#This Row],[Qty]]*tbTransactions[[#This Row],[Unit Cost]]*tbTransactions[[#This Row],[Exchange Rate]]</f>
        <v>-13.951035359999999</v>
      </c>
      <c r="I563" s="291" t="s">
        <v>537</v>
      </c>
      <c r="J563" s="293" t="s">
        <v>24</v>
      </c>
      <c r="K563" s="183" t="str">
        <f>IF(tbTransactions[[#This Row],[Sub-Type]]="Transfer","Neutral",IF(tbTransactions[[#This Row],[Qty]]&lt;0,"Debit",IF(tbTransactions[[#This Row],[Qty]]&gt;0,"Credit","Neutral")))</f>
        <v>Debit</v>
      </c>
      <c r="L563" s="293" t="s">
        <v>14</v>
      </c>
      <c r="M563" s="292" t="s">
        <v>623</v>
      </c>
    </row>
    <row r="564" spans="3:13" ht="30" customHeight="1" x14ac:dyDescent="0.25">
      <c r="C564" s="26">
        <v>562</v>
      </c>
      <c r="D564" s="27">
        <v>44459</v>
      </c>
      <c r="E564" s="23">
        <v>-0.33</v>
      </c>
      <c r="F564" s="23">
        <v>3976.92</v>
      </c>
      <c r="G564" s="24">
        <v>1</v>
      </c>
      <c r="H564" s="28">
        <f>tbTransactions[[#This Row],[Qty]]*tbTransactions[[#This Row],[Unit Cost]]*tbTransactions[[#This Row],[Exchange Rate]]</f>
        <v>-1312.3836000000001</v>
      </c>
      <c r="I564" s="291" t="s">
        <v>537</v>
      </c>
      <c r="J564" s="293" t="s">
        <v>24</v>
      </c>
      <c r="K564" s="183" t="str">
        <f>IF(tbTransactions[[#This Row],[Sub-Type]]="Transfer","Neutral",IF(tbTransactions[[#This Row],[Qty]]&lt;0,"Debit",IF(tbTransactions[[#This Row],[Qty]]&gt;0,"Credit","Neutral")))</f>
        <v>Neutral</v>
      </c>
      <c r="L564" s="293" t="s">
        <v>39</v>
      </c>
      <c r="M564" s="292" t="s">
        <v>623</v>
      </c>
    </row>
    <row r="565" spans="3:13" ht="30" customHeight="1" x14ac:dyDescent="0.25">
      <c r="C565" s="26">
        <v>563</v>
      </c>
      <c r="D565" s="27">
        <v>44459</v>
      </c>
      <c r="E565" s="23">
        <v>0.33</v>
      </c>
      <c r="F565" s="23">
        <v>3976.92</v>
      </c>
      <c r="G565" s="24">
        <v>1</v>
      </c>
      <c r="H565" s="28">
        <f>tbTransactions[[#This Row],[Qty]]*tbTransactions[[#This Row],[Unit Cost]]*tbTransactions[[#This Row],[Exchange Rate]]</f>
        <v>1312.3836000000001</v>
      </c>
      <c r="I565" s="291" t="s">
        <v>624</v>
      </c>
      <c r="J565" s="293" t="s">
        <v>24</v>
      </c>
      <c r="K565" s="183" t="str">
        <f>IF(tbTransactions[[#This Row],[Sub-Type]]="Transfer","Neutral",IF(tbTransactions[[#This Row],[Qty]]&lt;0,"Debit",IF(tbTransactions[[#This Row],[Qty]]&gt;0,"Credit","Neutral")))</f>
        <v>Neutral</v>
      </c>
      <c r="L565" s="293" t="s">
        <v>39</v>
      </c>
      <c r="M565" s="292" t="s">
        <v>623</v>
      </c>
    </row>
    <row r="566" spans="3:13" ht="30" customHeight="1" x14ac:dyDescent="0.25">
      <c r="C566" s="26">
        <v>564</v>
      </c>
      <c r="D566" s="27">
        <v>44459</v>
      </c>
      <c r="E566" s="23">
        <v>-500</v>
      </c>
      <c r="F566" s="23">
        <v>1</v>
      </c>
      <c r="G566" s="24">
        <v>1</v>
      </c>
      <c r="H566" s="28">
        <f>tbTransactions[[#This Row],[Qty]]*tbTransactions[[#This Row],[Unit Cost]]*tbTransactions[[#This Row],[Exchange Rate]]</f>
        <v>-500</v>
      </c>
      <c r="I566" s="291" t="s">
        <v>526</v>
      </c>
      <c r="J566" s="293" t="s">
        <v>418</v>
      </c>
      <c r="K566" s="183" t="str">
        <f>IF(tbTransactions[[#This Row],[Sub-Type]]="Transfer","Neutral",IF(tbTransactions[[#This Row],[Qty]]&lt;0,"Debit",IF(tbTransactions[[#This Row],[Qty]]&gt;0,"Credit","Neutral")))</f>
        <v>Debit</v>
      </c>
      <c r="L566" s="293" t="s">
        <v>529</v>
      </c>
      <c r="M566" s="292" t="s">
        <v>602</v>
      </c>
    </row>
    <row r="567" spans="3:13" ht="30" customHeight="1" x14ac:dyDescent="0.25">
      <c r="C567" s="26">
        <v>565</v>
      </c>
      <c r="D567" s="27">
        <v>44459</v>
      </c>
      <c r="E567" s="23">
        <v>500</v>
      </c>
      <c r="F567" s="23">
        <v>1</v>
      </c>
      <c r="G567" s="24">
        <v>1</v>
      </c>
      <c r="H567" s="28">
        <f>tbTransactions[[#This Row],[Qty]]*tbTransactions[[#This Row],[Unit Cost]]*tbTransactions[[#This Row],[Exchange Rate]]</f>
        <v>500</v>
      </c>
      <c r="I567" s="291" t="s">
        <v>430</v>
      </c>
      <c r="J567" s="293" t="s">
        <v>418</v>
      </c>
      <c r="K567" s="183" t="str">
        <f>IF(tbTransactions[[#This Row],[Sub-Type]]="Transfer","Neutral",IF(tbTransactions[[#This Row],[Qty]]&lt;0,"Debit",IF(tbTransactions[[#This Row],[Qty]]&gt;0,"Credit","Neutral")))</f>
        <v>Credit</v>
      </c>
      <c r="L567" s="293" t="s">
        <v>527</v>
      </c>
      <c r="M567" s="292" t="s">
        <v>602</v>
      </c>
    </row>
    <row r="568" spans="3:13" ht="30" customHeight="1" x14ac:dyDescent="0.25">
      <c r="C568" s="26">
        <v>566</v>
      </c>
      <c r="D568" s="27">
        <v>44459</v>
      </c>
      <c r="E568" s="23">
        <v>-480.82</v>
      </c>
      <c r="F568" s="23">
        <v>1</v>
      </c>
      <c r="G568" s="24">
        <v>1</v>
      </c>
      <c r="H568" s="28">
        <f>tbTransactions[[#This Row],[Qty]]*tbTransactions[[#This Row],[Unit Cost]]*tbTransactions[[#This Row],[Exchange Rate]]</f>
        <v>-480.82</v>
      </c>
      <c r="I568" s="291" t="s">
        <v>430</v>
      </c>
      <c r="J568" s="293" t="s">
        <v>418</v>
      </c>
      <c r="K568" s="183" t="str">
        <f>IF(tbTransactions[[#This Row],[Sub-Type]]="Transfer","Neutral",IF(tbTransactions[[#This Row],[Qty]]&lt;0,"Debit",IF(tbTransactions[[#This Row],[Qty]]&gt;0,"Credit","Neutral")))</f>
        <v>Debit</v>
      </c>
      <c r="L568" s="293" t="s">
        <v>528</v>
      </c>
      <c r="M568" s="292" t="s">
        <v>602</v>
      </c>
    </row>
    <row r="569" spans="3:13" ht="30" customHeight="1" x14ac:dyDescent="0.25">
      <c r="C569" s="26">
        <v>567</v>
      </c>
      <c r="D569" s="27">
        <v>44459</v>
      </c>
      <c r="E569" s="23">
        <v>-19.18</v>
      </c>
      <c r="F569" s="23">
        <v>1</v>
      </c>
      <c r="G569" s="24">
        <v>1</v>
      </c>
      <c r="H569" s="28">
        <f>tbTransactions[[#This Row],[Qty]]*tbTransactions[[#This Row],[Unit Cost]]*tbTransactions[[#This Row],[Exchange Rate]]</f>
        <v>-19.18</v>
      </c>
      <c r="I569" s="291" t="s">
        <v>430</v>
      </c>
      <c r="J569" s="293" t="s">
        <v>418</v>
      </c>
      <c r="K569" s="183" t="str">
        <f>IF(tbTransactions[[#This Row],[Sub-Type]]="Transfer","Neutral",IF(tbTransactions[[#This Row],[Qty]]&lt;0,"Debit",IF(tbTransactions[[#This Row],[Qty]]&gt;0,"Credit","Neutral")))</f>
        <v>Debit</v>
      </c>
      <c r="L569" s="293" t="s">
        <v>14</v>
      </c>
      <c r="M569" s="292" t="s">
        <v>602</v>
      </c>
    </row>
    <row r="570" spans="3:13" ht="30" customHeight="1" x14ac:dyDescent="0.25">
      <c r="C570" s="26">
        <v>568</v>
      </c>
      <c r="D570" s="27">
        <v>44459</v>
      </c>
      <c r="E570" s="23">
        <v>226.77180999999999</v>
      </c>
      <c r="F570" s="23">
        <v>2.1202811760421194</v>
      </c>
      <c r="G570" s="24">
        <v>1</v>
      </c>
      <c r="H570" s="28">
        <f>tbTransactions[[#This Row],[Qty]]*tbTransactions[[#This Row],[Unit Cost]]*tbTransactions[[#This Row],[Exchange Rate]]</f>
        <v>480.82000000000005</v>
      </c>
      <c r="I570" s="291" t="s">
        <v>430</v>
      </c>
      <c r="J570" s="293" t="s">
        <v>8</v>
      </c>
      <c r="K570" s="183" t="str">
        <f>IF(tbTransactions[[#This Row],[Sub-Type]]="Transfer","Neutral",IF(tbTransactions[[#This Row],[Qty]]&lt;0,"Debit",IF(tbTransactions[[#This Row],[Qty]]&gt;0,"Credit","Neutral")))</f>
        <v>Credit</v>
      </c>
      <c r="L570" s="293" t="s">
        <v>532</v>
      </c>
      <c r="M570" s="292" t="s">
        <v>602</v>
      </c>
    </row>
    <row r="571" spans="3:13" ht="30" customHeight="1" x14ac:dyDescent="0.25">
      <c r="C571" s="26">
        <v>569</v>
      </c>
      <c r="D571" s="27">
        <v>44459</v>
      </c>
      <c r="E571" s="23">
        <v>-198</v>
      </c>
      <c r="F571" s="23">
        <v>193.5</v>
      </c>
      <c r="G571" s="24">
        <v>1</v>
      </c>
      <c r="H571" s="28">
        <f>tbTransactions[[#This Row],[Qty]]*tbTransactions[[#This Row],[Unit Cost]]*tbTransactions[[#This Row],[Exchange Rate]]</f>
        <v>-38313</v>
      </c>
      <c r="I571" s="552" t="s">
        <v>761</v>
      </c>
      <c r="J571" s="295" t="s">
        <v>48</v>
      </c>
      <c r="K571" s="183" t="str">
        <f>IF(tbTransactions[[#This Row],[Sub-Type]]="Transfer","Neutral",IF(tbTransactions[[#This Row],[Qty]]&lt;0,"Debit",IF(tbTransactions[[#This Row],[Qty]]&gt;0,"Credit","Neutral")))</f>
        <v>Debit</v>
      </c>
      <c r="L571" s="295" t="s">
        <v>533</v>
      </c>
      <c r="M571" s="294" t="s">
        <v>625</v>
      </c>
    </row>
    <row r="572" spans="3:13" ht="30" customHeight="1" x14ac:dyDescent="0.25">
      <c r="C572" s="26">
        <v>570</v>
      </c>
      <c r="D572" s="27">
        <v>44459</v>
      </c>
      <c r="E572" s="23">
        <v>38313</v>
      </c>
      <c r="F572" s="23">
        <v>1</v>
      </c>
      <c r="G572" s="24">
        <v>1</v>
      </c>
      <c r="H572" s="28">
        <f>tbTransactions[[#This Row],[Qty]]*tbTransactions[[#This Row],[Unit Cost]]*tbTransactions[[#This Row],[Exchange Rate]]</f>
        <v>38313</v>
      </c>
      <c r="I572" s="552" t="s">
        <v>761</v>
      </c>
      <c r="J572" s="295" t="s">
        <v>418</v>
      </c>
      <c r="K572" s="183" t="str">
        <f>IF(tbTransactions[[#This Row],[Sub-Type]]="Transfer","Neutral",IF(tbTransactions[[#This Row],[Qty]]&lt;0,"Debit",IF(tbTransactions[[#This Row],[Qty]]&gt;0,"Credit","Neutral")))</f>
        <v>Credit</v>
      </c>
      <c r="L572" s="295" t="s">
        <v>527</v>
      </c>
      <c r="M572" s="294" t="s">
        <v>625</v>
      </c>
    </row>
    <row r="573" spans="3:13" ht="30" customHeight="1" x14ac:dyDescent="0.25">
      <c r="C573" s="26">
        <v>571</v>
      </c>
      <c r="D573" s="27">
        <v>44459</v>
      </c>
      <c r="E573" s="23">
        <v>2.7782401799999999E-2</v>
      </c>
      <c r="F573" s="23">
        <v>0</v>
      </c>
      <c r="G573" s="24">
        <v>1</v>
      </c>
      <c r="H573" s="28">
        <f>tbTransactions[[#This Row],[Qty]]*tbTransactions[[#This Row],[Unit Cost]]*tbTransactions[[#This Row],[Exchange Rate]]</f>
        <v>0</v>
      </c>
      <c r="I573" s="100" t="s">
        <v>539</v>
      </c>
      <c r="J573" s="228" t="s">
        <v>22</v>
      </c>
      <c r="K573" s="183" t="str">
        <f>IF(tbTransactions[[#This Row],[Sub-Type]]="Transfer","Neutral",IF(tbTransactions[[#This Row],[Qty]]&lt;0,"Debit",IF(tbTransactions[[#This Row],[Qty]]&gt;0,"Credit","Neutral")))</f>
        <v>Credit</v>
      </c>
      <c r="L573" s="174" t="s">
        <v>546</v>
      </c>
      <c r="M573" s="180" t="s">
        <v>481</v>
      </c>
    </row>
    <row r="574" spans="3:13" ht="30" customHeight="1" x14ac:dyDescent="0.25">
      <c r="C574" s="26">
        <v>572</v>
      </c>
      <c r="D574" s="27">
        <v>44460</v>
      </c>
      <c r="E574" s="23">
        <v>2.9899999999999999E-2</v>
      </c>
      <c r="F574" s="23">
        <v>0</v>
      </c>
      <c r="G574" s="24">
        <v>1</v>
      </c>
      <c r="H574" s="28">
        <f>tbTransactions[[#This Row],[Qty]]*tbTransactions[[#This Row],[Unit Cost]]*tbTransactions[[#This Row],[Exchange Rate]]</f>
        <v>0</v>
      </c>
      <c r="I574" s="200" t="s">
        <v>509</v>
      </c>
      <c r="J574" s="201" t="s">
        <v>26</v>
      </c>
      <c r="K574" s="183" t="str">
        <f>IF(tbTransactions[[#This Row],[Sub-Type]]="Transfer","Neutral",IF(tbTransactions[[#This Row],[Qty]]&lt;0,"Debit",IF(tbTransactions[[#This Row],[Qty]]&gt;0,"Credit","Neutral")))</f>
        <v>Credit</v>
      </c>
      <c r="L574" s="201" t="s">
        <v>558</v>
      </c>
      <c r="M574" s="306" t="s">
        <v>635</v>
      </c>
    </row>
    <row r="575" spans="3:13" ht="30" customHeight="1" x14ac:dyDescent="0.25">
      <c r="C575" s="26">
        <v>573</v>
      </c>
      <c r="D575" s="27">
        <v>44460</v>
      </c>
      <c r="E575" s="23">
        <v>-1.1897E-2</v>
      </c>
      <c r="F575" s="23">
        <v>3914.6</v>
      </c>
      <c r="G575" s="24">
        <v>1</v>
      </c>
      <c r="H575" s="28">
        <f>tbTransactions[[#This Row],[Qty]]*tbTransactions[[#This Row],[Unit Cost]]*tbTransactions[[#This Row],[Exchange Rate]]</f>
        <v>-46.571996199999994</v>
      </c>
      <c r="I575" s="297" t="s">
        <v>537</v>
      </c>
      <c r="J575" s="298" t="s">
        <v>24</v>
      </c>
      <c r="K575" s="183" t="str">
        <f>IF(tbTransactions[[#This Row],[Sub-Type]]="Transfer","Neutral",IF(tbTransactions[[#This Row],[Qty]]&lt;0,"Debit",IF(tbTransactions[[#This Row],[Qty]]&gt;0,"Credit","Neutral")))</f>
        <v>Debit</v>
      </c>
      <c r="L575" s="298" t="s">
        <v>14</v>
      </c>
      <c r="M575" s="299" t="s">
        <v>626</v>
      </c>
    </row>
    <row r="576" spans="3:13" ht="30" customHeight="1" x14ac:dyDescent="0.25">
      <c r="C576" s="26">
        <v>574</v>
      </c>
      <c r="D576" s="27">
        <v>44460</v>
      </c>
      <c r="E576" s="23">
        <v>-7.058E-3</v>
      </c>
      <c r="F576" s="23">
        <v>3914.6</v>
      </c>
      <c r="G576" s="24">
        <v>1</v>
      </c>
      <c r="H576" s="28">
        <f>tbTransactions[[#This Row],[Qty]]*tbTransactions[[#This Row],[Unit Cost]]*tbTransactions[[#This Row],[Exchange Rate]]</f>
        <v>-27.629246800000001</v>
      </c>
      <c r="I576" s="297" t="s">
        <v>537</v>
      </c>
      <c r="J576" s="298" t="s">
        <v>24</v>
      </c>
      <c r="K576" s="183" t="str">
        <f>IF(tbTransactions[[#This Row],[Sub-Type]]="Transfer","Neutral",IF(tbTransactions[[#This Row],[Qty]]&lt;0,"Debit",IF(tbTransactions[[#This Row],[Qty]]&gt;0,"Credit","Neutral")))</f>
        <v>Debit</v>
      </c>
      <c r="L576" s="298" t="s">
        <v>14</v>
      </c>
      <c r="M576" s="299" t="s">
        <v>628</v>
      </c>
    </row>
    <row r="577" spans="3:13" ht="30" customHeight="1" x14ac:dyDescent="0.25">
      <c r="C577" s="26">
        <v>575</v>
      </c>
      <c r="D577" s="27">
        <v>44460</v>
      </c>
      <c r="E577" s="23">
        <v>-152.107</v>
      </c>
      <c r="F577" s="23">
        <v>1.28</v>
      </c>
      <c r="G577" s="24">
        <v>1</v>
      </c>
      <c r="H577" s="28">
        <f>tbTransactions[[#This Row],[Qty]]*tbTransactions[[#This Row],[Unit Cost]]*tbTransactions[[#This Row],[Exchange Rate]]</f>
        <v>-194.69695999999999</v>
      </c>
      <c r="I577" s="297" t="s">
        <v>555</v>
      </c>
      <c r="J577" s="298" t="s">
        <v>523</v>
      </c>
      <c r="K577" s="183" t="str">
        <f>IF(tbTransactions[[#This Row],[Sub-Type]]="Transfer","Neutral",IF(tbTransactions[[#This Row],[Qty]]&lt;0,"Debit",IF(tbTransactions[[#This Row],[Qty]]&gt;0,"Credit","Neutral")))</f>
        <v>Neutral</v>
      </c>
      <c r="L577" s="298" t="s">
        <v>39</v>
      </c>
      <c r="M577" s="299" t="s">
        <v>628</v>
      </c>
    </row>
    <row r="578" spans="3:13" ht="30" customHeight="1" x14ac:dyDescent="0.25">
      <c r="C578" s="26">
        <v>576</v>
      </c>
      <c r="D578" s="27">
        <v>44460</v>
      </c>
      <c r="E578" s="23">
        <v>152.107</v>
      </c>
      <c r="F578" s="23">
        <v>1.28</v>
      </c>
      <c r="G578" s="24">
        <v>1</v>
      </c>
      <c r="H578" s="28">
        <f>tbTransactions[[#This Row],[Qty]]*tbTransactions[[#This Row],[Unit Cost]]*tbTransactions[[#This Row],[Exchange Rate]]</f>
        <v>194.69695999999999</v>
      </c>
      <c r="I578" s="297" t="s">
        <v>537</v>
      </c>
      <c r="J578" s="298" t="s">
        <v>523</v>
      </c>
      <c r="K578" s="183" t="str">
        <f>IF(tbTransactions[[#This Row],[Sub-Type]]="Transfer","Neutral",IF(tbTransactions[[#This Row],[Qty]]&lt;0,"Debit",IF(tbTransactions[[#This Row],[Qty]]&gt;0,"Credit","Neutral")))</f>
        <v>Neutral</v>
      </c>
      <c r="L578" s="298" t="s">
        <v>39</v>
      </c>
      <c r="M578" s="299" t="s">
        <v>628</v>
      </c>
    </row>
    <row r="579" spans="3:13" ht="30" customHeight="1" x14ac:dyDescent="0.25">
      <c r="C579" s="26">
        <v>577</v>
      </c>
      <c r="D579" s="27">
        <v>44460</v>
      </c>
      <c r="E579" s="23">
        <v>-2.898E-3</v>
      </c>
      <c r="F579" s="23">
        <v>3925.42</v>
      </c>
      <c r="G579" s="24">
        <v>1</v>
      </c>
      <c r="H579" s="28">
        <f>tbTransactions[[#This Row],[Qty]]*tbTransactions[[#This Row],[Unit Cost]]*tbTransactions[[#This Row],[Exchange Rate]]</f>
        <v>-11.37586716</v>
      </c>
      <c r="I579" s="297" t="s">
        <v>537</v>
      </c>
      <c r="J579" s="298" t="s">
        <v>24</v>
      </c>
      <c r="K579" s="183" t="str">
        <f>IF(tbTransactions[[#This Row],[Sub-Type]]="Transfer","Neutral",IF(tbTransactions[[#This Row],[Qty]]&lt;0,"Debit",IF(tbTransactions[[#This Row],[Qty]]&gt;0,"Credit","Neutral")))</f>
        <v>Debit</v>
      </c>
      <c r="L579" s="298" t="s">
        <v>14</v>
      </c>
      <c r="M579" s="299" t="s">
        <v>630</v>
      </c>
    </row>
    <row r="580" spans="3:13" ht="30" customHeight="1" x14ac:dyDescent="0.25">
      <c r="C580" s="26">
        <v>578</v>
      </c>
      <c r="D580" s="27">
        <v>44460</v>
      </c>
      <c r="E580" s="23">
        <v>-152.107</v>
      </c>
      <c r="F580" s="23">
        <v>1.28</v>
      </c>
      <c r="G580" s="24">
        <v>1</v>
      </c>
      <c r="H580" s="28">
        <f>tbTransactions[[#This Row],[Qty]]*tbTransactions[[#This Row],[Unit Cost]]*tbTransactions[[#This Row],[Exchange Rate]]</f>
        <v>-194.69695999999999</v>
      </c>
      <c r="I580" s="297" t="s">
        <v>537</v>
      </c>
      <c r="J580" s="298" t="s">
        <v>523</v>
      </c>
      <c r="K580" s="183" t="str">
        <f>IF(tbTransactions[[#This Row],[Sub-Type]]="Transfer","Neutral",IF(tbTransactions[[#This Row],[Qty]]&lt;0,"Debit",IF(tbTransactions[[#This Row],[Qty]]&gt;0,"Credit","Neutral")))</f>
        <v>Neutral</v>
      </c>
      <c r="L580" s="298" t="s">
        <v>39</v>
      </c>
      <c r="M580" s="299" t="s">
        <v>630</v>
      </c>
    </row>
    <row r="581" spans="3:13" ht="30" customHeight="1" x14ac:dyDescent="0.25">
      <c r="C581" s="26">
        <v>579</v>
      </c>
      <c r="D581" s="27">
        <v>44460</v>
      </c>
      <c r="E581" s="23">
        <v>152.107</v>
      </c>
      <c r="F581" s="23">
        <v>1.28</v>
      </c>
      <c r="G581" s="24">
        <v>1</v>
      </c>
      <c r="H581" s="28">
        <f>tbTransactions[[#This Row],[Qty]]*tbTransactions[[#This Row],[Unit Cost]]*tbTransactions[[#This Row],[Exchange Rate]]</f>
        <v>194.69695999999999</v>
      </c>
      <c r="I581" s="297" t="s">
        <v>629</v>
      </c>
      <c r="J581" s="298" t="s">
        <v>523</v>
      </c>
      <c r="K581" s="183" t="str">
        <f>IF(tbTransactions[[#This Row],[Sub-Type]]="Transfer","Neutral",IF(tbTransactions[[#This Row],[Qty]]&lt;0,"Debit",IF(tbTransactions[[#This Row],[Qty]]&gt;0,"Credit","Neutral")))</f>
        <v>Neutral</v>
      </c>
      <c r="L581" s="298" t="s">
        <v>39</v>
      </c>
      <c r="M581" s="299" t="s">
        <v>630</v>
      </c>
    </row>
    <row r="582" spans="3:13" ht="30" customHeight="1" x14ac:dyDescent="0.25">
      <c r="C582" s="26">
        <v>580</v>
      </c>
      <c r="D582" s="27">
        <v>44460</v>
      </c>
      <c r="E582" s="23">
        <v>-2.4678750365306299</v>
      </c>
      <c r="F582" s="23">
        <v>1.49</v>
      </c>
      <c r="G582" s="24">
        <v>1</v>
      </c>
      <c r="H582" s="28">
        <f>tbTransactions[[#This Row],[Qty]]*tbTransactions[[#This Row],[Unit Cost]]*tbTransactions[[#This Row],[Exchange Rate]]</f>
        <v>-3.6771338044306385</v>
      </c>
      <c r="I582" s="297" t="s">
        <v>562</v>
      </c>
      <c r="J582" s="298" t="s">
        <v>437</v>
      </c>
      <c r="K582" s="183" t="str">
        <f>IF(tbTransactions[[#This Row],[Sub-Type]]="Transfer","Neutral",IF(tbTransactions[[#This Row],[Qty]]&lt;0,"Debit",IF(tbTransactions[[#This Row],[Qty]]&gt;0,"Credit","Neutral")))</f>
        <v>Neutral</v>
      </c>
      <c r="L582" s="298" t="s">
        <v>39</v>
      </c>
      <c r="M582" s="299" t="s">
        <v>631</v>
      </c>
    </row>
    <row r="583" spans="3:13" ht="30" customHeight="1" x14ac:dyDescent="0.25">
      <c r="C583" s="26">
        <v>581</v>
      </c>
      <c r="D583" s="27">
        <v>44460</v>
      </c>
      <c r="E583" s="23">
        <v>2.4678750365306299</v>
      </c>
      <c r="F583" s="23">
        <v>1.49</v>
      </c>
      <c r="G583" s="24">
        <v>1</v>
      </c>
      <c r="H583" s="28">
        <f>tbTransactions[[#This Row],[Qty]]*tbTransactions[[#This Row],[Unit Cost]]*tbTransactions[[#This Row],[Exchange Rate]]</f>
        <v>3.6771338044306385</v>
      </c>
      <c r="I583" s="297" t="s">
        <v>537</v>
      </c>
      <c r="J583" s="298" t="s">
        <v>437</v>
      </c>
      <c r="K583" s="183" t="str">
        <f>IF(tbTransactions[[#This Row],[Sub-Type]]="Transfer","Neutral",IF(tbTransactions[[#This Row],[Qty]]&lt;0,"Debit",IF(tbTransactions[[#This Row],[Qty]]&gt;0,"Credit","Neutral")))</f>
        <v>Neutral</v>
      </c>
      <c r="L583" s="298" t="s">
        <v>39</v>
      </c>
      <c r="M583" s="299" t="s">
        <v>631</v>
      </c>
    </row>
    <row r="584" spans="3:13" ht="30" customHeight="1" x14ac:dyDescent="0.25">
      <c r="C584" s="26">
        <v>582</v>
      </c>
      <c r="D584" s="27">
        <v>44460</v>
      </c>
      <c r="E584" s="23">
        <v>-2.4678750365306299</v>
      </c>
      <c r="F584" s="23">
        <v>1.49</v>
      </c>
      <c r="G584" s="24">
        <v>1</v>
      </c>
      <c r="H584" s="28">
        <f>tbTransactions[[#This Row],[Qty]]*tbTransactions[[#This Row],[Unit Cost]]*tbTransactions[[#This Row],[Exchange Rate]]</f>
        <v>-3.6771338044306385</v>
      </c>
      <c r="I584" s="297" t="s">
        <v>537</v>
      </c>
      <c r="J584" s="298" t="s">
        <v>437</v>
      </c>
      <c r="K584" s="183" t="str">
        <f>IF(tbTransactions[[#This Row],[Sub-Type]]="Transfer","Neutral",IF(tbTransactions[[#This Row],[Qty]]&lt;0,"Debit",IF(tbTransactions[[#This Row],[Qty]]&gt;0,"Credit","Neutral")))</f>
        <v>Neutral</v>
      </c>
      <c r="L584" s="298" t="s">
        <v>39</v>
      </c>
      <c r="M584" s="299" t="s">
        <v>632</v>
      </c>
    </row>
    <row r="585" spans="3:13" ht="30" customHeight="1" x14ac:dyDescent="0.25">
      <c r="C585" s="26">
        <v>583</v>
      </c>
      <c r="D585" s="27">
        <v>44460</v>
      </c>
      <c r="E585" s="23">
        <v>2.4678750365306299</v>
      </c>
      <c r="F585" s="23">
        <v>1.49</v>
      </c>
      <c r="G585" s="24">
        <v>1</v>
      </c>
      <c r="H585" s="28">
        <f>tbTransactions[[#This Row],[Qty]]*tbTransactions[[#This Row],[Unit Cost]]*tbTransactions[[#This Row],[Exchange Rate]]</f>
        <v>3.6771338044306385</v>
      </c>
      <c r="I585" s="297" t="s">
        <v>624</v>
      </c>
      <c r="J585" s="298" t="s">
        <v>437</v>
      </c>
      <c r="K585" s="183" t="str">
        <f>IF(tbTransactions[[#This Row],[Sub-Type]]="Transfer","Neutral",IF(tbTransactions[[#This Row],[Qty]]&lt;0,"Debit",IF(tbTransactions[[#This Row],[Qty]]&gt;0,"Credit","Neutral")))</f>
        <v>Neutral</v>
      </c>
      <c r="L585" s="298" t="s">
        <v>39</v>
      </c>
      <c r="M585" s="299" t="s">
        <v>632</v>
      </c>
    </row>
    <row r="586" spans="3:13" ht="30" customHeight="1" x14ac:dyDescent="0.25">
      <c r="C586" s="26">
        <v>584</v>
      </c>
      <c r="D586" s="27">
        <v>44460</v>
      </c>
      <c r="E586" s="23">
        <v>-2.215E-3</v>
      </c>
      <c r="F586" s="299">
        <v>3864.42</v>
      </c>
      <c r="G586" s="24">
        <v>1</v>
      </c>
      <c r="H586" s="28">
        <f>tbTransactions[[#This Row],[Qty]]*tbTransactions[[#This Row],[Unit Cost]]*tbTransactions[[#This Row],[Exchange Rate]]</f>
        <v>-8.5596902999999998</v>
      </c>
      <c r="I586" s="297" t="s">
        <v>537</v>
      </c>
      <c r="J586" s="298" t="s">
        <v>24</v>
      </c>
      <c r="K586" s="183" t="str">
        <f>IF(tbTransactions[[#This Row],[Sub-Type]]="Transfer","Neutral",IF(tbTransactions[[#This Row],[Qty]]&lt;0,"Debit",IF(tbTransactions[[#This Row],[Qty]]&gt;0,"Credit","Neutral")))</f>
        <v>Debit</v>
      </c>
      <c r="L586" s="298" t="s">
        <v>14</v>
      </c>
      <c r="M586" s="299" t="s">
        <v>632</v>
      </c>
    </row>
    <row r="587" spans="3:13" ht="30" customHeight="1" x14ac:dyDescent="0.25">
      <c r="C587" s="26">
        <v>585</v>
      </c>
      <c r="D587" s="27">
        <v>44460</v>
      </c>
      <c r="E587" s="23">
        <v>5.1900000000000002E-2</v>
      </c>
      <c r="F587" s="23">
        <v>0</v>
      </c>
      <c r="G587" s="24">
        <v>1</v>
      </c>
      <c r="H587" s="28">
        <f>tbTransactions[[#This Row],[Qty]]*tbTransactions[[#This Row],[Unit Cost]]*tbTransactions[[#This Row],[Exchange Rate]]</f>
        <v>0</v>
      </c>
      <c r="I587" s="266" t="s">
        <v>430</v>
      </c>
      <c r="J587" s="268" t="s">
        <v>8</v>
      </c>
      <c r="K587" s="183" t="str">
        <f>IF(tbTransactions[[#This Row],[Sub-Type]]="Transfer","Neutral",IF(tbTransactions[[#This Row],[Qty]]&lt;0,"Debit",IF(tbTransactions[[#This Row],[Qty]]&gt;0,"Credit","Neutral")))</f>
        <v>Credit</v>
      </c>
      <c r="L587" s="268" t="s">
        <v>546</v>
      </c>
      <c r="M587" s="270" t="s">
        <v>604</v>
      </c>
    </row>
    <row r="588" spans="3:13" ht="30" customHeight="1" x14ac:dyDescent="0.25">
      <c r="C588" s="26">
        <v>586</v>
      </c>
      <c r="D588" s="27">
        <v>44460</v>
      </c>
      <c r="E588" s="23">
        <v>2.12005387E-2</v>
      </c>
      <c r="F588" s="23">
        <v>0</v>
      </c>
      <c r="G588" s="24">
        <v>1</v>
      </c>
      <c r="H588" s="28">
        <f>tbTransactions[[#This Row],[Qty]]*tbTransactions[[#This Row],[Unit Cost]]*tbTransactions[[#This Row],[Exchange Rate]]</f>
        <v>0</v>
      </c>
      <c r="I588" s="100" t="s">
        <v>539</v>
      </c>
      <c r="J588" s="228" t="s">
        <v>22</v>
      </c>
      <c r="K588" s="183" t="str">
        <f>IF(tbTransactions[[#This Row],[Sub-Type]]="Transfer","Neutral",IF(tbTransactions[[#This Row],[Qty]]&lt;0,"Debit",IF(tbTransactions[[#This Row],[Qty]]&gt;0,"Credit","Neutral")))</f>
        <v>Credit</v>
      </c>
      <c r="L588" s="174" t="s">
        <v>546</v>
      </c>
      <c r="M588" s="180" t="s">
        <v>481</v>
      </c>
    </row>
    <row r="589" spans="3:13" ht="30" customHeight="1" x14ac:dyDescent="0.25">
      <c r="C589" s="26">
        <v>587</v>
      </c>
      <c r="D589" s="27">
        <v>44460</v>
      </c>
      <c r="E589" s="23">
        <v>-3000</v>
      </c>
      <c r="F589" s="23">
        <v>1</v>
      </c>
      <c r="G589" s="24">
        <v>1</v>
      </c>
      <c r="H589" s="28">
        <f>tbTransactions[[#This Row],[Qty]]*tbTransactions[[#This Row],[Unit Cost]]*tbTransactions[[#This Row],[Exchange Rate]]</f>
        <v>-3000</v>
      </c>
      <c r="I589" s="301" t="s">
        <v>526</v>
      </c>
      <c r="J589" s="303" t="s">
        <v>418</v>
      </c>
      <c r="K589" s="183" t="str">
        <f>IF(tbTransactions[[#This Row],[Sub-Type]]="Transfer","Neutral",IF(tbTransactions[[#This Row],[Qty]]&lt;0,"Debit",IF(tbTransactions[[#This Row],[Qty]]&gt;0,"Credit","Neutral")))</f>
        <v>Debit</v>
      </c>
      <c r="L589" s="303" t="s">
        <v>529</v>
      </c>
      <c r="M589" s="302" t="s">
        <v>454</v>
      </c>
    </row>
    <row r="590" spans="3:13" ht="30" customHeight="1" x14ac:dyDescent="0.25">
      <c r="C590" s="26">
        <v>588</v>
      </c>
      <c r="D590" s="27">
        <v>44460</v>
      </c>
      <c r="E590" s="23">
        <v>3000</v>
      </c>
      <c r="F590" s="23">
        <v>1</v>
      </c>
      <c r="G590" s="24">
        <v>1</v>
      </c>
      <c r="H590" s="28">
        <f>tbTransactions[[#This Row],[Qty]]*tbTransactions[[#This Row],[Unit Cost]]*tbTransactions[[#This Row],[Exchange Rate]]</f>
        <v>3000</v>
      </c>
      <c r="I590" s="301" t="s">
        <v>531</v>
      </c>
      <c r="J590" s="303" t="s">
        <v>418</v>
      </c>
      <c r="K590" s="183" t="str">
        <f>IF(tbTransactions[[#This Row],[Sub-Type]]="Transfer","Neutral",IF(tbTransactions[[#This Row],[Qty]]&lt;0,"Debit",IF(tbTransactions[[#This Row],[Qty]]&gt;0,"Credit","Neutral")))</f>
        <v>Credit</v>
      </c>
      <c r="L590" s="303" t="s">
        <v>527</v>
      </c>
      <c r="M590" s="302" t="s">
        <v>454</v>
      </c>
    </row>
    <row r="591" spans="3:13" ht="30" customHeight="1" x14ac:dyDescent="0.25">
      <c r="C591" s="26">
        <v>589</v>
      </c>
      <c r="D591" s="27">
        <v>44461</v>
      </c>
      <c r="E591" s="23">
        <v>-7.8799999999999999E-3</v>
      </c>
      <c r="F591" s="23">
        <v>3713.16</v>
      </c>
      <c r="G591" s="24">
        <v>1</v>
      </c>
      <c r="H591" s="28">
        <f>tbTransactions[[#This Row],[Qty]]*tbTransactions[[#This Row],[Unit Cost]]*tbTransactions[[#This Row],[Exchange Rate]]</f>
        <v>-29.259700799999997</v>
      </c>
      <c r="I591" s="305" t="s">
        <v>537</v>
      </c>
      <c r="J591" s="307" t="s">
        <v>24</v>
      </c>
      <c r="K591" s="183" t="str">
        <f>IF(tbTransactions[[#This Row],[Sub-Type]]="Transfer","Neutral",IF(tbTransactions[[#This Row],[Qty]]&lt;0,"Debit",IF(tbTransactions[[#This Row],[Qty]]&gt;0,"Credit","Neutral")))</f>
        <v>Debit</v>
      </c>
      <c r="L591" s="307" t="s">
        <v>14</v>
      </c>
      <c r="M591" s="306" t="s">
        <v>633</v>
      </c>
    </row>
    <row r="592" spans="3:13" ht="30" customHeight="1" x14ac:dyDescent="0.25">
      <c r="C592" s="26">
        <v>590</v>
      </c>
      <c r="D592" s="27">
        <v>44461</v>
      </c>
      <c r="E592" s="23">
        <v>-63.622</v>
      </c>
      <c r="F592" s="23">
        <v>29.03</v>
      </c>
      <c r="G592" s="24">
        <v>1</v>
      </c>
      <c r="H592" s="28">
        <f>tbTransactions[[#This Row],[Qty]]*tbTransactions[[#This Row],[Unit Cost]]*tbTransactions[[#This Row],[Exchange Rate]]</f>
        <v>-1846.9466600000001</v>
      </c>
      <c r="I592" s="305" t="s">
        <v>509</v>
      </c>
      <c r="J592" s="307" t="s">
        <v>26</v>
      </c>
      <c r="K592" s="183" t="str">
        <f>IF(tbTransactions[[#This Row],[Sub-Type]]="Transfer","Neutral",IF(tbTransactions[[#This Row],[Qty]]&lt;0,"Debit",IF(tbTransactions[[#This Row],[Qty]]&gt;0,"Credit","Neutral")))</f>
        <v>Neutral</v>
      </c>
      <c r="L592" s="307" t="s">
        <v>39</v>
      </c>
      <c r="M592" s="306" t="s">
        <v>633</v>
      </c>
    </row>
    <row r="593" spans="3:13" ht="30" customHeight="1" x14ac:dyDescent="0.25">
      <c r="C593" s="26">
        <v>591</v>
      </c>
      <c r="D593" s="27">
        <v>44461</v>
      </c>
      <c r="E593" s="23">
        <v>63.622</v>
      </c>
      <c r="F593" s="23">
        <v>29.03</v>
      </c>
      <c r="G593" s="24">
        <v>1</v>
      </c>
      <c r="H593" s="28">
        <f>tbTransactions[[#This Row],[Qty]]*tbTransactions[[#This Row],[Unit Cost]]*tbTransactions[[#This Row],[Exchange Rate]]</f>
        <v>1846.9466600000001</v>
      </c>
      <c r="I593" s="305" t="s">
        <v>537</v>
      </c>
      <c r="J593" s="307" t="s">
        <v>26</v>
      </c>
      <c r="K593" s="183" t="str">
        <f>IF(tbTransactions[[#This Row],[Sub-Type]]="Transfer","Neutral",IF(tbTransactions[[#This Row],[Qty]]&lt;0,"Debit",IF(tbTransactions[[#This Row],[Qty]]&gt;0,"Credit","Neutral")))</f>
        <v>Neutral</v>
      </c>
      <c r="L593" s="307" t="s">
        <v>39</v>
      </c>
      <c r="M593" s="306" t="s">
        <v>633</v>
      </c>
    </row>
    <row r="594" spans="3:13" ht="30" customHeight="1" x14ac:dyDescent="0.25">
      <c r="C594" s="26">
        <v>592</v>
      </c>
      <c r="D594" s="27">
        <v>44461</v>
      </c>
      <c r="E594" s="23">
        <v>0.492145</v>
      </c>
      <c r="F594" s="23">
        <v>3713.46</v>
      </c>
      <c r="G594" s="24">
        <v>1</v>
      </c>
      <c r="H594" s="28">
        <f>tbTransactions[[#This Row],[Qty]]*tbTransactions[[#This Row],[Unit Cost]]*tbTransactions[[#This Row],[Exchange Rate]]</f>
        <v>1827.5607717</v>
      </c>
      <c r="I594" s="305" t="s">
        <v>537</v>
      </c>
      <c r="J594" s="307" t="s">
        <v>24</v>
      </c>
      <c r="K594" s="183" t="str">
        <f>IF(tbTransactions[[#This Row],[Sub-Type]]="Transfer","Neutral",IF(tbTransactions[[#This Row],[Qty]]&lt;0,"Debit",IF(tbTransactions[[#This Row],[Qty]]&gt;0,"Credit","Neutral")))</f>
        <v>Credit</v>
      </c>
      <c r="L594" s="313" t="s">
        <v>647</v>
      </c>
      <c r="M594" s="359" t="s">
        <v>694</v>
      </c>
    </row>
    <row r="595" spans="3:13" ht="30" customHeight="1" x14ac:dyDescent="0.25">
      <c r="C595" s="26">
        <v>593</v>
      </c>
      <c r="D595" s="27">
        <v>44461</v>
      </c>
      <c r="E595" s="23">
        <v>-63.622</v>
      </c>
      <c r="F595" s="23">
        <v>29.07</v>
      </c>
      <c r="G595" s="24">
        <v>1</v>
      </c>
      <c r="H595" s="28">
        <f>tbTransactions[[#This Row],[Qty]]*tbTransactions[[#This Row],[Unit Cost]]*tbTransactions[[#This Row],[Exchange Rate]]</f>
        <v>-1849.49154</v>
      </c>
      <c r="I595" s="305" t="s">
        <v>537</v>
      </c>
      <c r="J595" s="318" t="s">
        <v>26</v>
      </c>
      <c r="K595" s="183" t="str">
        <f>IF(tbTransactions[[#This Row],[Sub-Type]]="Transfer","Neutral",IF(tbTransactions[[#This Row],[Qty]]&lt;0,"Debit",IF(tbTransactions[[#This Row],[Qty]]&gt;0,"Credit","Neutral")))</f>
        <v>Debit</v>
      </c>
      <c r="L595" s="313" t="s">
        <v>647</v>
      </c>
      <c r="M595" s="359" t="s">
        <v>694</v>
      </c>
    </row>
    <row r="596" spans="3:13" ht="30" customHeight="1" x14ac:dyDescent="0.25">
      <c r="C596" s="26">
        <v>594</v>
      </c>
      <c r="D596" s="27">
        <v>44461</v>
      </c>
      <c r="E596" s="23">
        <v>-5.4996049311254996E-3</v>
      </c>
      <c r="F596" s="23">
        <v>3713.46</v>
      </c>
      <c r="G596" s="24">
        <v>1</v>
      </c>
      <c r="H596" s="28">
        <f>tbTransactions[[#This Row],[Qty]]*tbTransactions[[#This Row],[Unit Cost]]*tbTransactions[[#This Row],[Exchange Rate]]</f>
        <v>-20.4225629275373</v>
      </c>
      <c r="I596" s="305" t="s">
        <v>537</v>
      </c>
      <c r="J596" s="307" t="s">
        <v>24</v>
      </c>
      <c r="K596" s="183" t="str">
        <f>IF(tbTransactions[[#This Row],[Sub-Type]]="Transfer","Neutral",IF(tbTransactions[[#This Row],[Qty]]&lt;0,"Debit",IF(tbTransactions[[#This Row],[Qty]]&gt;0,"Credit","Neutral")))</f>
        <v>Debit</v>
      </c>
      <c r="L596" s="307" t="s">
        <v>14</v>
      </c>
      <c r="M596" s="359" t="s">
        <v>694</v>
      </c>
    </row>
    <row r="597" spans="3:13" ht="30" customHeight="1" x14ac:dyDescent="0.25">
      <c r="C597" s="26">
        <v>595</v>
      </c>
      <c r="D597" s="27">
        <v>44461</v>
      </c>
      <c r="E597" s="23">
        <v>-7.6900000000000004E-4</v>
      </c>
      <c r="F597" s="23">
        <v>3713.46</v>
      </c>
      <c r="G597" s="24">
        <v>1</v>
      </c>
      <c r="H597" s="28">
        <f>tbTransactions[[#This Row],[Qty]]*tbTransactions[[#This Row],[Unit Cost]]*tbTransactions[[#This Row],[Exchange Rate]]</f>
        <v>-2.8556507400000002</v>
      </c>
      <c r="I597" s="305" t="s">
        <v>537</v>
      </c>
      <c r="J597" s="307" t="s">
        <v>24</v>
      </c>
      <c r="K597" s="183" t="str">
        <f>IF(tbTransactions[[#This Row],[Sub-Type]]="Transfer","Neutral",IF(tbTransactions[[#This Row],[Qty]]&lt;0,"Debit",IF(tbTransactions[[#This Row],[Qty]]&gt;0,"Credit","Neutral")))</f>
        <v>Debit</v>
      </c>
      <c r="L597" s="307" t="s">
        <v>14</v>
      </c>
      <c r="M597" s="306" t="s">
        <v>634</v>
      </c>
    </row>
    <row r="598" spans="3:13" ht="30" customHeight="1" x14ac:dyDescent="0.25">
      <c r="C598" s="26">
        <v>596</v>
      </c>
      <c r="D598" s="27">
        <v>44461</v>
      </c>
      <c r="E598" s="23">
        <v>-0.5</v>
      </c>
      <c r="F598" s="23">
        <v>3713.46</v>
      </c>
      <c r="G598" s="24">
        <v>1</v>
      </c>
      <c r="H598" s="28">
        <f>tbTransactions[[#This Row],[Qty]]*tbTransactions[[#This Row],[Unit Cost]]*tbTransactions[[#This Row],[Exchange Rate]]</f>
        <v>-1856.73</v>
      </c>
      <c r="I598" s="305" t="s">
        <v>537</v>
      </c>
      <c r="J598" s="307" t="s">
        <v>24</v>
      </c>
      <c r="K598" s="183" t="str">
        <f>IF(tbTransactions[[#This Row],[Sub-Type]]="Transfer","Neutral",IF(tbTransactions[[#This Row],[Qty]]&lt;0,"Debit",IF(tbTransactions[[#This Row],[Qty]]&gt;0,"Credit","Neutral")))</f>
        <v>Neutral</v>
      </c>
      <c r="L598" s="307" t="s">
        <v>39</v>
      </c>
      <c r="M598" s="306" t="s">
        <v>634</v>
      </c>
    </row>
    <row r="599" spans="3:13" ht="30" customHeight="1" x14ac:dyDescent="0.25">
      <c r="C599" s="26">
        <v>597</v>
      </c>
      <c r="D599" s="27">
        <v>44461</v>
      </c>
      <c r="E599" s="23">
        <v>0.5</v>
      </c>
      <c r="F599" s="23">
        <v>3713.46</v>
      </c>
      <c r="G599" s="24">
        <v>1</v>
      </c>
      <c r="H599" s="28">
        <f>tbTransactions[[#This Row],[Qty]]*tbTransactions[[#This Row],[Unit Cost]]*tbTransactions[[#This Row],[Exchange Rate]]</f>
        <v>1856.73</v>
      </c>
      <c r="I599" s="305" t="s">
        <v>629</v>
      </c>
      <c r="J599" s="307" t="s">
        <v>24</v>
      </c>
      <c r="K599" s="183" t="str">
        <f>IF(tbTransactions[[#This Row],[Sub-Type]]="Transfer","Neutral",IF(tbTransactions[[#This Row],[Qty]]&lt;0,"Debit",IF(tbTransactions[[#This Row],[Qty]]&gt;0,"Credit","Neutral")))</f>
        <v>Neutral</v>
      </c>
      <c r="L599" s="307" t="s">
        <v>39</v>
      </c>
      <c r="M599" s="306" t="s">
        <v>634</v>
      </c>
    </row>
    <row r="600" spans="3:13" ht="30" customHeight="1" x14ac:dyDescent="0.25">
      <c r="C600" s="26">
        <v>598</v>
      </c>
      <c r="D600" s="27">
        <v>44461</v>
      </c>
      <c r="E600" s="23">
        <v>1.7836999999999999E-4</v>
      </c>
      <c r="F600" s="23">
        <v>29.03</v>
      </c>
      <c r="G600" s="24">
        <v>1</v>
      </c>
      <c r="H600" s="28">
        <f>tbTransactions[[#This Row],[Qty]]*tbTransactions[[#This Row],[Unit Cost]]*tbTransactions[[#This Row],[Exchange Rate]]</f>
        <v>5.1780810999999998E-3</v>
      </c>
      <c r="I600" s="305" t="s">
        <v>537</v>
      </c>
      <c r="J600" s="307" t="s">
        <v>26</v>
      </c>
      <c r="K600" s="183" t="str">
        <f>IF(tbTransactions[[#This Row],[Sub-Type]]="Transfer","Neutral",IF(tbTransactions[[#This Row],[Qty]]&lt;0,"Debit",IF(tbTransactions[[#This Row],[Qty]]&gt;0,"Credit","Neutral")))</f>
        <v>Credit</v>
      </c>
      <c r="L600" s="307" t="s">
        <v>36</v>
      </c>
      <c r="M600" s="41"/>
    </row>
    <row r="601" spans="3:13" ht="30" customHeight="1" x14ac:dyDescent="0.25">
      <c r="C601" s="26">
        <v>599</v>
      </c>
      <c r="D601" s="27">
        <v>44461</v>
      </c>
      <c r="E601" s="23">
        <v>6.3959000000000002E-2</v>
      </c>
      <c r="F601" s="23">
        <v>0</v>
      </c>
      <c r="G601" s="24">
        <v>1</v>
      </c>
      <c r="H601" s="28">
        <f>tbTransactions[[#This Row],[Qty]]*tbTransactions[[#This Row],[Unit Cost]]*tbTransactions[[#This Row],[Exchange Rate]]</f>
        <v>0</v>
      </c>
      <c r="I601" s="266" t="s">
        <v>430</v>
      </c>
      <c r="J601" s="268" t="s">
        <v>8</v>
      </c>
      <c r="K601" s="183" t="str">
        <f>IF(tbTransactions[[#This Row],[Sub-Type]]="Transfer","Neutral",IF(tbTransactions[[#This Row],[Qty]]&lt;0,"Debit",IF(tbTransactions[[#This Row],[Qty]]&gt;0,"Credit","Neutral")))</f>
        <v>Credit</v>
      </c>
      <c r="L601" s="268" t="s">
        <v>546</v>
      </c>
      <c r="M601" s="270" t="s">
        <v>604</v>
      </c>
    </row>
    <row r="602" spans="3:13" ht="30" customHeight="1" x14ac:dyDescent="0.25">
      <c r="C602" s="26">
        <v>600</v>
      </c>
      <c r="D602" s="27">
        <v>44461</v>
      </c>
      <c r="E602" s="23">
        <v>2.28841763E-2</v>
      </c>
      <c r="F602" s="23">
        <v>0</v>
      </c>
      <c r="G602" s="24">
        <v>1</v>
      </c>
      <c r="H602" s="28">
        <f>tbTransactions[[#This Row],[Qty]]*tbTransactions[[#This Row],[Unit Cost]]*tbTransactions[[#This Row],[Exchange Rate]]</f>
        <v>0</v>
      </c>
      <c r="I602" s="100" t="s">
        <v>539</v>
      </c>
      <c r="J602" s="228" t="s">
        <v>22</v>
      </c>
      <c r="K602" s="183" t="str">
        <f>IF(tbTransactions[[#This Row],[Sub-Type]]="Transfer","Neutral",IF(tbTransactions[[#This Row],[Qty]]&lt;0,"Debit",IF(tbTransactions[[#This Row],[Qty]]&gt;0,"Credit","Neutral")))</f>
        <v>Credit</v>
      </c>
      <c r="L602" s="174" t="s">
        <v>546</v>
      </c>
      <c r="M602" s="180" t="s">
        <v>481</v>
      </c>
    </row>
    <row r="603" spans="3:13" ht="30" customHeight="1" x14ac:dyDescent="0.25">
      <c r="C603" s="26">
        <v>601</v>
      </c>
      <c r="D603" s="27">
        <v>44461</v>
      </c>
      <c r="E603" s="23">
        <v>7.4200000000000004E-3</v>
      </c>
      <c r="F603" s="23">
        <v>0</v>
      </c>
      <c r="G603" s="24">
        <v>1</v>
      </c>
      <c r="H603" s="28">
        <f>tbTransactions[[#This Row],[Qty]]*tbTransactions[[#This Row],[Unit Cost]]*tbTransactions[[#This Row],[Exchange Rate]]</f>
        <v>0</v>
      </c>
      <c r="I603" s="277" t="s">
        <v>534</v>
      </c>
      <c r="J603" s="279" t="s">
        <v>19</v>
      </c>
      <c r="K603" s="183" t="str">
        <f>IF(tbTransactions[[#This Row],[Sub-Type]]="Transfer","Neutral",IF(tbTransactions[[#This Row],[Qty]]&lt;0,"Debit",IF(tbTransactions[[#This Row],[Qty]]&gt;0,"Credit","Neutral")))</f>
        <v>Credit</v>
      </c>
      <c r="L603" s="174" t="s">
        <v>546</v>
      </c>
      <c r="M603" s="278" t="s">
        <v>441</v>
      </c>
    </row>
    <row r="604" spans="3:13" ht="30" customHeight="1" x14ac:dyDescent="0.25">
      <c r="C604" s="26">
        <v>602</v>
      </c>
      <c r="D604" s="27">
        <v>44462</v>
      </c>
      <c r="E604" s="23">
        <v>-198.40012424653</v>
      </c>
      <c r="F604" s="23">
        <v>1.54</v>
      </c>
      <c r="G604" s="24">
        <v>1</v>
      </c>
      <c r="H604" s="28">
        <f>tbTransactions[[#This Row],[Qty]]*tbTransactions[[#This Row],[Unit Cost]]*tbTransactions[[#This Row],[Exchange Rate]]</f>
        <v>-305.53619133965623</v>
      </c>
      <c r="I604" s="308" t="s">
        <v>537</v>
      </c>
      <c r="J604" s="310" t="s">
        <v>437</v>
      </c>
      <c r="K604" s="183" t="str">
        <f>IF(tbTransactions[[#This Row],[Sub-Type]]="Transfer","Neutral",IF(tbTransactions[[#This Row],[Qty]]&lt;0,"Debit",IF(tbTransactions[[#This Row],[Qty]]&gt;0,"Credit","Neutral")))</f>
        <v>Neutral</v>
      </c>
      <c r="L604" s="310" t="s">
        <v>39</v>
      </c>
      <c r="M604" s="312" t="s">
        <v>643</v>
      </c>
    </row>
    <row r="605" spans="3:13" ht="30" customHeight="1" x14ac:dyDescent="0.25">
      <c r="C605" s="26">
        <v>603</v>
      </c>
      <c r="D605" s="27">
        <v>44462</v>
      </c>
      <c r="E605" s="23">
        <v>198.40012424653</v>
      </c>
      <c r="F605" s="23">
        <v>1.54</v>
      </c>
      <c r="G605" s="24">
        <v>1</v>
      </c>
      <c r="H605" s="28">
        <f>tbTransactions[[#This Row],[Qty]]*tbTransactions[[#This Row],[Unit Cost]]*tbTransactions[[#This Row],[Exchange Rate]]</f>
        <v>305.53619133965623</v>
      </c>
      <c r="I605" s="308" t="s">
        <v>624</v>
      </c>
      <c r="J605" s="310" t="s">
        <v>437</v>
      </c>
      <c r="K605" s="183" t="str">
        <f>IF(tbTransactions[[#This Row],[Sub-Type]]="Transfer","Neutral",IF(tbTransactions[[#This Row],[Qty]]&lt;0,"Debit",IF(tbTransactions[[#This Row],[Qty]]&gt;0,"Credit","Neutral")))</f>
        <v>Neutral</v>
      </c>
      <c r="L605" s="310" t="s">
        <v>39</v>
      </c>
      <c r="M605" s="312" t="s">
        <v>643</v>
      </c>
    </row>
    <row r="606" spans="3:13" ht="30" customHeight="1" x14ac:dyDescent="0.25">
      <c r="C606" s="26">
        <v>604</v>
      </c>
      <c r="D606" s="27">
        <v>44462</v>
      </c>
      <c r="E606" s="23">
        <v>-6.1339999999999997E-3</v>
      </c>
      <c r="F606" s="23">
        <v>3947.92</v>
      </c>
      <c r="G606" s="24">
        <v>1</v>
      </c>
      <c r="H606" s="28">
        <f>tbTransactions[[#This Row],[Qty]]*tbTransactions[[#This Row],[Unit Cost]]*tbTransactions[[#This Row],[Exchange Rate]]</f>
        <v>-24.216541279999998</v>
      </c>
      <c r="I606" s="308" t="s">
        <v>537</v>
      </c>
      <c r="J606" s="310" t="s">
        <v>24</v>
      </c>
      <c r="K606" s="183" t="str">
        <f>IF(tbTransactions[[#This Row],[Sub-Type]]="Transfer","Neutral",IF(tbTransactions[[#This Row],[Qty]]&lt;0,"Debit",IF(tbTransactions[[#This Row],[Qty]]&gt;0,"Credit","Neutral")))</f>
        <v>Debit</v>
      </c>
      <c r="L606" s="310" t="s">
        <v>14</v>
      </c>
      <c r="M606" s="312" t="s">
        <v>643</v>
      </c>
    </row>
    <row r="607" spans="3:13" ht="30" customHeight="1" x14ac:dyDescent="0.25">
      <c r="C607" s="26">
        <v>605</v>
      </c>
      <c r="D607" s="27">
        <v>44462</v>
      </c>
      <c r="E607" s="23">
        <v>-7.3999999999999996E-5</v>
      </c>
      <c r="F607" s="23">
        <v>1.53</v>
      </c>
      <c r="G607" s="24">
        <v>1</v>
      </c>
      <c r="H607" s="28">
        <f>tbTransactions[[#This Row],[Qty]]*tbTransactions[[#This Row],[Unit Cost]]*tbTransactions[[#This Row],[Exchange Rate]]</f>
        <v>-1.1321999999999999E-4</v>
      </c>
      <c r="I607" s="308" t="s">
        <v>537</v>
      </c>
      <c r="J607" s="310" t="s">
        <v>437</v>
      </c>
      <c r="K607" s="183" t="str">
        <f>IF(tbTransactions[[#This Row],[Sub-Type]]="Transfer","Neutral",IF(tbTransactions[[#This Row],[Qty]]&lt;0,"Debit",IF(tbTransactions[[#This Row],[Qty]]&gt;0,"Credit","Neutral")))</f>
        <v>Debit</v>
      </c>
      <c r="L607" s="310" t="s">
        <v>14</v>
      </c>
      <c r="M607" s="309" t="s">
        <v>637</v>
      </c>
    </row>
    <row r="608" spans="3:13" ht="30" customHeight="1" x14ac:dyDescent="0.25">
      <c r="C608" s="26">
        <v>606</v>
      </c>
      <c r="D608" s="27">
        <v>44462</v>
      </c>
      <c r="E608" s="23">
        <v>-0.33</v>
      </c>
      <c r="F608" s="23">
        <v>3936.87</v>
      </c>
      <c r="G608" s="24">
        <v>1</v>
      </c>
      <c r="H608" s="28">
        <f>tbTransactions[[#This Row],[Qty]]*tbTransactions[[#This Row],[Unit Cost]]*tbTransactions[[#This Row],[Exchange Rate]]</f>
        <v>-1299.1671000000001</v>
      </c>
      <c r="I608" s="308" t="s">
        <v>624</v>
      </c>
      <c r="J608" s="310" t="s">
        <v>24</v>
      </c>
      <c r="K608" s="183" t="str">
        <f>IF(tbTransactions[[#This Row],[Sub-Type]]="Transfer","Neutral",IF(tbTransactions[[#This Row],[Qty]]&lt;0,"Debit",IF(tbTransactions[[#This Row],[Qty]]&gt;0,"Credit","Neutral")))</f>
        <v>Neutral</v>
      </c>
      <c r="L608" s="310" t="s">
        <v>39</v>
      </c>
      <c r="M608" s="309" t="s">
        <v>637</v>
      </c>
    </row>
    <row r="609" spans="3:13" ht="30" customHeight="1" x14ac:dyDescent="0.25">
      <c r="C609" s="26">
        <v>607</v>
      </c>
      <c r="D609" s="27">
        <v>44462</v>
      </c>
      <c r="E609" s="23">
        <v>0.33</v>
      </c>
      <c r="F609" s="23">
        <v>3936.87</v>
      </c>
      <c r="G609" s="24">
        <v>1</v>
      </c>
      <c r="H609" s="28">
        <f>tbTransactions[[#This Row],[Qty]]*tbTransactions[[#This Row],[Unit Cost]]*tbTransactions[[#This Row],[Exchange Rate]]</f>
        <v>1299.1671000000001</v>
      </c>
      <c r="I609" s="308" t="s">
        <v>638</v>
      </c>
      <c r="J609" s="310" t="s">
        <v>24</v>
      </c>
      <c r="K609" s="183" t="str">
        <f>IF(tbTransactions[[#This Row],[Sub-Type]]="Transfer","Neutral",IF(tbTransactions[[#This Row],[Qty]]&lt;0,"Debit",IF(tbTransactions[[#This Row],[Qty]]&gt;0,"Credit","Neutral")))</f>
        <v>Neutral</v>
      </c>
      <c r="L609" s="310" t="s">
        <v>39</v>
      </c>
      <c r="M609" s="309" t="s">
        <v>637</v>
      </c>
    </row>
    <row r="610" spans="3:13" ht="30" customHeight="1" x14ac:dyDescent="0.25">
      <c r="C610" s="26">
        <v>608</v>
      </c>
      <c r="D610" s="27">
        <v>44462</v>
      </c>
      <c r="E610" s="23">
        <v>-198.30099999999999</v>
      </c>
      <c r="F610" s="23">
        <v>1.53</v>
      </c>
      <c r="G610" s="24">
        <v>1</v>
      </c>
      <c r="H610" s="28">
        <f>tbTransactions[[#This Row],[Qty]]*tbTransactions[[#This Row],[Unit Cost]]*tbTransactions[[#This Row],[Exchange Rate]]</f>
        <v>-303.40053</v>
      </c>
      <c r="I610" s="308" t="s">
        <v>624</v>
      </c>
      <c r="J610" s="310" t="s">
        <v>437</v>
      </c>
      <c r="K610" s="183" t="str">
        <f>IF(tbTransactions[[#This Row],[Sub-Type]]="Transfer","Neutral",IF(tbTransactions[[#This Row],[Qty]]&lt;0,"Debit",IF(tbTransactions[[#This Row],[Qty]]&gt;0,"Credit","Neutral")))</f>
        <v>Neutral</v>
      </c>
      <c r="L610" s="310" t="s">
        <v>39</v>
      </c>
      <c r="M610" s="309" t="s">
        <v>639</v>
      </c>
    </row>
    <row r="611" spans="3:13" ht="30" customHeight="1" x14ac:dyDescent="0.25">
      <c r="C611" s="26">
        <v>609</v>
      </c>
      <c r="D611" s="27">
        <v>44462</v>
      </c>
      <c r="E611" s="23">
        <v>198.30099999999999</v>
      </c>
      <c r="F611" s="23">
        <v>1.53</v>
      </c>
      <c r="G611" s="24">
        <v>1</v>
      </c>
      <c r="H611" s="28">
        <f>tbTransactions[[#This Row],[Qty]]*tbTransactions[[#This Row],[Unit Cost]]*tbTransactions[[#This Row],[Exchange Rate]]</f>
        <v>303.40053</v>
      </c>
      <c r="I611" s="308" t="s">
        <v>638</v>
      </c>
      <c r="J611" s="310" t="s">
        <v>437</v>
      </c>
      <c r="K611" s="183" t="str">
        <f>IF(tbTransactions[[#This Row],[Sub-Type]]="Transfer","Neutral",IF(tbTransactions[[#This Row],[Qty]]&lt;0,"Debit",IF(tbTransactions[[#This Row],[Qty]]&gt;0,"Credit","Neutral")))</f>
        <v>Neutral</v>
      </c>
      <c r="L611" s="310" t="s">
        <v>39</v>
      </c>
      <c r="M611" s="309" t="s">
        <v>639</v>
      </c>
    </row>
    <row r="612" spans="3:13" ht="30" customHeight="1" x14ac:dyDescent="0.25">
      <c r="C612" s="26">
        <v>610</v>
      </c>
      <c r="D612" s="27">
        <v>44462</v>
      </c>
      <c r="E612" s="23">
        <v>-2.6999999999999999E-5</v>
      </c>
      <c r="F612" s="23">
        <v>1.53</v>
      </c>
      <c r="G612" s="24">
        <v>1</v>
      </c>
      <c r="H612" s="28">
        <f>tbTransactions[[#This Row],[Qty]]*tbTransactions[[#This Row],[Unit Cost]]*tbTransactions[[#This Row],[Exchange Rate]]</f>
        <v>-4.1309999999999996E-5</v>
      </c>
      <c r="I612" s="308" t="s">
        <v>624</v>
      </c>
      <c r="J612" s="310" t="s">
        <v>437</v>
      </c>
      <c r="K612" s="183" t="str">
        <f>IF(tbTransactions[[#This Row],[Sub-Type]]="Transfer","Neutral",IF(tbTransactions[[#This Row],[Qty]]&lt;0,"Debit",IF(tbTransactions[[#This Row],[Qty]]&gt;0,"Credit","Neutral")))</f>
        <v>Debit</v>
      </c>
      <c r="L612" s="310" t="s">
        <v>14</v>
      </c>
      <c r="M612" s="309" t="s">
        <v>639</v>
      </c>
    </row>
    <row r="613" spans="3:13" ht="30" customHeight="1" x14ac:dyDescent="0.25">
      <c r="C613" s="26">
        <v>611</v>
      </c>
      <c r="D613" s="27">
        <v>44462</v>
      </c>
      <c r="E613" s="23">
        <v>3.1266491899999999E-2</v>
      </c>
      <c r="F613" s="23">
        <v>0</v>
      </c>
      <c r="G613" s="24">
        <v>1</v>
      </c>
      <c r="H613" s="28">
        <f>tbTransactions[[#This Row],[Qty]]*tbTransactions[[#This Row],[Unit Cost]]*tbTransactions[[#This Row],[Exchange Rate]]</f>
        <v>0</v>
      </c>
      <c r="I613" s="100" t="s">
        <v>539</v>
      </c>
      <c r="J613" s="228" t="s">
        <v>22</v>
      </c>
      <c r="K613" s="183" t="str">
        <f>IF(tbTransactions[[#This Row],[Sub-Type]]="Transfer","Neutral",IF(tbTransactions[[#This Row],[Qty]]&lt;0,"Debit",IF(tbTransactions[[#This Row],[Qty]]&gt;0,"Credit","Neutral")))</f>
        <v>Credit</v>
      </c>
      <c r="L613" s="174" t="s">
        <v>546</v>
      </c>
      <c r="M613" s="180" t="s">
        <v>481</v>
      </c>
    </row>
    <row r="614" spans="3:13" ht="30" customHeight="1" x14ac:dyDescent="0.25">
      <c r="C614" s="26">
        <v>612</v>
      </c>
      <c r="D614" s="27">
        <v>44462</v>
      </c>
      <c r="E614" s="23">
        <v>6.3963999999999993E-2</v>
      </c>
      <c r="F614" s="23">
        <v>0</v>
      </c>
      <c r="G614" s="24">
        <v>1</v>
      </c>
      <c r="H614" s="28">
        <f>tbTransactions[[#This Row],[Qty]]*tbTransactions[[#This Row],[Unit Cost]]*tbTransactions[[#This Row],[Exchange Rate]]</f>
        <v>0</v>
      </c>
      <c r="I614" s="266" t="s">
        <v>430</v>
      </c>
      <c r="J614" s="268" t="s">
        <v>8</v>
      </c>
      <c r="K614" s="183" t="str">
        <f>IF(tbTransactions[[#This Row],[Sub-Type]]="Transfer","Neutral",IF(tbTransactions[[#This Row],[Qty]]&lt;0,"Debit",IF(tbTransactions[[#This Row],[Qty]]&gt;0,"Credit","Neutral")))</f>
        <v>Credit</v>
      </c>
      <c r="L614" s="268" t="s">
        <v>546</v>
      </c>
      <c r="M614" s="270" t="s">
        <v>604</v>
      </c>
    </row>
    <row r="615" spans="3:13" ht="30" customHeight="1" x14ac:dyDescent="0.25">
      <c r="C615" s="26">
        <v>613</v>
      </c>
      <c r="D615" s="27">
        <v>44462</v>
      </c>
      <c r="E615" s="23">
        <v>0.17187897999999999</v>
      </c>
      <c r="F615" s="23">
        <v>4010</v>
      </c>
      <c r="G615" s="24">
        <v>1</v>
      </c>
      <c r="H615" s="28">
        <f>tbTransactions[[#This Row],[Qty]]*tbTransactions[[#This Row],[Unit Cost]]*tbTransactions[[#This Row],[Exchange Rate]]</f>
        <v>689.23470979999991</v>
      </c>
      <c r="I615" s="311" t="s">
        <v>531</v>
      </c>
      <c r="J615" s="313" t="s">
        <v>24</v>
      </c>
      <c r="K615" s="183" t="str">
        <f>IF(tbTransactions[[#This Row],[Sub-Type]]="Transfer","Neutral",IF(tbTransactions[[#This Row],[Qty]]&lt;0,"Debit",IF(tbTransactions[[#This Row],[Qty]]&gt;0,"Credit","Neutral")))</f>
        <v>Credit</v>
      </c>
      <c r="L615" s="313" t="s">
        <v>532</v>
      </c>
      <c r="M615" s="312" t="s">
        <v>454</v>
      </c>
    </row>
    <row r="616" spans="3:13" ht="30" customHeight="1" x14ac:dyDescent="0.25">
      <c r="C616" s="26">
        <v>614</v>
      </c>
      <c r="D616" s="27">
        <v>44462</v>
      </c>
      <c r="E616" s="23">
        <v>-689.23470980000002</v>
      </c>
      <c r="F616" s="23">
        <v>1</v>
      </c>
      <c r="G616" s="24">
        <v>1</v>
      </c>
      <c r="H616" s="28">
        <f>tbTransactions[[#This Row],[Qty]]*tbTransactions[[#This Row],[Unit Cost]]*tbTransactions[[#This Row],[Exchange Rate]]</f>
        <v>-689.23470980000002</v>
      </c>
      <c r="I616" s="311" t="s">
        <v>531</v>
      </c>
      <c r="J616" s="313" t="s">
        <v>418</v>
      </c>
      <c r="K616" s="183" t="str">
        <f>IF(tbTransactions[[#This Row],[Sub-Type]]="Transfer","Neutral",IF(tbTransactions[[#This Row],[Qty]]&lt;0,"Debit",IF(tbTransactions[[#This Row],[Qty]]&gt;0,"Credit","Neutral")))</f>
        <v>Debit</v>
      </c>
      <c r="L616" s="313" t="s">
        <v>528</v>
      </c>
      <c r="M616" s="312" t="s">
        <v>454</v>
      </c>
    </row>
    <row r="617" spans="3:13" ht="30" customHeight="1" x14ac:dyDescent="0.25">
      <c r="C617" s="26">
        <v>615</v>
      </c>
      <c r="D617" s="27">
        <v>44462</v>
      </c>
      <c r="E617" s="23">
        <v>-1086.82199999</v>
      </c>
      <c r="F617" s="23">
        <v>2.83</v>
      </c>
      <c r="G617" s="24">
        <v>1</v>
      </c>
      <c r="H617" s="28">
        <f>tbTransactions[[#This Row],[Qty]]*tbTransactions[[#This Row],[Unit Cost]]*tbTransactions[[#This Row],[Exchange Rate]]</f>
        <v>-3075.7062599717001</v>
      </c>
      <c r="I617" s="311" t="s">
        <v>531</v>
      </c>
      <c r="J617" s="313" t="s">
        <v>19</v>
      </c>
      <c r="K617" s="183" t="str">
        <f>IF(tbTransactions[[#This Row],[Sub-Type]]="Transfer","Neutral",IF(tbTransactions[[#This Row],[Qty]]&lt;0,"Debit",IF(tbTransactions[[#This Row],[Qty]]&gt;0,"Credit","Neutral")))</f>
        <v>Debit</v>
      </c>
      <c r="L617" s="313" t="s">
        <v>533</v>
      </c>
      <c r="M617" s="312" t="s">
        <v>616</v>
      </c>
    </row>
    <row r="618" spans="3:13" ht="30" customHeight="1" x14ac:dyDescent="0.25">
      <c r="C618" s="26">
        <v>616</v>
      </c>
      <c r="D618" s="27">
        <v>44462</v>
      </c>
      <c r="E618" s="23">
        <v>3075.7062599717001</v>
      </c>
      <c r="F618" s="23">
        <v>1</v>
      </c>
      <c r="G618" s="24">
        <v>1</v>
      </c>
      <c r="H618" s="28">
        <f>tbTransactions[[#This Row],[Qty]]*tbTransactions[[#This Row],[Unit Cost]]*tbTransactions[[#This Row],[Exchange Rate]]</f>
        <v>3075.7062599717001</v>
      </c>
      <c r="I618" s="311" t="s">
        <v>531</v>
      </c>
      <c r="J618" s="313" t="s">
        <v>418</v>
      </c>
      <c r="K618" s="183" t="str">
        <f>IF(tbTransactions[[#This Row],[Sub-Type]]="Transfer","Neutral",IF(tbTransactions[[#This Row],[Qty]]&lt;0,"Debit",IF(tbTransactions[[#This Row],[Qty]]&gt;0,"Credit","Neutral")))</f>
        <v>Credit</v>
      </c>
      <c r="L618" s="313" t="s">
        <v>527</v>
      </c>
      <c r="M618" s="312" t="s">
        <v>616</v>
      </c>
    </row>
    <row r="619" spans="3:13" ht="30" customHeight="1" x14ac:dyDescent="0.25">
      <c r="C619" s="26">
        <v>617</v>
      </c>
      <c r="D619" s="27">
        <v>44462</v>
      </c>
      <c r="E619" s="23">
        <v>2.3E-2</v>
      </c>
      <c r="F619" s="23">
        <v>4067</v>
      </c>
      <c r="G619" s="24">
        <v>1</v>
      </c>
      <c r="H619" s="28">
        <f>tbTransactions[[#This Row],[Qty]]*tbTransactions[[#This Row],[Unit Cost]]*tbTransactions[[#This Row],[Exchange Rate]]</f>
        <v>93.540999999999997</v>
      </c>
      <c r="I619" s="311" t="s">
        <v>531</v>
      </c>
      <c r="J619" s="313" t="s">
        <v>24</v>
      </c>
      <c r="K619" s="183" t="str">
        <f>IF(tbTransactions[[#This Row],[Sub-Type]]="Transfer","Neutral",IF(tbTransactions[[#This Row],[Qty]]&lt;0,"Debit",IF(tbTransactions[[#This Row],[Qty]]&gt;0,"Credit","Neutral")))</f>
        <v>Credit</v>
      </c>
      <c r="L619" s="313" t="s">
        <v>532</v>
      </c>
      <c r="M619" s="312" t="s">
        <v>454</v>
      </c>
    </row>
    <row r="620" spans="3:13" ht="30" customHeight="1" x14ac:dyDescent="0.25">
      <c r="C620" s="26">
        <v>618</v>
      </c>
      <c r="D620" s="27">
        <v>44462</v>
      </c>
      <c r="E620" s="23">
        <v>-93.540999999999997</v>
      </c>
      <c r="F620" s="23">
        <v>1</v>
      </c>
      <c r="G620" s="24">
        <v>1</v>
      </c>
      <c r="H620" s="28">
        <f>tbTransactions[[#This Row],[Qty]]*tbTransactions[[#This Row],[Unit Cost]]*tbTransactions[[#This Row],[Exchange Rate]]</f>
        <v>-93.540999999999997</v>
      </c>
      <c r="I620" s="311" t="s">
        <v>531</v>
      </c>
      <c r="J620" s="313" t="s">
        <v>418</v>
      </c>
      <c r="K620" s="183" t="str">
        <f>IF(tbTransactions[[#This Row],[Sub-Type]]="Transfer","Neutral",IF(tbTransactions[[#This Row],[Qty]]&lt;0,"Debit",IF(tbTransactions[[#This Row],[Qty]]&gt;0,"Credit","Neutral")))</f>
        <v>Debit</v>
      </c>
      <c r="L620" s="313" t="s">
        <v>528</v>
      </c>
      <c r="M620" s="312" t="s">
        <v>454</v>
      </c>
    </row>
    <row r="621" spans="3:13" ht="30" customHeight="1" x14ac:dyDescent="0.25">
      <c r="C621" s="26">
        <v>619</v>
      </c>
      <c r="D621" s="27">
        <v>44462</v>
      </c>
      <c r="E621" s="23">
        <v>1.30420034</v>
      </c>
      <c r="F621" s="23">
        <v>4068.2860000000001</v>
      </c>
      <c r="G621" s="24">
        <v>1</v>
      </c>
      <c r="H621" s="28">
        <f>tbTransactions[[#This Row],[Qty]]*tbTransactions[[#This Row],[Unit Cost]]*tbTransactions[[#This Row],[Exchange Rate]]</f>
        <v>5305.8599844172395</v>
      </c>
      <c r="I621" s="311" t="s">
        <v>531</v>
      </c>
      <c r="J621" s="313" t="s">
        <v>24</v>
      </c>
      <c r="K621" s="183" t="str">
        <f>IF(tbTransactions[[#This Row],[Sub-Type]]="Transfer","Neutral",IF(tbTransactions[[#This Row],[Qty]]&lt;0,"Debit",IF(tbTransactions[[#This Row],[Qty]]&gt;0,"Credit","Neutral")))</f>
        <v>Credit</v>
      </c>
      <c r="L621" s="313" t="s">
        <v>532</v>
      </c>
      <c r="M621" s="312" t="s">
        <v>454</v>
      </c>
    </row>
    <row r="622" spans="3:13" ht="30" customHeight="1" x14ac:dyDescent="0.25">
      <c r="C622" s="26">
        <v>620</v>
      </c>
      <c r="D622" s="27">
        <v>44462</v>
      </c>
      <c r="E622" s="23">
        <v>-5305.8599844172404</v>
      </c>
      <c r="F622" s="23">
        <v>1</v>
      </c>
      <c r="G622" s="24">
        <v>1</v>
      </c>
      <c r="H622" s="28">
        <f>tbTransactions[[#This Row],[Qty]]*tbTransactions[[#This Row],[Unit Cost]]*tbTransactions[[#This Row],[Exchange Rate]]</f>
        <v>-5305.8599844172404</v>
      </c>
      <c r="I622" s="311" t="s">
        <v>531</v>
      </c>
      <c r="J622" s="313" t="s">
        <v>418</v>
      </c>
      <c r="K622" s="183" t="str">
        <f>IF(tbTransactions[[#This Row],[Sub-Type]]="Transfer","Neutral",IF(tbTransactions[[#This Row],[Qty]]&lt;0,"Debit",IF(tbTransactions[[#This Row],[Qty]]&gt;0,"Credit","Neutral")))</f>
        <v>Debit</v>
      </c>
      <c r="L622" s="313" t="s">
        <v>528</v>
      </c>
      <c r="M622" s="312" t="s">
        <v>454</v>
      </c>
    </row>
    <row r="623" spans="3:13" ht="30" customHeight="1" x14ac:dyDescent="0.25">
      <c r="C623" s="26">
        <v>621</v>
      </c>
      <c r="D623" s="27">
        <v>44462</v>
      </c>
      <c r="E623" s="23">
        <v>-5.0000000000000001E-3</v>
      </c>
      <c r="F623" s="23">
        <v>4005.19</v>
      </c>
      <c r="G623" s="24">
        <v>1</v>
      </c>
      <c r="H623" s="28">
        <f>tbTransactions[[#This Row],[Qty]]*tbTransactions[[#This Row],[Unit Cost]]*tbTransactions[[#This Row],[Exchange Rate]]</f>
        <v>-20.025950000000002</v>
      </c>
      <c r="I623" s="311" t="s">
        <v>531</v>
      </c>
      <c r="J623" s="313" t="s">
        <v>24</v>
      </c>
      <c r="K623" s="183" t="str">
        <f>IF(tbTransactions[[#This Row],[Sub-Type]]="Transfer","Neutral",IF(tbTransactions[[#This Row],[Qty]]&lt;0,"Debit",IF(tbTransactions[[#This Row],[Qty]]&gt;0,"Credit","Neutral")))</f>
        <v>Debit</v>
      </c>
      <c r="L623" s="313" t="s">
        <v>14</v>
      </c>
      <c r="M623" s="312" t="s">
        <v>640</v>
      </c>
    </row>
    <row r="624" spans="3:13" ht="30" customHeight="1" x14ac:dyDescent="0.25">
      <c r="C624" s="26">
        <v>622</v>
      </c>
      <c r="D624" s="27">
        <v>44462</v>
      </c>
      <c r="E624" s="23">
        <v>-1.4960811700000001</v>
      </c>
      <c r="F624" s="23">
        <v>4005.19</v>
      </c>
      <c r="G624" s="24">
        <v>1</v>
      </c>
      <c r="H624" s="28">
        <f>tbTransactions[[#This Row],[Qty]]*tbTransactions[[#This Row],[Unit Cost]]*tbTransactions[[#This Row],[Exchange Rate]]</f>
        <v>-5992.0893412723008</v>
      </c>
      <c r="I624" s="311" t="s">
        <v>531</v>
      </c>
      <c r="J624" s="313" t="s">
        <v>24</v>
      </c>
      <c r="K624" s="183" t="str">
        <f>IF(tbTransactions[[#This Row],[Sub-Type]]="Transfer","Neutral",IF(tbTransactions[[#This Row],[Qty]]&lt;0,"Debit",IF(tbTransactions[[#This Row],[Qty]]&gt;0,"Credit","Neutral")))</f>
        <v>Neutral</v>
      </c>
      <c r="L624" s="313" t="s">
        <v>39</v>
      </c>
      <c r="M624" s="312" t="s">
        <v>640</v>
      </c>
    </row>
    <row r="625" spans="3:13" ht="30" customHeight="1" x14ac:dyDescent="0.25">
      <c r="C625" s="26">
        <v>623</v>
      </c>
      <c r="D625" s="27">
        <v>44462</v>
      </c>
      <c r="E625" s="23">
        <v>1.4960811700000001</v>
      </c>
      <c r="F625" s="23">
        <v>4005.19</v>
      </c>
      <c r="G625" s="24">
        <v>1</v>
      </c>
      <c r="H625" s="28">
        <f>tbTransactions[[#This Row],[Qty]]*tbTransactions[[#This Row],[Unit Cost]]*tbTransactions[[#This Row],[Exchange Rate]]</f>
        <v>5992.0893412723008</v>
      </c>
      <c r="I625" s="311" t="s">
        <v>629</v>
      </c>
      <c r="J625" s="313" t="s">
        <v>24</v>
      </c>
      <c r="K625" s="183" t="str">
        <f>IF(tbTransactions[[#This Row],[Sub-Type]]="Transfer","Neutral",IF(tbTransactions[[#This Row],[Qty]]&lt;0,"Debit",IF(tbTransactions[[#This Row],[Qty]]&gt;0,"Credit","Neutral")))</f>
        <v>Neutral</v>
      </c>
      <c r="L625" s="313" t="s">
        <v>39</v>
      </c>
      <c r="M625" s="312" t="s">
        <v>640</v>
      </c>
    </row>
    <row r="626" spans="3:13" ht="30" customHeight="1" x14ac:dyDescent="0.25">
      <c r="C626" s="26">
        <v>624</v>
      </c>
      <c r="D626" s="27">
        <v>44462</v>
      </c>
      <c r="E626" s="23">
        <v>-156.29</v>
      </c>
      <c r="F626" s="312">
        <v>1.28</v>
      </c>
      <c r="G626" s="24">
        <v>1</v>
      </c>
      <c r="H626" s="28">
        <f>tbTransactions[[#This Row],[Qty]]*tbTransactions[[#This Row],[Unit Cost]]*tbTransactions[[#This Row],[Exchange Rate]]</f>
        <v>-200.05119999999999</v>
      </c>
      <c r="I626" s="311" t="s">
        <v>629</v>
      </c>
      <c r="J626" s="313" t="s">
        <v>523</v>
      </c>
      <c r="K626" s="183" t="str">
        <f>IF(tbTransactions[[#This Row],[Sub-Type]]="Transfer","Neutral",IF(tbTransactions[[#This Row],[Qty]]&lt;0,"Debit",IF(tbTransactions[[#This Row],[Qty]]&gt;0,"Credit","Neutral")))</f>
        <v>Neutral</v>
      </c>
      <c r="L626" s="313" t="s">
        <v>39</v>
      </c>
      <c r="M626" s="359" t="s">
        <v>693</v>
      </c>
    </row>
    <row r="627" spans="3:13" ht="30" customHeight="1" x14ac:dyDescent="0.25">
      <c r="C627" s="26">
        <v>625</v>
      </c>
      <c r="D627" s="27">
        <v>44462</v>
      </c>
      <c r="E627" s="23">
        <v>4.8272000000000002E-2</v>
      </c>
      <c r="F627" s="23">
        <v>3998.48</v>
      </c>
      <c r="G627" s="24">
        <v>1</v>
      </c>
      <c r="H627" s="28">
        <f>tbTransactions[[#This Row],[Qty]]*tbTransactions[[#This Row],[Unit Cost]]*tbTransactions[[#This Row],[Exchange Rate]]</f>
        <v>193.01462656000001</v>
      </c>
      <c r="I627" s="311" t="s">
        <v>629</v>
      </c>
      <c r="J627" s="313" t="s">
        <v>24</v>
      </c>
      <c r="K627" s="183" t="str">
        <f>IF(tbTransactions[[#This Row],[Sub-Type]]="Transfer","Neutral",IF(tbTransactions[[#This Row],[Qty]]&lt;0,"Debit",IF(tbTransactions[[#This Row],[Qty]]&gt;0,"Credit","Neutral")))</f>
        <v>Neutral</v>
      </c>
      <c r="L627" s="313" t="s">
        <v>39</v>
      </c>
      <c r="M627" s="359" t="s">
        <v>693</v>
      </c>
    </row>
    <row r="628" spans="3:13" ht="30" customHeight="1" x14ac:dyDescent="0.25">
      <c r="C628" s="26">
        <v>626</v>
      </c>
      <c r="D628" s="27">
        <v>44462</v>
      </c>
      <c r="E628" s="23">
        <v>-9.8270000000000007E-3</v>
      </c>
      <c r="F628" s="23">
        <v>3998.48</v>
      </c>
      <c r="G628" s="24">
        <v>1</v>
      </c>
      <c r="H628" s="28">
        <f>tbTransactions[[#This Row],[Qty]]*tbTransactions[[#This Row],[Unit Cost]]*tbTransactions[[#This Row],[Exchange Rate]]</f>
        <v>-39.29306296</v>
      </c>
      <c r="I628" s="311" t="s">
        <v>629</v>
      </c>
      <c r="J628" s="313" t="s">
        <v>24</v>
      </c>
      <c r="K628" s="183" t="str">
        <f>IF(tbTransactions[[#This Row],[Sub-Type]]="Transfer","Neutral",IF(tbTransactions[[#This Row],[Qty]]&lt;0,"Debit",IF(tbTransactions[[#This Row],[Qty]]&gt;0,"Credit","Neutral")))</f>
        <v>Debit</v>
      </c>
      <c r="L628" s="313" t="s">
        <v>14</v>
      </c>
      <c r="M628" s="312" t="s">
        <v>641</v>
      </c>
    </row>
    <row r="629" spans="3:13" ht="30" customHeight="1" x14ac:dyDescent="0.25">
      <c r="C629" s="26">
        <v>627</v>
      </c>
      <c r="D629" s="27">
        <v>44462</v>
      </c>
      <c r="E629" s="23">
        <v>-2</v>
      </c>
      <c r="F629" s="23">
        <v>3973.39</v>
      </c>
      <c r="G629" s="24">
        <v>1</v>
      </c>
      <c r="H629" s="28">
        <f>tbTransactions[[#This Row],[Qty]]*tbTransactions[[#This Row],[Unit Cost]]*tbTransactions[[#This Row],[Exchange Rate]]</f>
        <v>-7946.78</v>
      </c>
      <c r="I629" s="311" t="s">
        <v>629</v>
      </c>
      <c r="J629" s="313" t="s">
        <v>24</v>
      </c>
      <c r="K629" s="183" t="str">
        <f>IF(tbTransactions[[#This Row],[Sub-Type]]="Transfer","Neutral",IF(tbTransactions[[#This Row],[Qty]]&lt;0,"Debit",IF(tbTransactions[[#This Row],[Qty]]&gt;0,"Credit","Neutral")))</f>
        <v>Neutral</v>
      </c>
      <c r="L629" s="313" t="s">
        <v>39</v>
      </c>
      <c r="M629" s="312" t="s">
        <v>642</v>
      </c>
    </row>
    <row r="630" spans="3:13" ht="30" customHeight="1" x14ac:dyDescent="0.25">
      <c r="C630" s="26">
        <v>628</v>
      </c>
      <c r="D630" s="27">
        <v>44462</v>
      </c>
      <c r="E630" s="23">
        <v>2</v>
      </c>
      <c r="F630" s="23">
        <v>3973.39</v>
      </c>
      <c r="G630" s="24">
        <v>1</v>
      </c>
      <c r="H630" s="28">
        <f>tbTransactions[[#This Row],[Qty]]*tbTransactions[[#This Row],[Unit Cost]]*tbTransactions[[#This Row],[Exchange Rate]]</f>
        <v>7946.78</v>
      </c>
      <c r="I630" s="311" t="s">
        <v>638</v>
      </c>
      <c r="J630" s="313" t="s">
        <v>24</v>
      </c>
      <c r="K630" s="183" t="str">
        <f>IF(tbTransactions[[#This Row],[Sub-Type]]="Transfer","Neutral",IF(tbTransactions[[#This Row],[Qty]]&lt;0,"Debit",IF(tbTransactions[[#This Row],[Qty]]&gt;0,"Credit","Neutral")))</f>
        <v>Neutral</v>
      </c>
      <c r="L630" s="313" t="s">
        <v>39</v>
      </c>
      <c r="M630" s="312" t="s">
        <v>642</v>
      </c>
    </row>
    <row r="631" spans="3:13" ht="30" customHeight="1" x14ac:dyDescent="0.25">
      <c r="C631" s="26">
        <v>629</v>
      </c>
      <c r="D631" s="27">
        <v>44462</v>
      </c>
      <c r="E631" s="23">
        <v>-4.5659999999999997E-3</v>
      </c>
      <c r="F631" s="23">
        <v>3973.39</v>
      </c>
      <c r="G631" s="24">
        <v>1</v>
      </c>
      <c r="H631" s="28">
        <f>tbTransactions[[#This Row],[Qty]]*tbTransactions[[#This Row],[Unit Cost]]*tbTransactions[[#This Row],[Exchange Rate]]</f>
        <v>-18.142498739999997</v>
      </c>
      <c r="I631" s="311" t="s">
        <v>629</v>
      </c>
      <c r="J631" s="313" t="s">
        <v>24</v>
      </c>
      <c r="K631" s="183" t="str">
        <f>IF(tbTransactions[[#This Row],[Sub-Type]]="Transfer","Neutral",IF(tbTransactions[[#This Row],[Qty]]&lt;0,"Debit",IF(tbTransactions[[#This Row],[Qty]]&gt;0,"Credit","Neutral")))</f>
        <v>Debit</v>
      </c>
      <c r="L631" s="313" t="s">
        <v>14</v>
      </c>
      <c r="M631" s="312" t="s">
        <v>642</v>
      </c>
    </row>
    <row r="632" spans="3:13" ht="30" customHeight="1" x14ac:dyDescent="0.25">
      <c r="C632" s="26">
        <v>630</v>
      </c>
      <c r="D632" s="27">
        <v>44462</v>
      </c>
      <c r="E632" s="23">
        <v>-0.57999999999999996</v>
      </c>
      <c r="F632" s="23">
        <v>3964.85</v>
      </c>
      <c r="G632" s="24">
        <v>1</v>
      </c>
      <c r="H632" s="28">
        <f>tbTransactions[[#This Row],[Qty]]*tbTransactions[[#This Row],[Unit Cost]]*tbTransactions[[#This Row],[Exchange Rate]]</f>
        <v>-2299.6129999999998</v>
      </c>
      <c r="I632" s="311" t="s">
        <v>638</v>
      </c>
      <c r="J632" s="313" t="s">
        <v>24</v>
      </c>
      <c r="K632" s="183" t="str">
        <f>IF(tbTransactions[[#This Row],[Sub-Type]]="Transfer","Neutral",IF(tbTransactions[[#This Row],[Qty]]&lt;0,"Debit",IF(tbTransactions[[#This Row],[Qty]]&gt;0,"Credit","Neutral")))</f>
        <v>Debit</v>
      </c>
      <c r="L632" s="313" t="s">
        <v>647</v>
      </c>
      <c r="M632" s="359" t="s">
        <v>682</v>
      </c>
    </row>
    <row r="633" spans="3:13" ht="30" customHeight="1" x14ac:dyDescent="0.25">
      <c r="C633" s="26">
        <v>631</v>
      </c>
      <c r="D633" s="27">
        <v>44462</v>
      </c>
      <c r="E633" s="23">
        <v>1776.65</v>
      </c>
      <c r="F633" s="23">
        <v>1.28</v>
      </c>
      <c r="G633" s="24">
        <v>1</v>
      </c>
      <c r="H633" s="28">
        <f>tbTransactions[[#This Row],[Qty]]*tbTransactions[[#This Row],[Unit Cost]]*tbTransactions[[#This Row],[Exchange Rate]]</f>
        <v>2274.1120000000001</v>
      </c>
      <c r="I633" s="311" t="s">
        <v>638</v>
      </c>
      <c r="J633" s="313" t="s">
        <v>646</v>
      </c>
      <c r="K633" s="183" t="str">
        <f>IF(tbTransactions[[#This Row],[Sub-Type]]="Transfer","Neutral",IF(tbTransactions[[#This Row],[Qty]]&lt;0,"Debit",IF(tbTransactions[[#This Row],[Qty]]&gt;0,"Credit","Neutral")))</f>
        <v>Credit</v>
      </c>
      <c r="L633" s="313" t="s">
        <v>647</v>
      </c>
      <c r="M633" s="359" t="s">
        <v>682</v>
      </c>
    </row>
    <row r="634" spans="3:13" ht="30" customHeight="1" x14ac:dyDescent="0.25">
      <c r="C634" s="26">
        <v>632</v>
      </c>
      <c r="D634" s="27">
        <v>44462</v>
      </c>
      <c r="E634" s="23">
        <v>-6.1649000000000002E-2</v>
      </c>
      <c r="F634" s="23">
        <v>1.53</v>
      </c>
      <c r="G634" s="24">
        <v>1</v>
      </c>
      <c r="H634" s="28">
        <f>tbTransactions[[#This Row],[Qty]]*tbTransactions[[#This Row],[Unit Cost]]*tbTransactions[[#This Row],[Exchange Rate]]</f>
        <v>-9.4322970000000006E-2</v>
      </c>
      <c r="I634" s="311" t="s">
        <v>638</v>
      </c>
      <c r="J634" s="313" t="s">
        <v>437</v>
      </c>
      <c r="K634" s="183" t="str">
        <f>IF(tbTransactions[[#This Row],[Sub-Type]]="Transfer","Neutral",IF(tbTransactions[[#This Row],[Qty]]&lt;0,"Debit",IF(tbTransactions[[#This Row],[Qty]]&gt;0,"Credit","Neutral")))</f>
        <v>Debit</v>
      </c>
      <c r="L634" s="313" t="s">
        <v>14</v>
      </c>
      <c r="M634" s="359" t="s">
        <v>682</v>
      </c>
    </row>
    <row r="635" spans="3:13" ht="30" customHeight="1" x14ac:dyDescent="0.25">
      <c r="C635" s="26">
        <v>633</v>
      </c>
      <c r="D635" s="27">
        <v>44463</v>
      </c>
      <c r="E635" s="23">
        <v>-1776.65</v>
      </c>
      <c r="F635" s="23">
        <v>1.28</v>
      </c>
      <c r="G635" s="24">
        <v>1</v>
      </c>
      <c r="H635" s="28">
        <f>tbTransactions[[#This Row],[Qty]]*tbTransactions[[#This Row],[Unit Cost]]*tbTransactions[[#This Row],[Exchange Rate]]</f>
        <v>-2274.1120000000001</v>
      </c>
      <c r="I635" s="311" t="s">
        <v>638</v>
      </c>
      <c r="J635" s="313" t="s">
        <v>646</v>
      </c>
      <c r="K635" s="183" t="str">
        <f>IF(tbTransactions[[#This Row],[Sub-Type]]="Transfer","Neutral",IF(tbTransactions[[#This Row],[Qty]]&lt;0,"Debit",IF(tbTransactions[[#This Row],[Qty]]&gt;0,"Credit","Neutral")))</f>
        <v>Debit</v>
      </c>
      <c r="L635" s="313" t="s">
        <v>647</v>
      </c>
      <c r="M635" s="359" t="s">
        <v>692</v>
      </c>
    </row>
    <row r="636" spans="3:13" ht="30" customHeight="1" x14ac:dyDescent="0.25">
      <c r="C636" s="26">
        <v>634</v>
      </c>
      <c r="D636" s="27">
        <v>44463</v>
      </c>
      <c r="E636" s="23">
        <v>0.63484200000000002</v>
      </c>
      <c r="F636" s="23">
        <v>3538.55</v>
      </c>
      <c r="G636" s="24">
        <v>1</v>
      </c>
      <c r="H636" s="28">
        <f>tbTransactions[[#This Row],[Qty]]*tbTransactions[[#This Row],[Unit Cost]]*tbTransactions[[#This Row],[Exchange Rate]]</f>
        <v>2246.4201591000001</v>
      </c>
      <c r="I636" s="311" t="s">
        <v>638</v>
      </c>
      <c r="J636" s="318" t="s">
        <v>24</v>
      </c>
      <c r="K636" s="183" t="str">
        <f>IF(tbTransactions[[#This Row],[Sub-Type]]="Transfer","Neutral",IF(tbTransactions[[#This Row],[Qty]]&lt;0,"Debit",IF(tbTransactions[[#This Row],[Qty]]&gt;0,"Credit","Neutral")))</f>
        <v>Credit</v>
      </c>
      <c r="L636" s="313" t="s">
        <v>647</v>
      </c>
      <c r="M636" s="359" t="s">
        <v>692</v>
      </c>
    </row>
    <row r="637" spans="3:13" ht="30" customHeight="1" x14ac:dyDescent="0.25">
      <c r="C637" s="26">
        <v>635</v>
      </c>
      <c r="D637" s="27">
        <v>44463</v>
      </c>
      <c r="E637" s="23">
        <v>-7.1652930000000001</v>
      </c>
      <c r="F637" s="23">
        <v>1.36</v>
      </c>
      <c r="G637" s="24">
        <v>1</v>
      </c>
      <c r="H637" s="28">
        <f>tbTransactions[[#This Row],[Qty]]*tbTransactions[[#This Row],[Unit Cost]]*tbTransactions[[#This Row],[Exchange Rate]]</f>
        <v>-9.74479848</v>
      </c>
      <c r="I637" s="311" t="s">
        <v>638</v>
      </c>
      <c r="J637" s="313" t="s">
        <v>437</v>
      </c>
      <c r="K637" s="183" t="str">
        <f>IF(tbTransactions[[#This Row],[Sub-Type]]="Transfer","Neutral",IF(tbTransactions[[#This Row],[Qty]]&lt;0,"Debit",IF(tbTransactions[[#This Row],[Qty]]&gt;0,"Credit","Neutral")))</f>
        <v>Debit</v>
      </c>
      <c r="L637" s="318" t="s">
        <v>14</v>
      </c>
      <c r="M637" s="317" t="s">
        <v>660</v>
      </c>
    </row>
    <row r="638" spans="3:13" ht="30" customHeight="1" x14ac:dyDescent="0.25">
      <c r="C638" s="26">
        <v>636</v>
      </c>
      <c r="D638" s="27">
        <v>44463</v>
      </c>
      <c r="E638" s="23">
        <v>-8.9909529999999993</v>
      </c>
      <c r="F638" s="23">
        <v>1.36</v>
      </c>
      <c r="G638" s="24">
        <v>1</v>
      </c>
      <c r="H638" s="28">
        <f>tbTransactions[[#This Row],[Qty]]*tbTransactions[[#This Row],[Unit Cost]]*tbTransactions[[#This Row],[Exchange Rate]]</f>
        <v>-12.227696079999999</v>
      </c>
      <c r="I638" s="311" t="s">
        <v>638</v>
      </c>
      <c r="J638" s="313" t="s">
        <v>437</v>
      </c>
      <c r="K638" s="183" t="str">
        <f>IF(tbTransactions[[#This Row],[Sub-Type]]="Transfer","Neutral",IF(tbTransactions[[#This Row],[Qty]]&lt;0,"Debit",IF(tbTransactions[[#This Row],[Qty]]&gt;0,"Credit","Neutral")))</f>
        <v>Debit</v>
      </c>
      <c r="L638" s="318" t="s">
        <v>14</v>
      </c>
      <c r="M638" s="317" t="s">
        <v>659</v>
      </c>
    </row>
    <row r="639" spans="3:13" ht="30" customHeight="1" x14ac:dyDescent="0.25">
      <c r="C639" s="26">
        <v>637</v>
      </c>
      <c r="D639" s="27">
        <v>44463</v>
      </c>
      <c r="E639" s="23">
        <v>2.45877691E-2</v>
      </c>
      <c r="F639" s="23">
        <v>0</v>
      </c>
      <c r="G639" s="24">
        <v>1</v>
      </c>
      <c r="H639" s="28">
        <f>tbTransactions[[#This Row],[Qty]]*tbTransactions[[#This Row],[Unit Cost]]*tbTransactions[[#This Row],[Exchange Rate]]</f>
        <v>0</v>
      </c>
      <c r="I639" s="100" t="s">
        <v>539</v>
      </c>
      <c r="J639" s="228" t="s">
        <v>22</v>
      </c>
      <c r="K639" s="183" t="str">
        <f>IF(tbTransactions[[#This Row],[Sub-Type]]="Transfer","Neutral",IF(tbTransactions[[#This Row],[Qty]]&lt;0,"Debit",IF(tbTransactions[[#This Row],[Qty]]&gt;0,"Credit","Neutral")))</f>
        <v>Credit</v>
      </c>
      <c r="L639" s="174" t="s">
        <v>546</v>
      </c>
      <c r="M639" s="180" t="s">
        <v>481</v>
      </c>
    </row>
    <row r="640" spans="3:13" ht="30" customHeight="1" x14ac:dyDescent="0.25">
      <c r="C640" s="26">
        <v>638</v>
      </c>
      <c r="D640" s="27">
        <v>44463</v>
      </c>
      <c r="E640" s="23">
        <v>3.9585000000000002E-2</v>
      </c>
      <c r="F640" s="23">
        <v>0</v>
      </c>
      <c r="G640" s="24">
        <v>1</v>
      </c>
      <c r="H640" s="28">
        <f>tbTransactions[[#This Row],[Qty]]*tbTransactions[[#This Row],[Unit Cost]]*tbTransactions[[#This Row],[Exchange Rate]]</f>
        <v>0</v>
      </c>
      <c r="I640" s="266" t="s">
        <v>430</v>
      </c>
      <c r="J640" s="268" t="s">
        <v>8</v>
      </c>
      <c r="K640" s="183" t="str">
        <f>IF(tbTransactions[[#This Row],[Sub-Type]]="Transfer","Neutral",IF(tbTransactions[[#This Row],[Qty]]&lt;0,"Debit",IF(tbTransactions[[#This Row],[Qty]]&gt;0,"Credit","Neutral")))</f>
        <v>Credit</v>
      </c>
      <c r="L640" s="268" t="s">
        <v>546</v>
      </c>
      <c r="M640" s="270" t="s">
        <v>604</v>
      </c>
    </row>
    <row r="641" spans="3:13" ht="30" customHeight="1" x14ac:dyDescent="0.25">
      <c r="C641" s="26">
        <v>639</v>
      </c>
      <c r="D641" s="27">
        <v>44464</v>
      </c>
      <c r="E641" s="23">
        <v>2.40357304E-2</v>
      </c>
      <c r="F641" s="23">
        <v>0</v>
      </c>
      <c r="G641" s="24">
        <v>1</v>
      </c>
      <c r="H641" s="28">
        <f>tbTransactions[[#This Row],[Qty]]*tbTransactions[[#This Row],[Unit Cost]]*tbTransactions[[#This Row],[Exchange Rate]]</f>
        <v>0</v>
      </c>
      <c r="I641" s="100" t="s">
        <v>539</v>
      </c>
      <c r="J641" s="228" t="s">
        <v>22</v>
      </c>
      <c r="K641" s="183" t="str">
        <f>IF(tbTransactions[[#This Row],[Sub-Type]]="Transfer","Neutral",IF(tbTransactions[[#This Row],[Qty]]&lt;0,"Debit",IF(tbTransactions[[#This Row],[Qty]]&gt;0,"Credit","Neutral")))</f>
        <v>Credit</v>
      </c>
      <c r="L641" s="174" t="s">
        <v>546</v>
      </c>
      <c r="M641" s="180" t="s">
        <v>481</v>
      </c>
    </row>
    <row r="642" spans="3:13" ht="30" customHeight="1" x14ac:dyDescent="0.25">
      <c r="C642" s="26">
        <v>640</v>
      </c>
      <c r="D642" s="27">
        <v>44464</v>
      </c>
      <c r="E642" s="23">
        <v>6.3980999999999996E-2</v>
      </c>
      <c r="F642" s="23">
        <v>0</v>
      </c>
      <c r="G642" s="24">
        <v>1</v>
      </c>
      <c r="H642" s="28">
        <f>tbTransactions[[#This Row],[Qty]]*tbTransactions[[#This Row],[Unit Cost]]*tbTransactions[[#This Row],[Exchange Rate]]</f>
        <v>0</v>
      </c>
      <c r="I642" s="266" t="s">
        <v>430</v>
      </c>
      <c r="J642" s="268" t="s">
        <v>8</v>
      </c>
      <c r="K642" s="183" t="str">
        <f>IF(tbTransactions[[#This Row],[Sub-Type]]="Transfer","Neutral",IF(tbTransactions[[#This Row],[Qty]]&lt;0,"Debit",IF(tbTransactions[[#This Row],[Qty]]&gt;0,"Credit","Neutral")))</f>
        <v>Credit</v>
      </c>
      <c r="L642" s="268" t="s">
        <v>546</v>
      </c>
      <c r="M642" s="270" t="s">
        <v>604</v>
      </c>
    </row>
    <row r="643" spans="3:13" ht="30" customHeight="1" x14ac:dyDescent="0.25">
      <c r="C643" s="26">
        <v>641</v>
      </c>
      <c r="D643" s="27">
        <v>44464</v>
      </c>
      <c r="E643" s="23">
        <v>1.5486919E-2</v>
      </c>
      <c r="F643" s="23">
        <v>0</v>
      </c>
      <c r="G643" s="24">
        <v>1</v>
      </c>
      <c r="H643" s="28">
        <f>tbTransactions[[#This Row],[Qty]]*tbTransactions[[#This Row],[Unit Cost]]*tbTransactions[[#This Row],[Exchange Rate]]</f>
        <v>0</v>
      </c>
      <c r="I643" s="280" t="s">
        <v>570</v>
      </c>
      <c r="J643" s="282" t="s">
        <v>24</v>
      </c>
      <c r="K643" s="183" t="str">
        <f>IF(tbTransactions[[#This Row],[Sub-Type]]="Transfer","Neutral",IF(tbTransactions[[#This Row],[Qty]]&lt;0,"Debit",IF(tbTransactions[[#This Row],[Qty]]&gt;0,"Credit","Neutral")))</f>
        <v>Credit</v>
      </c>
      <c r="L643" s="174" t="s">
        <v>546</v>
      </c>
      <c r="M643" s="281" t="s">
        <v>588</v>
      </c>
    </row>
    <row r="644" spans="3:13" ht="30" customHeight="1" x14ac:dyDescent="0.25">
      <c r="C644" s="26">
        <v>642</v>
      </c>
      <c r="D644" s="27">
        <v>44465</v>
      </c>
      <c r="E644" s="23">
        <v>-495</v>
      </c>
      <c r="F644" s="23">
        <v>1</v>
      </c>
      <c r="G644" s="24">
        <v>1</v>
      </c>
      <c r="H644" s="28">
        <f>tbTransactions[[#This Row],[Qty]]*tbTransactions[[#This Row],[Unit Cost]]*tbTransactions[[#This Row],[Exchange Rate]]</f>
        <v>-495</v>
      </c>
      <c r="I644" s="328" t="s">
        <v>526</v>
      </c>
      <c r="J644" s="330" t="s">
        <v>418</v>
      </c>
      <c r="K644" s="183" t="str">
        <f>IF(tbTransactions[[#This Row],[Sub-Type]]="Transfer","Neutral",IF(tbTransactions[[#This Row],[Qty]]&lt;0,"Debit",IF(tbTransactions[[#This Row],[Qty]]&gt;0,"Credit","Neutral")))</f>
        <v>Debit</v>
      </c>
      <c r="L644" s="330" t="s">
        <v>529</v>
      </c>
      <c r="M644" s="329" t="s">
        <v>674</v>
      </c>
    </row>
    <row r="645" spans="3:13" ht="30" customHeight="1" x14ac:dyDescent="0.25">
      <c r="C645" s="26">
        <v>643</v>
      </c>
      <c r="D645" s="27">
        <v>44465</v>
      </c>
      <c r="E645" s="23">
        <v>-5</v>
      </c>
      <c r="F645" s="23">
        <v>1</v>
      </c>
      <c r="G645" s="24">
        <v>1</v>
      </c>
      <c r="H645" s="28">
        <f>tbTransactions[[#This Row],[Qty]]*tbTransactions[[#This Row],[Unit Cost]]*tbTransactions[[#This Row],[Exchange Rate]]</f>
        <v>-5</v>
      </c>
      <c r="I645" s="328" t="s">
        <v>526</v>
      </c>
      <c r="J645" s="330" t="s">
        <v>418</v>
      </c>
      <c r="K645" s="183" t="str">
        <f>IF(tbTransactions[[#This Row],[Sub-Type]]="Transfer","Neutral",IF(tbTransactions[[#This Row],[Qty]]&lt;0,"Debit",IF(tbTransactions[[#This Row],[Qty]]&gt;0,"Credit","Neutral")))</f>
        <v>Debit</v>
      </c>
      <c r="L645" s="330" t="s">
        <v>14</v>
      </c>
      <c r="M645" s="329" t="s">
        <v>674</v>
      </c>
    </row>
    <row r="646" spans="3:13" ht="30" customHeight="1" x14ac:dyDescent="0.25">
      <c r="C646" s="26">
        <v>644</v>
      </c>
      <c r="D646" s="27">
        <v>44465</v>
      </c>
      <c r="E646" s="23">
        <v>391.15</v>
      </c>
      <c r="F646" s="23">
        <v>1.2654991691167072</v>
      </c>
      <c r="G646" s="24">
        <v>1</v>
      </c>
      <c r="H646" s="28">
        <f>tbTransactions[[#This Row],[Qty]]*tbTransactions[[#This Row],[Unit Cost]]*tbTransactions[[#This Row],[Exchange Rate]]</f>
        <v>495</v>
      </c>
      <c r="I646" s="328" t="s">
        <v>638</v>
      </c>
      <c r="J646" s="330" t="s">
        <v>646</v>
      </c>
      <c r="K646" s="183" t="str">
        <f>IF(tbTransactions[[#This Row],[Sub-Type]]="Transfer","Neutral",IF(tbTransactions[[#This Row],[Qty]]&lt;0,"Debit",IF(tbTransactions[[#This Row],[Qty]]&gt;0,"Credit","Neutral")))</f>
        <v>Credit</v>
      </c>
      <c r="L646" s="330" t="s">
        <v>532</v>
      </c>
      <c r="M646" s="329" t="s">
        <v>674</v>
      </c>
    </row>
    <row r="647" spans="3:13" ht="30" customHeight="1" x14ac:dyDescent="0.25">
      <c r="C647" s="26">
        <v>645</v>
      </c>
      <c r="D647" s="27">
        <v>44465</v>
      </c>
      <c r="E647" s="23">
        <v>-1.13E-4</v>
      </c>
      <c r="F647" s="23">
        <v>1.46</v>
      </c>
      <c r="G647" s="24">
        <v>1</v>
      </c>
      <c r="H647" s="28">
        <f>tbTransactions[[#This Row],[Qty]]*tbTransactions[[#This Row],[Unit Cost]]*tbTransactions[[#This Row],[Exchange Rate]]</f>
        <v>-1.6497999999999998E-4</v>
      </c>
      <c r="I647" s="328" t="s">
        <v>638</v>
      </c>
      <c r="J647" s="332" t="s">
        <v>437</v>
      </c>
      <c r="K647" s="183" t="str">
        <f>IF(tbTransactions[[#This Row],[Sub-Type]]="Transfer","Neutral",IF(tbTransactions[[#This Row],[Qty]]&lt;0,"Debit",IF(tbTransactions[[#This Row],[Qty]]&gt;0,"Credit","Neutral")))</f>
        <v>Debit</v>
      </c>
      <c r="L647" s="332" t="s">
        <v>14</v>
      </c>
      <c r="M647" s="331" t="s">
        <v>660</v>
      </c>
    </row>
    <row r="648" spans="3:13" ht="30" customHeight="1" x14ac:dyDescent="0.25">
      <c r="C648" s="26">
        <v>646</v>
      </c>
      <c r="D648" s="27">
        <v>44465</v>
      </c>
      <c r="E648" s="23">
        <v>-1.13E-4</v>
      </c>
      <c r="F648" s="23">
        <v>1.46</v>
      </c>
      <c r="G648" s="24">
        <v>1</v>
      </c>
      <c r="H648" s="28">
        <f>tbTransactions[[#This Row],[Qty]]*tbTransactions[[#This Row],[Unit Cost]]*tbTransactions[[#This Row],[Exchange Rate]]</f>
        <v>-1.6497999999999998E-4</v>
      </c>
      <c r="I648" s="328" t="s">
        <v>638</v>
      </c>
      <c r="J648" s="332" t="s">
        <v>437</v>
      </c>
      <c r="K648" s="183" t="str">
        <f>IF(tbTransactions[[#This Row],[Sub-Type]]="Transfer","Neutral",IF(tbTransactions[[#This Row],[Qty]]&lt;0,"Debit",IF(tbTransactions[[#This Row],[Qty]]&gt;0,"Credit","Neutral")))</f>
        <v>Debit</v>
      </c>
      <c r="L648" s="332" t="s">
        <v>14</v>
      </c>
      <c r="M648" s="331" t="s">
        <v>660</v>
      </c>
    </row>
    <row r="649" spans="3:13" ht="30" customHeight="1" x14ac:dyDescent="0.25">
      <c r="C649" s="26">
        <v>647</v>
      </c>
      <c r="D649" s="27">
        <v>44465</v>
      </c>
      <c r="E649" s="23">
        <v>2.4041585800000001E-2</v>
      </c>
      <c r="F649" s="23">
        <v>0</v>
      </c>
      <c r="G649" s="24">
        <v>1</v>
      </c>
      <c r="H649" s="28">
        <f>tbTransactions[[#This Row],[Qty]]*tbTransactions[[#This Row],[Unit Cost]]*tbTransactions[[#This Row],[Exchange Rate]]</f>
        <v>0</v>
      </c>
      <c r="I649" s="100" t="s">
        <v>539</v>
      </c>
      <c r="J649" s="228" t="s">
        <v>22</v>
      </c>
      <c r="K649" s="183" t="str">
        <f>IF(tbTransactions[[#This Row],[Sub-Type]]="Transfer","Neutral",IF(tbTransactions[[#This Row],[Qty]]&lt;0,"Debit",IF(tbTransactions[[#This Row],[Qty]]&gt;0,"Credit","Neutral")))</f>
        <v>Credit</v>
      </c>
      <c r="L649" s="174" t="s">
        <v>546</v>
      </c>
      <c r="M649" s="180" t="s">
        <v>481</v>
      </c>
    </row>
    <row r="650" spans="3:13" ht="30" customHeight="1" x14ac:dyDescent="0.25">
      <c r="C650" s="26">
        <v>648</v>
      </c>
      <c r="D650" s="27">
        <v>44465</v>
      </c>
      <c r="E650" s="23">
        <v>6.3990000000000005E-2</v>
      </c>
      <c r="F650" s="23">
        <v>0</v>
      </c>
      <c r="G650" s="24">
        <v>1</v>
      </c>
      <c r="H650" s="28">
        <f>tbTransactions[[#This Row],[Qty]]*tbTransactions[[#This Row],[Unit Cost]]*tbTransactions[[#This Row],[Exchange Rate]]</f>
        <v>0</v>
      </c>
      <c r="I650" s="266" t="s">
        <v>430</v>
      </c>
      <c r="J650" s="268" t="s">
        <v>8</v>
      </c>
      <c r="K650" s="183" t="str">
        <f>IF(tbTransactions[[#This Row],[Sub-Type]]="Transfer","Neutral",IF(tbTransactions[[#This Row],[Qty]]&lt;0,"Debit",IF(tbTransactions[[#This Row],[Qty]]&gt;0,"Credit","Neutral")))</f>
        <v>Credit</v>
      </c>
      <c r="L650" s="268" t="s">
        <v>546</v>
      </c>
      <c r="M650" s="270" t="s">
        <v>604</v>
      </c>
    </row>
    <row r="651" spans="3:13" ht="30" customHeight="1" x14ac:dyDescent="0.25">
      <c r="C651" s="26">
        <v>649</v>
      </c>
      <c r="D651" s="27">
        <v>44465</v>
      </c>
      <c r="E651" s="23">
        <v>1.73E-4</v>
      </c>
      <c r="F651" s="23">
        <v>1.46</v>
      </c>
      <c r="G651" s="24">
        <v>1</v>
      </c>
      <c r="H651" s="28">
        <f>tbTransactions[[#This Row],[Qty]]*tbTransactions[[#This Row],[Unit Cost]]*tbTransactions[[#This Row],[Exchange Rate]]</f>
        <v>2.5258000000000002E-4</v>
      </c>
      <c r="I651" s="328" t="s">
        <v>638</v>
      </c>
      <c r="J651" s="332" t="s">
        <v>437</v>
      </c>
      <c r="K651" s="183" t="str">
        <f>IF(tbTransactions[[#This Row],[Sub-Type]]="Transfer","Neutral",IF(tbTransactions[[#This Row],[Qty]]&lt;0,"Debit",IF(tbTransactions[[#This Row],[Qty]]&gt;0,"Credit","Neutral")))</f>
        <v>Credit</v>
      </c>
      <c r="L651" s="332" t="s">
        <v>14</v>
      </c>
      <c r="M651" s="331" t="s">
        <v>681</v>
      </c>
    </row>
    <row r="652" spans="3:13" ht="30" customHeight="1" x14ac:dyDescent="0.25">
      <c r="C652" s="26">
        <v>650</v>
      </c>
      <c r="D652" s="27">
        <v>44465</v>
      </c>
      <c r="E652" s="23">
        <v>-0.6</v>
      </c>
      <c r="F652" s="23">
        <v>3871</v>
      </c>
      <c r="G652" s="24">
        <v>1</v>
      </c>
      <c r="H652" s="28">
        <f>tbTransactions[[#This Row],[Qty]]*tbTransactions[[#This Row],[Unit Cost]]*tbTransactions[[#This Row],[Exchange Rate]]</f>
        <v>-2322.6</v>
      </c>
      <c r="I652" s="328" t="s">
        <v>638</v>
      </c>
      <c r="J652" s="332" t="s">
        <v>24</v>
      </c>
      <c r="K652" s="183" t="str">
        <f>IF(tbTransactions[[#This Row],[Sub-Type]]="Transfer","Neutral",IF(tbTransactions[[#This Row],[Qty]]&lt;0,"Debit",IF(tbTransactions[[#This Row],[Qty]]&gt;0,"Credit","Neutral")))</f>
        <v>Debit</v>
      </c>
      <c r="L652" s="332" t="s">
        <v>647</v>
      </c>
      <c r="M652" s="331" t="s">
        <v>682</v>
      </c>
    </row>
    <row r="653" spans="3:13" ht="30" customHeight="1" x14ac:dyDescent="0.25">
      <c r="C653" s="26">
        <v>651</v>
      </c>
      <c r="D653" s="27">
        <v>44465</v>
      </c>
      <c r="E653" s="23">
        <v>1820</v>
      </c>
      <c r="F653" s="23">
        <v>1.27</v>
      </c>
      <c r="G653" s="24">
        <v>1</v>
      </c>
      <c r="H653" s="28">
        <f>tbTransactions[[#This Row],[Qty]]*tbTransactions[[#This Row],[Unit Cost]]*tbTransactions[[#This Row],[Exchange Rate]]</f>
        <v>2311.4</v>
      </c>
      <c r="I653" s="328" t="s">
        <v>638</v>
      </c>
      <c r="J653" s="332" t="s">
        <v>646</v>
      </c>
      <c r="K653" s="183" t="str">
        <f>IF(tbTransactions[[#This Row],[Sub-Type]]="Transfer","Neutral",IF(tbTransactions[[#This Row],[Qty]]&lt;0,"Debit",IF(tbTransactions[[#This Row],[Qty]]&gt;0,"Credit","Neutral")))</f>
        <v>Credit</v>
      </c>
      <c r="L653" s="332" t="s">
        <v>647</v>
      </c>
      <c r="M653" s="331" t="s">
        <v>682</v>
      </c>
    </row>
    <row r="654" spans="3:13" ht="30" customHeight="1" x14ac:dyDescent="0.25">
      <c r="C654" s="26">
        <v>652</v>
      </c>
      <c r="D654" s="27">
        <v>44465</v>
      </c>
      <c r="E654" s="23">
        <v>2.34E-4</v>
      </c>
      <c r="F654" s="23">
        <v>1.45</v>
      </c>
      <c r="G654" s="24">
        <v>1</v>
      </c>
      <c r="H654" s="28">
        <f>tbTransactions[[#This Row],[Qty]]*tbTransactions[[#This Row],[Unit Cost]]*tbTransactions[[#This Row],[Exchange Rate]]</f>
        <v>3.3930000000000001E-4</v>
      </c>
      <c r="I654" s="328" t="s">
        <v>638</v>
      </c>
      <c r="J654" s="332" t="s">
        <v>437</v>
      </c>
      <c r="K654" s="183" t="str">
        <f>IF(tbTransactions[[#This Row],[Sub-Type]]="Transfer","Neutral",IF(tbTransactions[[#This Row],[Qty]]&lt;0,"Debit",IF(tbTransactions[[#This Row],[Qty]]&gt;0,"Credit","Neutral")))</f>
        <v>Credit</v>
      </c>
      <c r="L654" s="332" t="s">
        <v>14</v>
      </c>
      <c r="M654" s="331" t="s">
        <v>682</v>
      </c>
    </row>
    <row r="655" spans="3:13" ht="30" customHeight="1" x14ac:dyDescent="0.25">
      <c r="C655" s="26">
        <v>653</v>
      </c>
      <c r="D655" s="27">
        <v>44466</v>
      </c>
      <c r="E655" s="23">
        <v>2.24531312E-2</v>
      </c>
      <c r="F655" s="23">
        <v>0</v>
      </c>
      <c r="G655" s="24">
        <v>1</v>
      </c>
      <c r="H655" s="28">
        <f>tbTransactions[[#This Row],[Qty]]*tbTransactions[[#This Row],[Unit Cost]]*tbTransactions[[#This Row],[Exchange Rate]]</f>
        <v>0</v>
      </c>
      <c r="I655" s="100" t="s">
        <v>539</v>
      </c>
      <c r="J655" s="228" t="s">
        <v>22</v>
      </c>
      <c r="K655" s="183" t="str">
        <f>IF(tbTransactions[[#This Row],[Sub-Type]]="Transfer","Neutral",IF(tbTransactions[[#This Row],[Qty]]&lt;0,"Debit",IF(tbTransactions[[#This Row],[Qty]]&gt;0,"Credit","Neutral")))</f>
        <v>Credit</v>
      </c>
      <c r="L655" s="174" t="s">
        <v>546</v>
      </c>
      <c r="M655" s="180" t="s">
        <v>481</v>
      </c>
    </row>
    <row r="656" spans="3:13" ht="30" customHeight="1" x14ac:dyDescent="0.25">
      <c r="C656" s="26">
        <v>654</v>
      </c>
      <c r="D656" s="27">
        <v>44466</v>
      </c>
      <c r="E656" s="23">
        <v>6.3996999999999998E-2</v>
      </c>
      <c r="F656" s="23">
        <v>0</v>
      </c>
      <c r="G656" s="24">
        <v>1</v>
      </c>
      <c r="H656" s="28">
        <f>tbTransactions[[#This Row],[Qty]]*tbTransactions[[#This Row],[Unit Cost]]*tbTransactions[[#This Row],[Exchange Rate]]</f>
        <v>0</v>
      </c>
      <c r="I656" s="266" t="s">
        <v>430</v>
      </c>
      <c r="J656" s="268" t="s">
        <v>8</v>
      </c>
      <c r="K656" s="183" t="str">
        <f>IF(tbTransactions[[#This Row],[Sub-Type]]="Transfer","Neutral",IF(tbTransactions[[#This Row],[Qty]]&lt;0,"Debit",IF(tbTransactions[[#This Row],[Qty]]&gt;0,"Credit","Neutral")))</f>
        <v>Credit</v>
      </c>
      <c r="L656" s="268" t="s">
        <v>546</v>
      </c>
      <c r="M656" s="270" t="s">
        <v>604</v>
      </c>
    </row>
    <row r="657" spans="3:13" ht="30" customHeight="1" x14ac:dyDescent="0.25">
      <c r="C657" s="26">
        <v>655</v>
      </c>
      <c r="D657" s="27">
        <v>44466</v>
      </c>
      <c r="E657" s="23">
        <v>1.0883780000000001</v>
      </c>
      <c r="F657" s="23">
        <v>0</v>
      </c>
      <c r="G657" s="24">
        <v>1</v>
      </c>
      <c r="H657" s="28">
        <f>tbTransactions[[#This Row],[Qty]]*tbTransactions[[#This Row],[Unit Cost]]*tbTransactions[[#This Row],[Exchange Rate]]</f>
        <v>0</v>
      </c>
      <c r="I657" s="346" t="s">
        <v>534</v>
      </c>
      <c r="J657" s="348" t="s">
        <v>19</v>
      </c>
      <c r="K657" s="183" t="str">
        <f>IF(tbTransactions[[#This Row],[Sub-Type]]="Transfer","Neutral",IF(tbTransactions[[#This Row],[Qty]]&lt;0,"Debit",IF(tbTransactions[[#This Row],[Qty]]&gt;0,"Credit","Neutral")))</f>
        <v>Credit</v>
      </c>
      <c r="L657" s="268" t="s">
        <v>546</v>
      </c>
      <c r="M657" s="347" t="s">
        <v>441</v>
      </c>
    </row>
    <row r="658" spans="3:13" ht="30" customHeight="1" x14ac:dyDescent="0.25">
      <c r="C658" s="26">
        <v>656</v>
      </c>
      <c r="D658" s="27">
        <v>44467</v>
      </c>
      <c r="E658" s="23">
        <v>1.6000000000000001E-4</v>
      </c>
      <c r="F658" s="23">
        <v>1.34</v>
      </c>
      <c r="G658" s="24">
        <v>1</v>
      </c>
      <c r="H658" s="28">
        <f>tbTransactions[[#This Row],[Qty]]*tbTransactions[[#This Row],[Unit Cost]]*tbTransactions[[#This Row],[Exchange Rate]]</f>
        <v>2.1440000000000003E-4</v>
      </c>
      <c r="I658" s="328" t="s">
        <v>638</v>
      </c>
      <c r="J658" s="350" t="s">
        <v>437</v>
      </c>
      <c r="K658" s="183" t="str">
        <f>IF(tbTransactions[[#This Row],[Sub-Type]]="Transfer","Neutral",IF(tbTransactions[[#This Row],[Qty]]&lt;0,"Debit",IF(tbTransactions[[#This Row],[Qty]]&gt;0,"Credit","Neutral")))</f>
        <v>Credit</v>
      </c>
      <c r="L658" s="350" t="s">
        <v>14</v>
      </c>
      <c r="M658" s="349" t="s">
        <v>688</v>
      </c>
    </row>
    <row r="659" spans="3:13" ht="30" customHeight="1" x14ac:dyDescent="0.25">
      <c r="C659" s="26">
        <v>657</v>
      </c>
      <c r="D659" s="27">
        <v>44467</v>
      </c>
      <c r="E659" s="23">
        <v>3.0428762299999999E-2</v>
      </c>
      <c r="F659" s="23">
        <v>0</v>
      </c>
      <c r="G659" s="24">
        <v>1</v>
      </c>
      <c r="H659" s="28">
        <f>tbTransactions[[#This Row],[Qty]]*tbTransactions[[#This Row],[Unit Cost]]*tbTransactions[[#This Row],[Exchange Rate]]</f>
        <v>0</v>
      </c>
      <c r="I659" s="100" t="s">
        <v>539</v>
      </c>
      <c r="J659" s="228" t="s">
        <v>22</v>
      </c>
      <c r="K659" s="183" t="str">
        <f>IF(tbTransactions[[#This Row],[Sub-Type]]="Transfer","Neutral",IF(tbTransactions[[#This Row],[Qty]]&lt;0,"Debit",IF(tbTransactions[[#This Row],[Qty]]&gt;0,"Credit","Neutral")))</f>
        <v>Credit</v>
      </c>
      <c r="L659" s="174" t="s">
        <v>546</v>
      </c>
      <c r="M659" s="180" t="s">
        <v>481</v>
      </c>
    </row>
    <row r="660" spans="3:13" ht="30" customHeight="1" x14ac:dyDescent="0.25">
      <c r="C660" s="26">
        <v>658</v>
      </c>
      <c r="D660" s="27">
        <v>44467</v>
      </c>
      <c r="E660" s="23">
        <v>6.4003000000000004E-2</v>
      </c>
      <c r="F660" s="23">
        <v>0</v>
      </c>
      <c r="G660" s="24">
        <v>1</v>
      </c>
      <c r="H660" s="28">
        <f>tbTransactions[[#This Row],[Qty]]*tbTransactions[[#This Row],[Unit Cost]]*tbTransactions[[#This Row],[Exchange Rate]]</f>
        <v>0</v>
      </c>
      <c r="I660" s="266" t="s">
        <v>430</v>
      </c>
      <c r="J660" s="268" t="s">
        <v>8</v>
      </c>
      <c r="K660" s="183" t="str">
        <f>IF(tbTransactions[[#This Row],[Sub-Type]]="Transfer","Neutral",IF(tbTransactions[[#This Row],[Qty]]&lt;0,"Debit",IF(tbTransactions[[#This Row],[Qty]]&gt;0,"Credit","Neutral")))</f>
        <v>Credit</v>
      </c>
      <c r="L660" s="268" t="s">
        <v>546</v>
      </c>
      <c r="M660" s="270" t="s">
        <v>604</v>
      </c>
    </row>
    <row r="661" spans="3:13" ht="30" customHeight="1" x14ac:dyDescent="0.25">
      <c r="C661" s="26">
        <v>659</v>
      </c>
      <c r="D661" s="27">
        <v>44467</v>
      </c>
      <c r="E661" s="23">
        <v>-3.4727000000000001E-5</v>
      </c>
      <c r="F661" s="23">
        <v>1.34</v>
      </c>
      <c r="G661" s="24">
        <v>1</v>
      </c>
      <c r="H661" s="28">
        <f>tbTransactions[[#This Row],[Qty]]*tbTransactions[[#This Row],[Unit Cost]]*tbTransactions[[#This Row],[Exchange Rate]]</f>
        <v>-4.6534180000000004E-5</v>
      </c>
      <c r="I661" s="328" t="s">
        <v>638</v>
      </c>
      <c r="J661" s="350" t="s">
        <v>437</v>
      </c>
      <c r="K661" s="183" t="str">
        <f>IF(tbTransactions[[#This Row],[Sub-Type]]="Transfer","Neutral",IF(tbTransactions[[#This Row],[Qty]]&lt;0,"Debit",IF(tbTransactions[[#This Row],[Qty]]&gt;0,"Credit","Neutral")))</f>
        <v>Debit</v>
      </c>
      <c r="L661" s="350" t="s">
        <v>14</v>
      </c>
      <c r="M661" s="349" t="s">
        <v>660</v>
      </c>
    </row>
    <row r="662" spans="3:13" ht="30" customHeight="1" x14ac:dyDescent="0.25">
      <c r="C662" s="26">
        <v>660</v>
      </c>
      <c r="D662" s="27">
        <v>44467</v>
      </c>
      <c r="E662" s="23">
        <v>-7.2900000000000005E-4</v>
      </c>
      <c r="F662" s="23">
        <v>1.33</v>
      </c>
      <c r="G662" s="24">
        <v>1</v>
      </c>
      <c r="H662" s="28">
        <f>tbTransactions[[#This Row],[Qty]]*tbTransactions[[#This Row],[Unit Cost]]*tbTransactions[[#This Row],[Exchange Rate]]</f>
        <v>-9.6957000000000011E-4</v>
      </c>
      <c r="I662" s="328" t="s">
        <v>638</v>
      </c>
      <c r="J662" s="350" t="s">
        <v>437</v>
      </c>
      <c r="K662" s="183" t="str">
        <f>IF(tbTransactions[[#This Row],[Sub-Type]]="Transfer","Neutral",IF(tbTransactions[[#This Row],[Qty]]&lt;0,"Debit",IF(tbTransactions[[#This Row],[Qty]]&gt;0,"Credit","Neutral")))</f>
        <v>Debit</v>
      </c>
      <c r="L662" s="350" t="s">
        <v>14</v>
      </c>
      <c r="M662" s="359" t="s">
        <v>692</v>
      </c>
    </row>
    <row r="663" spans="3:13" ht="30" customHeight="1" x14ac:dyDescent="0.25">
      <c r="C663" s="26">
        <v>661</v>
      </c>
      <c r="D663" s="27">
        <v>44467</v>
      </c>
      <c r="E663" s="23">
        <v>-2211.8592389999999</v>
      </c>
      <c r="F663" s="23">
        <v>1.27</v>
      </c>
      <c r="G663" s="24">
        <v>1</v>
      </c>
      <c r="H663" s="28">
        <f>tbTransactions[[#This Row],[Qty]]*tbTransactions[[#This Row],[Unit Cost]]*tbTransactions[[#This Row],[Exchange Rate]]</f>
        <v>-2809.0612335299998</v>
      </c>
      <c r="I663" s="328" t="s">
        <v>638</v>
      </c>
      <c r="J663" s="350" t="s">
        <v>646</v>
      </c>
      <c r="K663" s="183" t="str">
        <f>IF(tbTransactions[[#This Row],[Sub-Type]]="Transfer","Neutral",IF(tbTransactions[[#This Row],[Qty]]&lt;0,"Debit",IF(tbTransactions[[#This Row],[Qty]]&gt;0,"Credit","Neutral")))</f>
        <v>Debit</v>
      </c>
      <c r="L663" s="350" t="s">
        <v>647</v>
      </c>
      <c r="M663" s="359" t="s">
        <v>692</v>
      </c>
    </row>
    <row r="664" spans="3:13" ht="30" customHeight="1" x14ac:dyDescent="0.25">
      <c r="C664" s="26">
        <v>662</v>
      </c>
      <c r="D664" s="27">
        <v>44467</v>
      </c>
      <c r="E664" s="23">
        <v>0.78615520364667402</v>
      </c>
      <c r="F664" s="23">
        <v>3547.36</v>
      </c>
      <c r="G664" s="24">
        <v>1</v>
      </c>
      <c r="H664" s="28">
        <f>tbTransactions[[#This Row],[Qty]]*tbTransactions[[#This Row],[Unit Cost]]*tbTransactions[[#This Row],[Exchange Rate]]</f>
        <v>2788.7755232080658</v>
      </c>
      <c r="I664" s="328" t="s">
        <v>638</v>
      </c>
      <c r="J664" s="350" t="s">
        <v>24</v>
      </c>
      <c r="K664" s="183" t="str">
        <f>IF(tbTransactions[[#This Row],[Sub-Type]]="Transfer","Neutral",IF(tbTransactions[[#This Row],[Qty]]&lt;0,"Debit",IF(tbTransactions[[#This Row],[Qty]]&gt;0,"Credit","Neutral")))</f>
        <v>Credit</v>
      </c>
      <c r="L664" s="350" t="s">
        <v>647</v>
      </c>
      <c r="M664" s="359" t="s">
        <v>692</v>
      </c>
    </row>
    <row r="665" spans="3:13" ht="30" customHeight="1" x14ac:dyDescent="0.25">
      <c r="C665" s="26">
        <v>663</v>
      </c>
      <c r="D665" s="27">
        <v>44468</v>
      </c>
      <c r="E665" s="23">
        <v>2.9104655699999999E-2</v>
      </c>
      <c r="F665" s="23">
        <v>0</v>
      </c>
      <c r="G665" s="24">
        <v>1</v>
      </c>
      <c r="H665" s="28">
        <f>tbTransactions[[#This Row],[Qty]]*tbTransactions[[#This Row],[Unit Cost]]*tbTransactions[[#This Row],[Exchange Rate]]</f>
        <v>0</v>
      </c>
      <c r="I665" s="100" t="s">
        <v>539</v>
      </c>
      <c r="J665" s="228" t="s">
        <v>22</v>
      </c>
      <c r="K665" s="183" t="str">
        <f>IF(tbTransactions[[#This Row],[Sub-Type]]="Transfer","Neutral",IF(tbTransactions[[#This Row],[Qty]]&lt;0,"Debit",IF(tbTransactions[[#This Row],[Qty]]&gt;0,"Credit","Neutral")))</f>
        <v>Credit</v>
      </c>
      <c r="L665" s="174" t="s">
        <v>546</v>
      </c>
      <c r="M665" s="180" t="s">
        <v>481</v>
      </c>
    </row>
    <row r="666" spans="3:13" ht="30" customHeight="1" x14ac:dyDescent="0.25">
      <c r="C666" s="26">
        <v>664</v>
      </c>
      <c r="D666" s="27">
        <v>44468</v>
      </c>
      <c r="E666" s="23">
        <v>6.4010999999999998E-2</v>
      </c>
      <c r="F666" s="23">
        <v>0</v>
      </c>
      <c r="G666" s="24">
        <v>1</v>
      </c>
      <c r="H666" s="28">
        <f>tbTransactions[[#This Row],[Qty]]*tbTransactions[[#This Row],[Unit Cost]]*tbTransactions[[#This Row],[Exchange Rate]]</f>
        <v>0</v>
      </c>
      <c r="I666" s="266" t="s">
        <v>430</v>
      </c>
      <c r="J666" s="268" t="s">
        <v>8</v>
      </c>
      <c r="K666" s="183" t="str">
        <f>IF(tbTransactions[[#This Row],[Sub-Type]]="Transfer","Neutral",IF(tbTransactions[[#This Row],[Qty]]&lt;0,"Debit",IF(tbTransactions[[#This Row],[Qty]]&gt;0,"Credit","Neutral")))</f>
        <v>Credit</v>
      </c>
      <c r="L666" s="268" t="s">
        <v>546</v>
      </c>
      <c r="M666" s="270" t="s">
        <v>604</v>
      </c>
    </row>
    <row r="667" spans="3:13" ht="30" customHeight="1" x14ac:dyDescent="0.25">
      <c r="C667" s="26">
        <v>665</v>
      </c>
      <c r="D667" s="27">
        <v>44469</v>
      </c>
      <c r="E667" s="23">
        <v>2.4756064299999998E-2</v>
      </c>
      <c r="F667" s="23">
        <v>0</v>
      </c>
      <c r="G667" s="24">
        <v>1</v>
      </c>
      <c r="H667" s="28">
        <f>tbTransactions[[#This Row],[Qty]]*tbTransactions[[#This Row],[Unit Cost]]*tbTransactions[[#This Row],[Exchange Rate]]</f>
        <v>0</v>
      </c>
      <c r="I667" s="100" t="s">
        <v>539</v>
      </c>
      <c r="J667" s="228" t="s">
        <v>22</v>
      </c>
      <c r="K667" s="183" t="str">
        <f>IF(tbTransactions[[#This Row],[Sub-Type]]="Transfer","Neutral",IF(tbTransactions[[#This Row],[Qty]]&lt;0,"Debit",IF(tbTransactions[[#This Row],[Qty]]&gt;0,"Credit","Neutral")))</f>
        <v>Credit</v>
      </c>
      <c r="L667" s="174" t="s">
        <v>546</v>
      </c>
      <c r="M667" s="180" t="s">
        <v>481</v>
      </c>
    </row>
    <row r="668" spans="3:13" ht="30" customHeight="1" x14ac:dyDescent="0.25">
      <c r="C668" s="26">
        <v>666</v>
      </c>
      <c r="D668" s="27">
        <v>44469</v>
      </c>
      <c r="E668" s="23">
        <v>6.4017000000000004E-2</v>
      </c>
      <c r="F668" s="23">
        <v>0</v>
      </c>
      <c r="G668" s="24">
        <v>1</v>
      </c>
      <c r="H668" s="28">
        <f>tbTransactions[[#This Row],[Qty]]*tbTransactions[[#This Row],[Unit Cost]]*tbTransactions[[#This Row],[Exchange Rate]]</f>
        <v>0</v>
      </c>
      <c r="I668" s="266" t="s">
        <v>430</v>
      </c>
      <c r="J668" s="268" t="s">
        <v>8</v>
      </c>
      <c r="K668" s="183" t="str">
        <f>IF(tbTransactions[[#This Row],[Sub-Type]]="Transfer","Neutral",IF(tbTransactions[[#This Row],[Qty]]&lt;0,"Debit",IF(tbTransactions[[#This Row],[Qty]]&gt;0,"Credit","Neutral")))</f>
        <v>Credit</v>
      </c>
      <c r="L668" s="268" t="s">
        <v>546</v>
      </c>
      <c r="M668" s="270" t="s">
        <v>604</v>
      </c>
    </row>
    <row r="669" spans="3:13" ht="30" customHeight="1" x14ac:dyDescent="0.25">
      <c r="C669" s="26">
        <v>667</v>
      </c>
      <c r="D669" s="27">
        <v>44470</v>
      </c>
      <c r="E669" s="23">
        <v>-0.68</v>
      </c>
      <c r="F669" s="23">
        <v>4062.69</v>
      </c>
      <c r="G669" s="24">
        <v>1</v>
      </c>
      <c r="H669" s="28">
        <f>tbTransactions[[#This Row],[Qty]]*tbTransactions[[#This Row],[Unit Cost]]*tbTransactions[[#This Row],[Exchange Rate]]</f>
        <v>-2762.6292000000003</v>
      </c>
      <c r="I669" s="328" t="s">
        <v>638</v>
      </c>
      <c r="J669" s="361" t="s">
        <v>24</v>
      </c>
      <c r="K669" s="183" t="str">
        <f>IF(tbTransactions[[#This Row],[Sub-Type]]="Transfer","Neutral",IF(tbTransactions[[#This Row],[Qty]]&lt;0,"Debit",IF(tbTransactions[[#This Row],[Qty]]&gt;0,"Credit","Neutral")))</f>
        <v>Debit</v>
      </c>
      <c r="L669" s="361" t="s">
        <v>647</v>
      </c>
      <c r="M669" s="360" t="s">
        <v>682</v>
      </c>
    </row>
    <row r="670" spans="3:13" ht="30" customHeight="1" x14ac:dyDescent="0.25">
      <c r="C670" s="26">
        <v>668</v>
      </c>
      <c r="D670" s="27">
        <v>44470</v>
      </c>
      <c r="E670" s="23">
        <v>2172.625927</v>
      </c>
      <c r="F670" s="23">
        <v>1.27</v>
      </c>
      <c r="G670" s="24">
        <v>1</v>
      </c>
      <c r="H670" s="28">
        <f>tbTransactions[[#This Row],[Qty]]*tbTransactions[[#This Row],[Unit Cost]]*tbTransactions[[#This Row],[Exchange Rate]]</f>
        <v>2759.2349272900001</v>
      </c>
      <c r="I670" s="328" t="s">
        <v>638</v>
      </c>
      <c r="J670" s="361" t="s">
        <v>646</v>
      </c>
      <c r="K670" s="183" t="str">
        <f>IF(tbTransactions[[#This Row],[Sub-Type]]="Transfer","Neutral",IF(tbTransactions[[#This Row],[Qty]]&lt;0,"Debit",IF(tbTransactions[[#This Row],[Qty]]&gt;0,"Credit","Neutral")))</f>
        <v>Credit</v>
      </c>
      <c r="L670" s="361" t="s">
        <v>647</v>
      </c>
      <c r="M670" s="360" t="s">
        <v>682</v>
      </c>
    </row>
    <row r="671" spans="3:13" ht="30" customHeight="1" x14ac:dyDescent="0.25">
      <c r="C671" s="26">
        <v>669</v>
      </c>
      <c r="D671" s="27">
        <v>44470</v>
      </c>
      <c r="E671" s="23">
        <v>-4.9625254139999998E-3</v>
      </c>
      <c r="F671" s="23">
        <v>1.58</v>
      </c>
      <c r="G671" s="24">
        <v>1</v>
      </c>
      <c r="H671" s="28">
        <f>tbTransactions[[#This Row],[Qty]]*tbTransactions[[#This Row],[Unit Cost]]*tbTransactions[[#This Row],[Exchange Rate]]</f>
        <v>-7.84079015412E-3</v>
      </c>
      <c r="I671" s="328" t="s">
        <v>638</v>
      </c>
      <c r="J671" s="361" t="s">
        <v>437</v>
      </c>
      <c r="K671" s="183" t="str">
        <f>IF(tbTransactions[[#This Row],[Sub-Type]]="Transfer","Neutral",IF(tbTransactions[[#This Row],[Qty]]&lt;0,"Debit",IF(tbTransactions[[#This Row],[Qty]]&gt;0,"Credit","Neutral")))</f>
        <v>Debit</v>
      </c>
      <c r="L671" s="361" t="s">
        <v>14</v>
      </c>
      <c r="M671" s="360" t="s">
        <v>682</v>
      </c>
    </row>
    <row r="672" spans="3:13" ht="30" customHeight="1" x14ac:dyDescent="0.25">
      <c r="C672" s="26">
        <v>670</v>
      </c>
      <c r="D672" s="27">
        <v>44470</v>
      </c>
      <c r="E672" s="23">
        <v>2.1268601500000001E-2</v>
      </c>
      <c r="F672" s="23">
        <v>0</v>
      </c>
      <c r="G672" s="24">
        <v>1</v>
      </c>
      <c r="H672" s="28">
        <f>tbTransactions[[#This Row],[Qty]]*tbTransactions[[#This Row],[Unit Cost]]*tbTransactions[[#This Row],[Exchange Rate]]</f>
        <v>0</v>
      </c>
      <c r="I672" s="100" t="s">
        <v>539</v>
      </c>
      <c r="J672" s="228" t="s">
        <v>22</v>
      </c>
      <c r="K672" s="183" t="str">
        <f>IF(tbTransactions[[#This Row],[Sub-Type]]="Transfer","Neutral",IF(tbTransactions[[#This Row],[Qty]]&lt;0,"Debit",IF(tbTransactions[[#This Row],[Qty]]&gt;0,"Credit","Neutral")))</f>
        <v>Credit</v>
      </c>
      <c r="L672" s="174" t="s">
        <v>546</v>
      </c>
      <c r="M672" s="180" t="s">
        <v>481</v>
      </c>
    </row>
    <row r="673" spans="3:13" ht="30" customHeight="1" x14ac:dyDescent="0.25">
      <c r="C673" s="26">
        <v>671</v>
      </c>
      <c r="D673" s="27">
        <v>44470</v>
      </c>
      <c r="E673" s="23">
        <v>6.4022999999999997E-2</v>
      </c>
      <c r="F673" s="23">
        <v>0</v>
      </c>
      <c r="G673" s="24">
        <v>1</v>
      </c>
      <c r="H673" s="28">
        <f>tbTransactions[[#This Row],[Qty]]*tbTransactions[[#This Row],[Unit Cost]]*tbTransactions[[#This Row],[Exchange Rate]]</f>
        <v>0</v>
      </c>
      <c r="I673" s="266" t="s">
        <v>430</v>
      </c>
      <c r="J673" s="268" t="s">
        <v>8</v>
      </c>
      <c r="K673" s="183" t="str">
        <f>IF(tbTransactions[[#This Row],[Sub-Type]]="Transfer","Neutral",IF(tbTransactions[[#This Row],[Qty]]&lt;0,"Debit",IF(tbTransactions[[#This Row],[Qty]]&gt;0,"Credit","Neutral")))</f>
        <v>Credit</v>
      </c>
      <c r="L673" s="268" t="s">
        <v>546</v>
      </c>
      <c r="M673" s="270" t="s">
        <v>604</v>
      </c>
    </row>
    <row r="674" spans="3:13" ht="30" customHeight="1" x14ac:dyDescent="0.25">
      <c r="C674" s="26">
        <v>672</v>
      </c>
      <c r="D674" s="367">
        <v>44471</v>
      </c>
      <c r="E674" s="23">
        <v>2.3610897299999999E-2</v>
      </c>
      <c r="F674" s="23">
        <v>0</v>
      </c>
      <c r="G674" s="24">
        <v>1</v>
      </c>
      <c r="H674" s="28">
        <f>tbTransactions[[#This Row],[Qty]]*tbTransactions[[#This Row],[Unit Cost]]*tbTransactions[[#This Row],[Exchange Rate]]</f>
        <v>0</v>
      </c>
      <c r="I674" s="100" t="s">
        <v>539</v>
      </c>
      <c r="J674" s="228" t="s">
        <v>22</v>
      </c>
      <c r="K674" s="183" t="str">
        <f>IF(tbTransactions[[#This Row],[Sub-Type]]="Transfer","Neutral",IF(tbTransactions[[#This Row],[Qty]]&lt;0,"Debit",IF(tbTransactions[[#This Row],[Qty]]&gt;0,"Credit","Neutral")))</f>
        <v>Credit</v>
      </c>
      <c r="L674" s="174" t="s">
        <v>546</v>
      </c>
      <c r="M674" s="180" t="s">
        <v>481</v>
      </c>
    </row>
    <row r="675" spans="3:13" ht="30" customHeight="1" x14ac:dyDescent="0.25">
      <c r="C675" s="26">
        <v>673</v>
      </c>
      <c r="D675" s="367">
        <v>44471</v>
      </c>
      <c r="E675" s="23">
        <v>6.4022999999999997E-2</v>
      </c>
      <c r="F675" s="23">
        <v>0</v>
      </c>
      <c r="G675" s="24">
        <v>1</v>
      </c>
      <c r="H675" s="28">
        <f>tbTransactions[[#This Row],[Qty]]*tbTransactions[[#This Row],[Unit Cost]]*tbTransactions[[#This Row],[Exchange Rate]]</f>
        <v>0</v>
      </c>
      <c r="I675" s="266" t="s">
        <v>430</v>
      </c>
      <c r="J675" s="268" t="s">
        <v>8</v>
      </c>
      <c r="K675" s="183" t="str">
        <f>IF(tbTransactions[[#This Row],[Sub-Type]]="Transfer","Neutral",IF(tbTransactions[[#This Row],[Qty]]&lt;0,"Debit",IF(tbTransactions[[#This Row],[Qty]]&gt;0,"Credit","Neutral")))</f>
        <v>Credit</v>
      </c>
      <c r="L675" s="268" t="s">
        <v>546</v>
      </c>
      <c r="M675" s="270" t="s">
        <v>604</v>
      </c>
    </row>
    <row r="676" spans="3:13" ht="30" customHeight="1" x14ac:dyDescent="0.25">
      <c r="C676" s="26">
        <v>674</v>
      </c>
      <c r="D676" s="27">
        <v>44471</v>
      </c>
      <c r="E676" s="23">
        <v>0.95625800000000005</v>
      </c>
      <c r="F676" s="23">
        <v>0</v>
      </c>
      <c r="G676" s="24">
        <v>1</v>
      </c>
      <c r="H676" s="28">
        <f>tbTransactions[[#This Row],[Qty]]*tbTransactions[[#This Row],[Unit Cost]]*tbTransactions[[#This Row],[Exchange Rate]]</f>
        <v>0</v>
      </c>
      <c r="I676" s="372" t="s">
        <v>534</v>
      </c>
      <c r="J676" s="373" t="s">
        <v>19</v>
      </c>
      <c r="K676" s="183" t="str">
        <f>IF(tbTransactions[[#This Row],[Sub-Type]]="Transfer","Neutral",IF(tbTransactions[[#This Row],[Qty]]&lt;0,"Debit",IF(tbTransactions[[#This Row],[Qty]]&gt;0,"Credit","Neutral")))</f>
        <v>Credit</v>
      </c>
      <c r="L676" s="268" t="s">
        <v>546</v>
      </c>
      <c r="M676" s="374" t="s">
        <v>441</v>
      </c>
    </row>
    <row r="677" spans="3:13" ht="30" customHeight="1" x14ac:dyDescent="0.25">
      <c r="C677" s="26">
        <v>675</v>
      </c>
      <c r="D677" s="27">
        <v>44471</v>
      </c>
      <c r="E677" s="23">
        <v>1.541999E-2</v>
      </c>
      <c r="F677" s="23">
        <v>0</v>
      </c>
      <c r="G677" s="24">
        <v>1</v>
      </c>
      <c r="H677" s="28">
        <f>tbTransactions[[#This Row],[Qty]]*tbTransactions[[#This Row],[Unit Cost]]*tbTransactions[[#This Row],[Exchange Rate]]</f>
        <v>0</v>
      </c>
      <c r="I677" s="372" t="s">
        <v>570</v>
      </c>
      <c r="J677" s="373" t="s">
        <v>24</v>
      </c>
      <c r="K677" s="183" t="str">
        <f>IF(tbTransactions[[#This Row],[Sub-Type]]="Transfer","Neutral",IF(tbTransactions[[#This Row],[Qty]]&lt;0,"Debit",IF(tbTransactions[[#This Row],[Qty]]&gt;0,"Credit","Neutral")))</f>
        <v>Credit</v>
      </c>
      <c r="L677" s="268" t="s">
        <v>546</v>
      </c>
      <c r="M677" s="374" t="s">
        <v>588</v>
      </c>
    </row>
    <row r="678" spans="3:13" ht="30" customHeight="1" x14ac:dyDescent="0.25">
      <c r="C678" s="26">
        <v>676</v>
      </c>
      <c r="D678" s="27">
        <v>44472</v>
      </c>
      <c r="E678" s="23">
        <v>2.8564204900000001E-2</v>
      </c>
      <c r="F678" s="23">
        <v>0</v>
      </c>
      <c r="G678" s="24">
        <v>1</v>
      </c>
      <c r="H678" s="28">
        <f>tbTransactions[[#This Row],[Qty]]*tbTransactions[[#This Row],[Unit Cost]]*tbTransactions[[#This Row],[Exchange Rate]]</f>
        <v>0</v>
      </c>
      <c r="I678" s="100" t="s">
        <v>539</v>
      </c>
      <c r="J678" s="228" t="s">
        <v>22</v>
      </c>
      <c r="K678" s="183" t="str">
        <f>IF(tbTransactions[[#This Row],[Sub-Type]]="Transfer","Neutral",IF(tbTransactions[[#This Row],[Qty]]&lt;0,"Debit",IF(tbTransactions[[#This Row],[Qty]]&gt;0,"Credit","Neutral")))</f>
        <v>Credit</v>
      </c>
      <c r="L678" s="174" t="s">
        <v>546</v>
      </c>
      <c r="M678" s="180" t="s">
        <v>481</v>
      </c>
    </row>
    <row r="679" spans="3:13" ht="30" customHeight="1" x14ac:dyDescent="0.25">
      <c r="C679" s="26">
        <v>677</v>
      </c>
      <c r="D679" s="27">
        <v>44472</v>
      </c>
      <c r="E679" s="23">
        <v>6.4035999999999996E-2</v>
      </c>
      <c r="F679" s="23">
        <v>0</v>
      </c>
      <c r="G679" s="24">
        <v>1</v>
      </c>
      <c r="H679" s="28">
        <f>tbTransactions[[#This Row],[Qty]]*tbTransactions[[#This Row],[Unit Cost]]*tbTransactions[[#This Row],[Exchange Rate]]</f>
        <v>0</v>
      </c>
      <c r="I679" s="266" t="s">
        <v>430</v>
      </c>
      <c r="J679" s="268" t="s">
        <v>8</v>
      </c>
      <c r="K679" s="183" t="str">
        <f>IF(tbTransactions[[#This Row],[Sub-Type]]="Transfer","Neutral",IF(tbTransactions[[#This Row],[Qty]]&lt;0,"Debit",IF(tbTransactions[[#This Row],[Qty]]&gt;0,"Credit","Neutral")))</f>
        <v>Credit</v>
      </c>
      <c r="L679" s="268" t="s">
        <v>546</v>
      </c>
      <c r="M679" s="270" t="s">
        <v>604</v>
      </c>
    </row>
    <row r="680" spans="3:13" ht="30" customHeight="1" x14ac:dyDescent="0.25">
      <c r="C680" s="26">
        <v>678</v>
      </c>
      <c r="D680" s="27">
        <v>44472</v>
      </c>
      <c r="E680" s="23">
        <v>-596.03083900000001</v>
      </c>
      <c r="F680" s="23">
        <v>2.46</v>
      </c>
      <c r="G680" s="24">
        <v>1</v>
      </c>
      <c r="H680" s="28">
        <f>tbTransactions[[#This Row],[Qty]]*tbTransactions[[#This Row],[Unit Cost]]*tbTransactions[[#This Row],[Exchange Rate]]</f>
        <v>-1466.2358639399999</v>
      </c>
      <c r="I680" s="266" t="s">
        <v>430</v>
      </c>
      <c r="J680" s="268" t="s">
        <v>8</v>
      </c>
      <c r="K680" s="183" t="str">
        <f>IF(tbTransactions[[#This Row],[Sub-Type]]="Transfer","Neutral",IF(tbTransactions[[#This Row],[Qty]]&lt;0,"Debit",IF(tbTransactions[[#This Row],[Qty]]&gt;0,"Credit","Neutral")))</f>
        <v>Debit</v>
      </c>
      <c r="L680" s="376" t="s">
        <v>647</v>
      </c>
      <c r="M680" s="375" t="s">
        <v>703</v>
      </c>
    </row>
    <row r="681" spans="3:13" ht="30" customHeight="1" x14ac:dyDescent="0.25">
      <c r="C681" s="26">
        <v>679</v>
      </c>
      <c r="D681" s="27">
        <v>44472</v>
      </c>
      <c r="E681" s="23">
        <v>0.32705824999999999</v>
      </c>
      <c r="F681" s="23">
        <v>4383.82</v>
      </c>
      <c r="G681" s="24">
        <v>1</v>
      </c>
      <c r="H681" s="28">
        <f>tbTransactions[[#This Row],[Qty]]*tbTransactions[[#This Row],[Unit Cost]]*tbTransactions[[#This Row],[Exchange Rate]]</f>
        <v>1433.7644975149999</v>
      </c>
      <c r="I681" s="266" t="s">
        <v>430</v>
      </c>
      <c r="J681" s="376" t="s">
        <v>24</v>
      </c>
      <c r="K681" s="183" t="str">
        <f>IF(tbTransactions[[#This Row],[Sub-Type]]="Transfer","Neutral",IF(tbTransactions[[#This Row],[Qty]]&lt;0,"Debit",IF(tbTransactions[[#This Row],[Qty]]&gt;0,"Credit","Neutral")))</f>
        <v>Credit</v>
      </c>
      <c r="L681" s="376" t="s">
        <v>647</v>
      </c>
      <c r="M681" s="375" t="s">
        <v>703</v>
      </c>
    </row>
    <row r="682" spans="3:13" ht="30" customHeight="1" x14ac:dyDescent="0.25">
      <c r="C682" s="26">
        <v>680</v>
      </c>
      <c r="D682" s="27">
        <v>44472</v>
      </c>
      <c r="E682" s="23">
        <v>-7405.4211671499997</v>
      </c>
      <c r="F682" s="23">
        <v>3.8837999999999998E-2</v>
      </c>
      <c r="G682" s="24">
        <v>1</v>
      </c>
      <c r="H682" s="28">
        <f>tbTransactions[[#This Row],[Qty]]*tbTransactions[[#This Row],[Unit Cost]]*tbTransactions[[#This Row],[Exchange Rate]]</f>
        <v>-287.6117472897717</v>
      </c>
      <c r="I682" s="266" t="s">
        <v>430</v>
      </c>
      <c r="J682" s="376" t="s">
        <v>605</v>
      </c>
      <c r="K682" s="183" t="str">
        <f>IF(tbTransactions[[#This Row],[Sub-Type]]="Transfer","Neutral",IF(tbTransactions[[#This Row],[Qty]]&lt;0,"Debit",IF(tbTransactions[[#This Row],[Qty]]&gt;0,"Credit","Neutral")))</f>
        <v>Debit</v>
      </c>
      <c r="L682" s="376" t="s">
        <v>647</v>
      </c>
      <c r="M682" s="375" t="s">
        <v>704</v>
      </c>
    </row>
    <row r="683" spans="3:13" ht="30" customHeight="1" x14ac:dyDescent="0.25">
      <c r="C683" s="26">
        <v>681</v>
      </c>
      <c r="D683" s="27">
        <v>44472</v>
      </c>
      <c r="E683" s="23">
        <v>6.4146309999999998E-2</v>
      </c>
      <c r="F683" s="23">
        <v>4388.57</v>
      </c>
      <c r="G683" s="24">
        <v>1</v>
      </c>
      <c r="H683" s="28">
        <f>tbTransactions[[#This Row],[Qty]]*tbTransactions[[#This Row],[Unit Cost]]*tbTransactions[[#This Row],[Exchange Rate]]</f>
        <v>281.51057167669995</v>
      </c>
      <c r="I683" s="266" t="s">
        <v>430</v>
      </c>
      <c r="J683" s="376" t="s">
        <v>24</v>
      </c>
      <c r="K683" s="183" t="str">
        <f>IF(tbTransactions[[#This Row],[Sub-Type]]="Transfer","Neutral",IF(tbTransactions[[#This Row],[Qty]]&lt;0,"Debit",IF(tbTransactions[[#This Row],[Qty]]&gt;0,"Credit","Neutral")))</f>
        <v>Credit</v>
      </c>
      <c r="L683" s="376" t="s">
        <v>647</v>
      </c>
      <c r="M683" s="375" t="s">
        <v>704</v>
      </c>
    </row>
    <row r="684" spans="3:13" ht="30" customHeight="1" x14ac:dyDescent="0.25">
      <c r="C684" s="26">
        <v>682</v>
      </c>
      <c r="D684" s="27">
        <v>44472</v>
      </c>
      <c r="E684" s="23">
        <v>6.4029000000000003E-2</v>
      </c>
      <c r="F684" s="23">
        <v>2.46</v>
      </c>
      <c r="G684" s="24">
        <v>1</v>
      </c>
      <c r="H684" s="28">
        <f>tbTransactions[[#This Row],[Qty]]*tbTransactions[[#This Row],[Unit Cost]]*tbTransactions[[#This Row],[Exchange Rate]]</f>
        <v>0.15751134</v>
      </c>
      <c r="I684" s="266" t="s">
        <v>430</v>
      </c>
      <c r="J684" s="268" t="s">
        <v>8</v>
      </c>
      <c r="K684" s="183" t="str">
        <f>IF(tbTransactions[[#This Row],[Sub-Type]]="Transfer","Neutral",IF(tbTransactions[[#This Row],[Qty]]&lt;0,"Debit",IF(tbTransactions[[#This Row],[Qty]]&gt;0,"Credit","Neutral")))</f>
        <v>Credit</v>
      </c>
      <c r="L684" s="376" t="s">
        <v>36</v>
      </c>
      <c r="M684" s="41"/>
    </row>
    <row r="685" spans="3:13" ht="30" customHeight="1" x14ac:dyDescent="0.25">
      <c r="C685" s="26">
        <v>683</v>
      </c>
      <c r="D685" s="27">
        <v>44473</v>
      </c>
      <c r="E685" s="23">
        <v>-9.6599999999999995E-4</v>
      </c>
      <c r="F685" s="23">
        <v>4218.37</v>
      </c>
      <c r="G685" s="24">
        <v>1</v>
      </c>
      <c r="H685" s="28">
        <f>tbTransactions[[#This Row],[Qty]]*tbTransactions[[#This Row],[Unit Cost]]*tbTransactions[[#This Row],[Exchange Rate]]</f>
        <v>-4.0749454199999997</v>
      </c>
      <c r="I685" s="266" t="s">
        <v>430</v>
      </c>
      <c r="J685" s="379" t="s">
        <v>24</v>
      </c>
      <c r="K685" s="183" t="str">
        <f>IF(tbTransactions[[#This Row],[Sub-Type]]="Transfer","Neutral",IF(tbTransactions[[#This Row],[Qty]]&lt;0,"Debit",IF(tbTransactions[[#This Row],[Qty]]&gt;0,"Credit","Neutral")))</f>
        <v>Debit</v>
      </c>
      <c r="L685" s="379" t="s">
        <v>14</v>
      </c>
      <c r="M685" s="378" t="s">
        <v>640</v>
      </c>
    </row>
    <row r="686" spans="3:13" ht="30" customHeight="1" x14ac:dyDescent="0.25">
      <c r="C686" s="26">
        <v>684</v>
      </c>
      <c r="D686" s="27">
        <v>44473</v>
      </c>
      <c r="E686" s="23">
        <v>-0.39023856000000001</v>
      </c>
      <c r="F686" s="23">
        <v>4218.37</v>
      </c>
      <c r="G686" s="24">
        <v>1</v>
      </c>
      <c r="H686" s="28">
        <f>tbTransactions[[#This Row],[Qty]]*tbTransactions[[#This Row],[Unit Cost]]*tbTransactions[[#This Row],[Exchange Rate]]</f>
        <v>-1646.1706343472001</v>
      </c>
      <c r="I686" s="266" t="s">
        <v>430</v>
      </c>
      <c r="J686" s="379" t="s">
        <v>24</v>
      </c>
      <c r="K686" s="183" t="str">
        <f>IF(tbTransactions[[#This Row],[Sub-Type]]="Transfer","Neutral",IF(tbTransactions[[#This Row],[Qty]]&lt;0,"Debit",IF(tbTransactions[[#This Row],[Qty]]&gt;0,"Credit","Neutral")))</f>
        <v>Debit</v>
      </c>
      <c r="L686" s="376" t="s">
        <v>647</v>
      </c>
      <c r="M686" s="378" t="s">
        <v>640</v>
      </c>
    </row>
    <row r="687" spans="3:13" ht="30" customHeight="1" x14ac:dyDescent="0.25">
      <c r="C687" s="26">
        <v>685</v>
      </c>
      <c r="D687" s="27">
        <v>44473</v>
      </c>
      <c r="E687" s="23">
        <v>0.39023856000000001</v>
      </c>
      <c r="F687" s="23">
        <v>4218.37</v>
      </c>
      <c r="G687" s="24">
        <v>1</v>
      </c>
      <c r="H687" s="28">
        <f>tbTransactions[[#This Row],[Qty]]*tbTransactions[[#This Row],[Unit Cost]]*tbTransactions[[#This Row],[Exchange Rate]]</f>
        <v>1646.1706343472001</v>
      </c>
      <c r="I687" s="377" t="s">
        <v>629</v>
      </c>
      <c r="J687" s="379" t="s">
        <v>24</v>
      </c>
      <c r="K687" s="183" t="str">
        <f>IF(tbTransactions[[#This Row],[Sub-Type]]="Transfer","Neutral",IF(tbTransactions[[#This Row],[Qty]]&lt;0,"Debit",IF(tbTransactions[[#This Row],[Qty]]&gt;0,"Credit","Neutral")))</f>
        <v>Credit</v>
      </c>
      <c r="L687" s="376" t="s">
        <v>647</v>
      </c>
      <c r="M687" s="378" t="s">
        <v>640</v>
      </c>
    </row>
    <row r="688" spans="3:13" ht="30" customHeight="1" x14ac:dyDescent="0.25">
      <c r="C688" s="26">
        <v>686</v>
      </c>
      <c r="D688" s="27">
        <v>44473</v>
      </c>
      <c r="E688" s="23">
        <v>-0.313</v>
      </c>
      <c r="F688" s="23">
        <v>4217.41</v>
      </c>
      <c r="G688" s="24">
        <v>1</v>
      </c>
      <c r="H688" s="28">
        <f>tbTransactions[[#This Row],[Qty]]*tbTransactions[[#This Row],[Unit Cost]]*tbTransactions[[#This Row],[Exchange Rate]]</f>
        <v>-1320.0493300000001</v>
      </c>
      <c r="I688" s="377" t="s">
        <v>629</v>
      </c>
      <c r="J688" s="379" t="s">
        <v>24</v>
      </c>
      <c r="K688" s="183" t="str">
        <f>IF(tbTransactions[[#This Row],[Sub-Type]]="Transfer","Neutral",IF(tbTransactions[[#This Row],[Qty]]&lt;0,"Debit",IF(tbTransactions[[#This Row],[Qty]]&gt;0,"Credit","Neutral")))</f>
        <v>Debit</v>
      </c>
      <c r="L688" s="376" t="s">
        <v>647</v>
      </c>
      <c r="M688" s="378" t="s">
        <v>642</v>
      </c>
    </row>
    <row r="689" spans="3:13" ht="30" customHeight="1" x14ac:dyDescent="0.25">
      <c r="C689" s="26">
        <v>687</v>
      </c>
      <c r="D689" s="27">
        <v>44473</v>
      </c>
      <c r="E689" s="23">
        <v>0.313</v>
      </c>
      <c r="F689" s="23">
        <v>4217.41</v>
      </c>
      <c r="G689" s="24">
        <v>1</v>
      </c>
      <c r="H689" s="28">
        <f>tbTransactions[[#This Row],[Qty]]*tbTransactions[[#This Row],[Unit Cost]]*tbTransactions[[#This Row],[Exchange Rate]]</f>
        <v>1320.0493300000001</v>
      </c>
      <c r="I689" s="377" t="s">
        <v>638</v>
      </c>
      <c r="J689" s="29" t="s">
        <v>6</v>
      </c>
      <c r="K689" s="183" t="str">
        <f>IF(tbTransactions[[#This Row],[Sub-Type]]="Transfer","Neutral",IF(tbTransactions[[#This Row],[Qty]]&lt;0,"Debit",IF(tbTransactions[[#This Row],[Qty]]&gt;0,"Credit","Neutral")))</f>
        <v>Credit</v>
      </c>
      <c r="L689" s="376" t="s">
        <v>647</v>
      </c>
      <c r="M689" s="378" t="s">
        <v>642</v>
      </c>
    </row>
    <row r="690" spans="3:13" ht="30" customHeight="1" x14ac:dyDescent="0.25">
      <c r="C690" s="26">
        <v>688</v>
      </c>
      <c r="D690" s="27">
        <v>44473</v>
      </c>
      <c r="E690" s="23">
        <v>-2.8010000000000001E-3</v>
      </c>
      <c r="F690" s="23">
        <v>4217.41</v>
      </c>
      <c r="G690" s="24">
        <v>1</v>
      </c>
      <c r="H690" s="28">
        <f>tbTransactions[[#This Row],[Qty]]*tbTransactions[[#This Row],[Unit Cost]]*tbTransactions[[#This Row],[Exchange Rate]]</f>
        <v>-11.81296541</v>
      </c>
      <c r="I690" s="377" t="s">
        <v>629</v>
      </c>
      <c r="J690" s="29" t="s">
        <v>6</v>
      </c>
      <c r="K690" s="183" t="str">
        <f>IF(tbTransactions[[#This Row],[Sub-Type]]="Transfer","Neutral",IF(tbTransactions[[#This Row],[Qty]]&lt;0,"Debit",IF(tbTransactions[[#This Row],[Qty]]&gt;0,"Credit","Neutral")))</f>
        <v>Debit</v>
      </c>
      <c r="L690" s="379" t="s">
        <v>14</v>
      </c>
      <c r="M690" s="378" t="s">
        <v>642</v>
      </c>
    </row>
    <row r="691" spans="3:13" ht="30" customHeight="1" x14ac:dyDescent="0.25">
      <c r="C691" s="26">
        <v>689</v>
      </c>
      <c r="D691" s="27">
        <v>44473</v>
      </c>
      <c r="E691" s="23">
        <v>2.2339402000000001E-2</v>
      </c>
      <c r="F691" s="23">
        <v>0</v>
      </c>
      <c r="G691" s="24">
        <v>1</v>
      </c>
      <c r="H691" s="28">
        <f>tbTransactions[[#This Row],[Qty]]*tbTransactions[[#This Row],[Unit Cost]]*tbTransactions[[#This Row],[Exchange Rate]]</f>
        <v>0</v>
      </c>
      <c r="I691" s="100" t="s">
        <v>539</v>
      </c>
      <c r="J691" s="228" t="s">
        <v>22</v>
      </c>
      <c r="K691" s="183" t="str">
        <f>IF(tbTransactions[[#This Row],[Sub-Type]]="Transfer","Neutral",IF(tbTransactions[[#This Row],[Qty]]&lt;0,"Debit",IF(tbTransactions[[#This Row],[Qty]]&gt;0,"Credit","Neutral")))</f>
        <v>Credit</v>
      </c>
      <c r="L691" s="174" t="s">
        <v>546</v>
      </c>
      <c r="M691" s="180" t="s">
        <v>481</v>
      </c>
    </row>
    <row r="692" spans="3:13" ht="30" customHeight="1" x14ac:dyDescent="0.25">
      <c r="C692" s="26">
        <v>690</v>
      </c>
      <c r="D692" s="27">
        <v>44474</v>
      </c>
      <c r="E692" s="23">
        <v>2.9061172600000001E-2</v>
      </c>
      <c r="F692" s="23">
        <v>0</v>
      </c>
      <c r="G692" s="24">
        <v>1</v>
      </c>
      <c r="H692" s="28">
        <f>tbTransactions[[#This Row],[Qty]]*tbTransactions[[#This Row],[Unit Cost]]*tbTransactions[[#This Row],[Exchange Rate]]</f>
        <v>0</v>
      </c>
      <c r="I692" s="100" t="s">
        <v>539</v>
      </c>
      <c r="J692" s="228" t="s">
        <v>22</v>
      </c>
      <c r="K692" s="183" t="str">
        <f>IF(tbTransactions[[#This Row],[Sub-Type]]="Transfer","Neutral",IF(tbTransactions[[#This Row],[Qty]]&lt;0,"Debit",IF(tbTransactions[[#This Row],[Qty]]&gt;0,"Credit","Neutral")))</f>
        <v>Credit</v>
      </c>
      <c r="L692" s="174" t="s">
        <v>546</v>
      </c>
      <c r="M692" s="180" t="s">
        <v>481</v>
      </c>
    </row>
    <row r="693" spans="3:13" ht="30" customHeight="1" x14ac:dyDescent="0.25">
      <c r="C693" s="26">
        <v>691</v>
      </c>
      <c r="D693" s="27">
        <v>44474</v>
      </c>
      <c r="E693" s="23">
        <v>-0.7</v>
      </c>
      <c r="F693" s="23">
        <v>4411.9799999999996</v>
      </c>
      <c r="G693" s="24">
        <v>1</v>
      </c>
      <c r="H693" s="28">
        <f>tbTransactions[[#This Row],[Qty]]*tbTransactions[[#This Row],[Unit Cost]]*tbTransactions[[#This Row],[Exchange Rate]]</f>
        <v>-3088.3859999999995</v>
      </c>
      <c r="I693" s="389" t="s">
        <v>638</v>
      </c>
      <c r="J693" s="391" t="s">
        <v>24</v>
      </c>
      <c r="K693" s="183" t="str">
        <f>IF(tbTransactions[[#This Row],[Sub-Type]]="Transfer","Neutral",IF(tbTransactions[[#This Row],[Qty]]&lt;0,"Debit",IF(tbTransactions[[#This Row],[Qty]]&gt;0,"Credit","Neutral")))</f>
        <v>Debit</v>
      </c>
      <c r="L693" s="391" t="s">
        <v>647</v>
      </c>
      <c r="M693" s="390" t="s">
        <v>682</v>
      </c>
    </row>
    <row r="694" spans="3:13" ht="30" customHeight="1" x14ac:dyDescent="0.25">
      <c r="C694" s="26">
        <v>692</v>
      </c>
      <c r="D694" s="27">
        <v>44474</v>
      </c>
      <c r="E694" s="23">
        <v>2454.5608299999999</v>
      </c>
      <c r="F694" s="23">
        <v>1.26</v>
      </c>
      <c r="G694" s="24">
        <v>1</v>
      </c>
      <c r="H694" s="28">
        <f>tbTransactions[[#This Row],[Qty]]*tbTransactions[[#This Row],[Unit Cost]]*tbTransactions[[#This Row],[Exchange Rate]]</f>
        <v>3092.7466457999999</v>
      </c>
      <c r="I694" s="389" t="s">
        <v>638</v>
      </c>
      <c r="J694" s="391" t="s">
        <v>646</v>
      </c>
      <c r="K694" s="183" t="str">
        <f>IF(tbTransactions[[#This Row],[Sub-Type]]="Transfer","Neutral",IF(tbTransactions[[#This Row],[Qty]]&lt;0,"Debit",IF(tbTransactions[[#This Row],[Qty]]&gt;0,"Credit","Neutral")))</f>
        <v>Credit</v>
      </c>
      <c r="L694" s="391" t="s">
        <v>647</v>
      </c>
      <c r="M694" s="390" t="s">
        <v>682</v>
      </c>
    </row>
    <row r="695" spans="3:13" ht="30" customHeight="1" x14ac:dyDescent="0.25">
      <c r="C695" s="26">
        <v>693</v>
      </c>
      <c r="D695" s="27">
        <v>44474</v>
      </c>
      <c r="E695" s="23">
        <v>-5.9950000000000003E-3</v>
      </c>
      <c r="F695" s="23">
        <v>1.66</v>
      </c>
      <c r="G695" s="24">
        <v>1</v>
      </c>
      <c r="H695" s="28">
        <f>tbTransactions[[#This Row],[Qty]]*tbTransactions[[#This Row],[Unit Cost]]*tbTransactions[[#This Row],[Exchange Rate]]</f>
        <v>-9.9517000000000008E-3</v>
      </c>
      <c r="I695" s="389" t="s">
        <v>638</v>
      </c>
      <c r="J695" s="391" t="s">
        <v>437</v>
      </c>
      <c r="K695" s="183" t="str">
        <f>IF(tbTransactions[[#This Row],[Sub-Type]]="Transfer","Neutral",IF(tbTransactions[[#This Row],[Qty]]&lt;0,"Debit",IF(tbTransactions[[#This Row],[Qty]]&gt;0,"Credit","Neutral")))</f>
        <v>Debit</v>
      </c>
      <c r="L695" s="391" t="s">
        <v>14</v>
      </c>
      <c r="M695" s="390" t="s">
        <v>682</v>
      </c>
    </row>
    <row r="696" spans="3:13" ht="30" customHeight="1" x14ac:dyDescent="0.25">
      <c r="C696" s="26">
        <v>694</v>
      </c>
      <c r="D696" s="27">
        <v>44475</v>
      </c>
      <c r="E696" s="23">
        <v>-2.0460000000000001E-3</v>
      </c>
      <c r="F696" s="23">
        <v>1.55</v>
      </c>
      <c r="G696" s="24">
        <v>1</v>
      </c>
      <c r="H696" s="28">
        <f>tbTransactions[[#This Row],[Qty]]*tbTransactions[[#This Row],[Unit Cost]]*tbTransactions[[#This Row],[Exchange Rate]]</f>
        <v>-3.1713000000000002E-3</v>
      </c>
      <c r="I696" s="389" t="s">
        <v>638</v>
      </c>
      <c r="J696" s="401" t="s">
        <v>437</v>
      </c>
      <c r="K696" s="183" t="str">
        <f>IF(tbTransactions[[#This Row],[Sub-Type]]="Transfer","Neutral",IF(tbTransactions[[#This Row],[Qty]]&lt;0,"Debit",IF(tbTransactions[[#This Row],[Qty]]&gt;0,"Credit","Neutral")))</f>
        <v>Debit</v>
      </c>
      <c r="L696" s="391" t="s">
        <v>14</v>
      </c>
      <c r="M696" s="400" t="s">
        <v>692</v>
      </c>
    </row>
    <row r="697" spans="3:13" ht="30" customHeight="1" x14ac:dyDescent="0.25">
      <c r="C697" s="26">
        <v>695</v>
      </c>
      <c r="D697" s="27">
        <v>44475</v>
      </c>
      <c r="E697" s="23">
        <v>-2454</v>
      </c>
      <c r="F697" s="23">
        <v>1.26</v>
      </c>
      <c r="G697" s="24">
        <v>1</v>
      </c>
      <c r="H697" s="28">
        <f>tbTransactions[[#This Row],[Qty]]*tbTransactions[[#This Row],[Unit Cost]]*tbTransactions[[#This Row],[Exchange Rate]]</f>
        <v>-3092.04</v>
      </c>
      <c r="I697" s="389" t="s">
        <v>638</v>
      </c>
      <c r="J697" s="401" t="s">
        <v>646</v>
      </c>
      <c r="K697" s="183" t="str">
        <f>IF(tbTransactions[[#This Row],[Sub-Type]]="Transfer","Neutral",IF(tbTransactions[[#This Row],[Qty]]&lt;0,"Debit",IF(tbTransactions[[#This Row],[Qty]]&gt;0,"Credit","Neutral")))</f>
        <v>Debit</v>
      </c>
      <c r="L697" s="391" t="s">
        <v>647</v>
      </c>
      <c r="M697" s="400" t="s">
        <v>692</v>
      </c>
    </row>
    <row r="698" spans="3:13" ht="30" customHeight="1" x14ac:dyDescent="0.25">
      <c r="C698" s="26">
        <v>696</v>
      </c>
      <c r="D698" s="27">
        <v>44475</v>
      </c>
      <c r="E698" s="23">
        <v>0.72296554213196296</v>
      </c>
      <c r="F698" s="23">
        <v>4258</v>
      </c>
      <c r="G698" s="24">
        <v>1</v>
      </c>
      <c r="H698" s="28">
        <f>tbTransactions[[#This Row],[Qty]]*tbTransactions[[#This Row],[Unit Cost]]*tbTransactions[[#This Row],[Exchange Rate]]</f>
        <v>3078.3872783978982</v>
      </c>
      <c r="I698" s="389" t="s">
        <v>638</v>
      </c>
      <c r="J698" s="401" t="s">
        <v>24</v>
      </c>
      <c r="K698" s="183" t="str">
        <f>IF(tbTransactions[[#This Row],[Sub-Type]]="Transfer","Neutral",IF(tbTransactions[[#This Row],[Qty]]&lt;0,"Debit",IF(tbTransactions[[#This Row],[Qty]]&gt;0,"Credit","Neutral")))</f>
        <v>Credit</v>
      </c>
      <c r="L698" s="391" t="s">
        <v>647</v>
      </c>
      <c r="M698" s="400" t="s">
        <v>692</v>
      </c>
    </row>
    <row r="699" spans="3:13" ht="30" customHeight="1" x14ac:dyDescent="0.25">
      <c r="C699" s="26">
        <v>697</v>
      </c>
      <c r="D699" s="27">
        <v>44475</v>
      </c>
      <c r="E699" s="23">
        <v>4.67476E-3</v>
      </c>
      <c r="F699" s="23">
        <v>1.64</v>
      </c>
      <c r="G699" s="24">
        <v>1</v>
      </c>
      <c r="H699" s="28">
        <f>tbTransactions[[#This Row],[Qty]]*tbTransactions[[#This Row],[Unit Cost]]*tbTransactions[[#This Row],[Exchange Rate]]</f>
        <v>7.6666063999999996E-3</v>
      </c>
      <c r="I699" s="389" t="s">
        <v>638</v>
      </c>
      <c r="J699" s="401" t="s">
        <v>437</v>
      </c>
      <c r="K699" s="183" t="str">
        <f>IF(tbTransactions[[#This Row],[Sub-Type]]="Transfer","Neutral",IF(tbTransactions[[#This Row],[Qty]]&lt;0,"Debit",IF(tbTransactions[[#This Row],[Qty]]&gt;0,"Credit","Neutral")))</f>
        <v>Credit</v>
      </c>
      <c r="L699" s="391" t="s">
        <v>14</v>
      </c>
      <c r="M699" s="390" t="s">
        <v>682</v>
      </c>
    </row>
    <row r="700" spans="3:13" ht="30" customHeight="1" x14ac:dyDescent="0.25">
      <c r="C700" s="26">
        <v>698</v>
      </c>
      <c r="D700" s="27">
        <v>44475</v>
      </c>
      <c r="E700" s="23">
        <v>2512.8263729999999</v>
      </c>
      <c r="F700" s="23">
        <v>1.26</v>
      </c>
      <c r="G700" s="24">
        <v>1</v>
      </c>
      <c r="H700" s="28">
        <f>tbTransactions[[#This Row],[Qty]]*tbTransactions[[#This Row],[Unit Cost]]*tbTransactions[[#This Row],[Exchange Rate]]</f>
        <v>3166.1612299799999</v>
      </c>
      <c r="I700" s="389" t="s">
        <v>638</v>
      </c>
      <c r="J700" s="401" t="s">
        <v>646</v>
      </c>
      <c r="K700" s="183" t="str">
        <f>IF(tbTransactions[[#This Row],[Sub-Type]]="Transfer","Neutral",IF(tbTransactions[[#This Row],[Qty]]&lt;0,"Debit",IF(tbTransactions[[#This Row],[Qty]]&gt;0,"Credit","Neutral")))</f>
        <v>Credit</v>
      </c>
      <c r="L700" s="391" t="s">
        <v>647</v>
      </c>
      <c r="M700" s="390" t="s">
        <v>682</v>
      </c>
    </row>
    <row r="701" spans="3:13" ht="30" customHeight="1" x14ac:dyDescent="0.25">
      <c r="C701" s="26">
        <v>699</v>
      </c>
      <c r="D701" s="27">
        <v>44475</v>
      </c>
      <c r="E701" s="23">
        <v>-0.7</v>
      </c>
      <c r="F701" s="23">
        <v>4529</v>
      </c>
      <c r="G701" s="24">
        <v>1</v>
      </c>
      <c r="H701" s="28">
        <f>tbTransactions[[#This Row],[Qty]]*tbTransactions[[#This Row],[Unit Cost]]*tbTransactions[[#This Row],[Exchange Rate]]</f>
        <v>-3170.2999999999997</v>
      </c>
      <c r="I701" s="389" t="s">
        <v>638</v>
      </c>
      <c r="J701" s="401" t="s">
        <v>24</v>
      </c>
      <c r="K701" s="183" t="str">
        <f>IF(tbTransactions[[#This Row],[Sub-Type]]="Transfer","Neutral",IF(tbTransactions[[#This Row],[Qty]]&lt;0,"Debit",IF(tbTransactions[[#This Row],[Qty]]&gt;0,"Credit","Neutral")))</f>
        <v>Debit</v>
      </c>
      <c r="L701" s="391" t="s">
        <v>647</v>
      </c>
      <c r="M701" s="390" t="s">
        <v>682</v>
      </c>
    </row>
    <row r="702" spans="3:13" ht="30" customHeight="1" x14ac:dyDescent="0.25">
      <c r="C702" s="26">
        <v>700</v>
      </c>
      <c r="D702" s="27">
        <v>44475</v>
      </c>
      <c r="E702" s="23">
        <v>2.2640498500000002E-2</v>
      </c>
      <c r="F702" s="23">
        <v>0</v>
      </c>
      <c r="G702" s="24">
        <v>1</v>
      </c>
      <c r="H702" s="28">
        <f>tbTransactions[[#This Row],[Qty]]*tbTransactions[[#This Row],[Unit Cost]]*tbTransactions[[#This Row],[Exchange Rate]]</f>
        <v>0</v>
      </c>
      <c r="I702" s="100" t="s">
        <v>539</v>
      </c>
      <c r="J702" s="228" t="s">
        <v>22</v>
      </c>
      <c r="K702" s="183" t="str">
        <f>IF(tbTransactions[[#This Row],[Sub-Type]]="Transfer","Neutral",IF(tbTransactions[[#This Row],[Qty]]&lt;0,"Debit",IF(tbTransactions[[#This Row],[Qty]]&gt;0,"Credit","Neutral")))</f>
        <v>Credit</v>
      </c>
      <c r="L702" s="174" t="s">
        <v>546</v>
      </c>
      <c r="M702" s="180" t="s">
        <v>481</v>
      </c>
    </row>
    <row r="703" spans="3:13" ht="30" customHeight="1" x14ac:dyDescent="0.25">
      <c r="C703" s="26">
        <v>701</v>
      </c>
      <c r="D703" s="27">
        <v>44476</v>
      </c>
      <c r="E703" s="23">
        <v>3.5284591599999998E-2</v>
      </c>
      <c r="F703" s="23">
        <v>0</v>
      </c>
      <c r="G703" s="24">
        <v>1</v>
      </c>
      <c r="H703" s="28">
        <f>tbTransactions[[#This Row],[Qty]]*tbTransactions[[#This Row],[Unit Cost]]*tbTransactions[[#This Row],[Exchange Rate]]</f>
        <v>0</v>
      </c>
      <c r="I703" s="100" t="s">
        <v>539</v>
      </c>
      <c r="J703" s="228" t="s">
        <v>22</v>
      </c>
      <c r="K703" s="183" t="str">
        <f>IF(tbTransactions[[#This Row],[Sub-Type]]="Transfer","Neutral",IF(tbTransactions[[#This Row],[Qty]]&lt;0,"Debit",IF(tbTransactions[[#This Row],[Qty]]&gt;0,"Credit","Neutral")))</f>
        <v>Credit</v>
      </c>
      <c r="L703" s="174" t="s">
        <v>546</v>
      </c>
      <c r="M703" s="180" t="s">
        <v>481</v>
      </c>
    </row>
    <row r="704" spans="3:13" ht="30" customHeight="1" x14ac:dyDescent="0.25">
      <c r="C704" s="26">
        <v>702</v>
      </c>
      <c r="D704" s="27">
        <v>44476</v>
      </c>
      <c r="E704" s="23">
        <v>0.92268300000000003</v>
      </c>
      <c r="F704" s="23">
        <v>0</v>
      </c>
      <c r="G704" s="24">
        <v>1</v>
      </c>
      <c r="H704" s="28">
        <f>tbTransactions[[#This Row],[Qty]]*tbTransactions[[#This Row],[Unit Cost]]*tbTransactions[[#This Row],[Exchange Rate]]</f>
        <v>0</v>
      </c>
      <c r="I704" s="410" t="s">
        <v>534</v>
      </c>
      <c r="J704" s="412" t="s">
        <v>19</v>
      </c>
      <c r="K704" s="183" t="str">
        <f>IF(tbTransactions[[#This Row],[Sub-Type]]="Transfer","Neutral",IF(tbTransactions[[#This Row],[Qty]]&lt;0,"Debit",IF(tbTransactions[[#This Row],[Qty]]&gt;0,"Credit","Neutral")))</f>
        <v>Credit</v>
      </c>
      <c r="L704" s="174" t="s">
        <v>546</v>
      </c>
      <c r="M704" s="411" t="s">
        <v>441</v>
      </c>
    </row>
    <row r="705" spans="3:13" ht="30" customHeight="1" x14ac:dyDescent="0.25">
      <c r="C705" s="26">
        <v>703</v>
      </c>
      <c r="D705" s="27">
        <v>44477</v>
      </c>
      <c r="E705" s="23">
        <v>-99.991395020000027</v>
      </c>
      <c r="F705" s="23">
        <v>0.956349</v>
      </c>
      <c r="G705" s="24">
        <v>1</v>
      </c>
      <c r="H705" s="28">
        <f>tbTransactions[[#This Row],[Qty]]*tbTransactions[[#This Row],[Unit Cost]]*tbTransactions[[#This Row],[Exchange Rate]]</f>
        <v>-95.626670635982009</v>
      </c>
      <c r="I705" s="413" t="s">
        <v>537</v>
      </c>
      <c r="J705" s="414" t="s">
        <v>584</v>
      </c>
      <c r="K705" s="183" t="str">
        <f>IF(tbTransactions[[#This Row],[Sub-Type]]="Transfer","Neutral",IF(tbTransactions[[#This Row],[Qty]]&lt;0,"Debit",IF(tbTransactions[[#This Row],[Qty]]&gt;0,"Credit","Neutral")))</f>
        <v>Debit</v>
      </c>
      <c r="L705" s="414" t="s">
        <v>36</v>
      </c>
      <c r="M705" s="415" t="s">
        <v>714</v>
      </c>
    </row>
    <row r="706" spans="3:13" ht="30" customHeight="1" x14ac:dyDescent="0.25">
      <c r="C706" s="26">
        <v>704</v>
      </c>
      <c r="D706" s="27">
        <v>44477</v>
      </c>
      <c r="E706" s="23">
        <v>1.85321983E-2</v>
      </c>
      <c r="F706" s="23">
        <v>0</v>
      </c>
      <c r="G706" s="24">
        <v>1</v>
      </c>
      <c r="H706" s="28">
        <f>tbTransactions[[#This Row],[Qty]]*tbTransactions[[#This Row],[Unit Cost]]*tbTransactions[[#This Row],[Exchange Rate]]</f>
        <v>0</v>
      </c>
      <c r="I706" s="100" t="s">
        <v>539</v>
      </c>
      <c r="J706" s="228" t="s">
        <v>22</v>
      </c>
      <c r="K706" s="183" t="str">
        <f>IF(tbTransactions[[#This Row],[Sub-Type]]="Transfer","Neutral",IF(tbTransactions[[#This Row],[Qty]]&lt;0,"Debit",IF(tbTransactions[[#This Row],[Qty]]&gt;0,"Credit","Neutral")))</f>
        <v>Credit</v>
      </c>
      <c r="L706" s="174" t="s">
        <v>546</v>
      </c>
      <c r="M706" s="180" t="s">
        <v>481</v>
      </c>
    </row>
    <row r="707" spans="3:13" ht="30" customHeight="1" x14ac:dyDescent="0.25">
      <c r="C707" s="26">
        <v>705</v>
      </c>
      <c r="D707" s="27">
        <v>44478</v>
      </c>
      <c r="E707" s="23">
        <v>2.17790663E-2</v>
      </c>
      <c r="F707" s="23">
        <v>0</v>
      </c>
      <c r="G707" s="24">
        <v>1</v>
      </c>
      <c r="H707" s="28">
        <f>tbTransactions[[#This Row],[Qty]]*tbTransactions[[#This Row],[Unit Cost]]*tbTransactions[[#This Row],[Exchange Rate]]</f>
        <v>0</v>
      </c>
      <c r="I707" s="100" t="s">
        <v>539</v>
      </c>
      <c r="J707" s="228" t="s">
        <v>22</v>
      </c>
      <c r="K707" s="183" t="str">
        <f>IF(tbTransactions[[#This Row],[Sub-Type]]="Transfer","Neutral",IF(tbTransactions[[#This Row],[Qty]]&lt;0,"Debit",IF(tbTransactions[[#This Row],[Qty]]&gt;0,"Credit","Neutral")))</f>
        <v>Credit</v>
      </c>
      <c r="L707" s="174" t="s">
        <v>546</v>
      </c>
      <c r="M707" s="180" t="s">
        <v>481</v>
      </c>
    </row>
    <row r="708" spans="3:13" ht="30" customHeight="1" x14ac:dyDescent="0.25">
      <c r="C708" s="26">
        <v>706</v>
      </c>
      <c r="D708" s="27">
        <v>44478</v>
      </c>
      <c r="E708" s="23">
        <v>1.5320413E-2</v>
      </c>
      <c r="F708" s="23">
        <v>0</v>
      </c>
      <c r="G708" s="24">
        <v>1</v>
      </c>
      <c r="H708" s="28">
        <f>tbTransactions[[#This Row],[Qty]]*tbTransactions[[#This Row],[Unit Cost]]*tbTransactions[[#This Row],[Exchange Rate]]</f>
        <v>0</v>
      </c>
      <c r="I708" s="449" t="s">
        <v>570</v>
      </c>
      <c r="J708" s="417" t="s">
        <v>24</v>
      </c>
      <c r="K708" s="183" t="str">
        <f>IF(tbTransactions[[#This Row],[Sub-Type]]="Transfer","Neutral",IF(tbTransactions[[#This Row],[Qty]]&lt;0,"Debit",IF(tbTransactions[[#This Row],[Qty]]&gt;0,"Credit","Neutral")))</f>
        <v>Credit</v>
      </c>
      <c r="L708" s="174" t="s">
        <v>546</v>
      </c>
      <c r="M708" s="416" t="s">
        <v>588</v>
      </c>
    </row>
    <row r="709" spans="3:13" ht="30" customHeight="1" x14ac:dyDescent="0.25">
      <c r="C709" s="26">
        <v>707</v>
      </c>
      <c r="D709" s="418">
        <v>44479</v>
      </c>
      <c r="E709" s="23">
        <v>1.7744034499999999E-2</v>
      </c>
      <c r="F709" s="23">
        <v>0</v>
      </c>
      <c r="G709" s="24">
        <v>1</v>
      </c>
      <c r="H709" s="28">
        <f>tbTransactions[[#This Row],[Qty]]*tbTransactions[[#This Row],[Unit Cost]]*tbTransactions[[#This Row],[Exchange Rate]]</f>
        <v>0</v>
      </c>
      <c r="I709" s="100" t="s">
        <v>539</v>
      </c>
      <c r="J709" s="228" t="s">
        <v>22</v>
      </c>
      <c r="K709" s="183" t="str">
        <f>IF(tbTransactions[[#This Row],[Sub-Type]]="Transfer","Neutral",IF(tbTransactions[[#This Row],[Qty]]&lt;0,"Debit",IF(tbTransactions[[#This Row],[Qty]]&gt;0,"Credit","Neutral")))</f>
        <v>Credit</v>
      </c>
      <c r="L709" s="174" t="s">
        <v>546</v>
      </c>
      <c r="M709" s="180" t="s">
        <v>481</v>
      </c>
    </row>
    <row r="710" spans="3:13" ht="30" customHeight="1" x14ac:dyDescent="0.25">
      <c r="C710" s="26">
        <v>708</v>
      </c>
      <c r="D710" s="27">
        <v>44480</v>
      </c>
      <c r="E710" s="23">
        <v>2.98089759E-2</v>
      </c>
      <c r="F710" s="23">
        <v>0</v>
      </c>
      <c r="G710" s="24">
        <v>1</v>
      </c>
      <c r="H710" s="28">
        <f>tbTransactions[[#This Row],[Qty]]*tbTransactions[[#This Row],[Unit Cost]]*tbTransactions[[#This Row],[Exchange Rate]]</f>
        <v>0</v>
      </c>
      <c r="I710" s="100" t="s">
        <v>539</v>
      </c>
      <c r="J710" s="228" t="s">
        <v>22</v>
      </c>
      <c r="K710" s="183" t="str">
        <f>IF(tbTransactions[[#This Row],[Sub-Type]]="Transfer","Neutral",IF(tbTransactions[[#This Row],[Qty]]&lt;0,"Debit",IF(tbTransactions[[#This Row],[Qty]]&gt;0,"Credit","Neutral")))</f>
        <v>Credit</v>
      </c>
      <c r="L710" s="174" t="s">
        <v>546</v>
      </c>
      <c r="M710" s="180" t="s">
        <v>481</v>
      </c>
    </row>
    <row r="711" spans="3:13" ht="30" customHeight="1" x14ac:dyDescent="0.25">
      <c r="C711" s="26">
        <v>709</v>
      </c>
      <c r="D711" s="27">
        <v>44481</v>
      </c>
      <c r="E711" s="23">
        <v>-3.2590000000000002E-3</v>
      </c>
      <c r="F711" s="23">
        <v>1.46</v>
      </c>
      <c r="G711" s="24">
        <v>1</v>
      </c>
      <c r="H711" s="28">
        <f>tbTransactions[[#This Row],[Qty]]*tbTransactions[[#This Row],[Unit Cost]]*tbTransactions[[#This Row],[Exchange Rate]]</f>
        <v>-4.7581400000000001E-3</v>
      </c>
      <c r="I711" s="419" t="s">
        <v>638</v>
      </c>
      <c r="J711" s="421" t="s">
        <v>437</v>
      </c>
      <c r="K711" s="183" t="str">
        <f>IF(tbTransactions[[#This Row],[Sub-Type]]="Transfer","Neutral",IF(tbTransactions[[#This Row],[Qty]]&lt;0,"Debit",IF(tbTransactions[[#This Row],[Qty]]&gt;0,"Credit","Neutral")))</f>
        <v>Debit</v>
      </c>
      <c r="L711" s="421" t="s">
        <v>14</v>
      </c>
      <c r="M711" s="420" t="s">
        <v>692</v>
      </c>
    </row>
    <row r="712" spans="3:13" ht="30" customHeight="1" x14ac:dyDescent="0.25">
      <c r="C712" s="26">
        <v>710</v>
      </c>
      <c r="D712" s="27">
        <v>44481</v>
      </c>
      <c r="E712" s="23">
        <v>-2340</v>
      </c>
      <c r="F712" s="23">
        <v>1.25</v>
      </c>
      <c r="G712" s="24">
        <v>1</v>
      </c>
      <c r="H712" s="28">
        <f>tbTransactions[[#This Row],[Qty]]*tbTransactions[[#This Row],[Unit Cost]]*tbTransactions[[#This Row],[Exchange Rate]]</f>
        <v>-2925</v>
      </c>
      <c r="I712" s="419" t="s">
        <v>638</v>
      </c>
      <c r="J712" s="421" t="s">
        <v>646</v>
      </c>
      <c r="K712" s="183" t="str">
        <f>IF(tbTransactions[[#This Row],[Sub-Type]]="Transfer","Neutral",IF(tbTransactions[[#This Row],[Qty]]&lt;0,"Debit",IF(tbTransactions[[#This Row],[Qty]]&gt;0,"Credit","Neutral")))</f>
        <v>Debit</v>
      </c>
      <c r="L712" s="421" t="s">
        <v>647</v>
      </c>
      <c r="M712" s="420" t="s">
        <v>692</v>
      </c>
    </row>
    <row r="713" spans="3:13" ht="30" customHeight="1" x14ac:dyDescent="0.25">
      <c r="C713" s="26">
        <v>711</v>
      </c>
      <c r="D713" s="27">
        <v>44481</v>
      </c>
      <c r="E713" s="23">
        <v>0.67683959047533104</v>
      </c>
      <c r="F713" s="23">
        <v>4304</v>
      </c>
      <c r="G713" s="24">
        <v>1</v>
      </c>
      <c r="H713" s="28">
        <f>tbTransactions[[#This Row],[Qty]]*tbTransactions[[#This Row],[Unit Cost]]*tbTransactions[[#This Row],[Exchange Rate]]</f>
        <v>2913.1175974058247</v>
      </c>
      <c r="I713" s="419" t="s">
        <v>638</v>
      </c>
      <c r="J713" s="421" t="s">
        <v>24</v>
      </c>
      <c r="K713" s="183" t="str">
        <f>IF(tbTransactions[[#This Row],[Sub-Type]]="Transfer","Neutral",IF(tbTransactions[[#This Row],[Qty]]&lt;0,"Debit",IF(tbTransactions[[#This Row],[Qty]]&gt;0,"Credit","Neutral")))</f>
        <v>Credit</v>
      </c>
      <c r="L713" s="421" t="s">
        <v>647</v>
      </c>
      <c r="M713" s="420" t="s">
        <v>692</v>
      </c>
    </row>
    <row r="714" spans="3:13" ht="30" customHeight="1" x14ac:dyDescent="0.25">
      <c r="C714" s="26">
        <v>712</v>
      </c>
      <c r="D714" s="27">
        <v>44481</v>
      </c>
      <c r="E714" s="23">
        <v>2.5129520999999998E-2</v>
      </c>
      <c r="F714" s="23">
        <v>0</v>
      </c>
      <c r="G714" s="24">
        <v>1</v>
      </c>
      <c r="H714" s="28">
        <f>tbTransactions[[#This Row],[Qty]]*tbTransactions[[#This Row],[Unit Cost]]*tbTransactions[[#This Row],[Exchange Rate]]</f>
        <v>0</v>
      </c>
      <c r="I714" s="100" t="s">
        <v>539</v>
      </c>
      <c r="J714" s="228" t="s">
        <v>22</v>
      </c>
      <c r="K714" s="183" t="str">
        <f>IF(tbTransactions[[#This Row],[Sub-Type]]="Transfer","Neutral",IF(tbTransactions[[#This Row],[Qty]]&lt;0,"Debit",IF(tbTransactions[[#This Row],[Qty]]&gt;0,"Credit","Neutral")))</f>
        <v>Credit</v>
      </c>
      <c r="L714" s="174" t="s">
        <v>546</v>
      </c>
      <c r="M714" s="180" t="s">
        <v>481</v>
      </c>
    </row>
    <row r="715" spans="3:13" ht="30" customHeight="1" x14ac:dyDescent="0.25">
      <c r="C715" s="26">
        <v>713</v>
      </c>
      <c r="D715" s="27">
        <v>44481</v>
      </c>
      <c r="E715" s="23">
        <v>0.96875</v>
      </c>
      <c r="F715" s="23">
        <v>0</v>
      </c>
      <c r="G715" s="24">
        <v>1</v>
      </c>
      <c r="H715" s="28">
        <f>tbTransactions[[#This Row],[Qty]]*tbTransactions[[#This Row],[Unit Cost]]*tbTransactions[[#This Row],[Exchange Rate]]</f>
        <v>0</v>
      </c>
      <c r="I715" s="425" t="s">
        <v>534</v>
      </c>
      <c r="J715" s="426" t="s">
        <v>19</v>
      </c>
      <c r="K715" s="183" t="str">
        <f>IF(tbTransactions[[#This Row],[Sub-Type]]="Transfer","Neutral",IF(tbTransactions[[#This Row],[Qty]]&lt;0,"Debit",IF(tbTransactions[[#This Row],[Qty]]&gt;0,"Credit","Neutral")))</f>
        <v>Credit</v>
      </c>
      <c r="L715" s="426" t="s">
        <v>546</v>
      </c>
      <c r="M715" s="427" t="s">
        <v>441</v>
      </c>
    </row>
    <row r="716" spans="3:13" ht="30" customHeight="1" x14ac:dyDescent="0.25">
      <c r="C716" s="26">
        <v>714</v>
      </c>
      <c r="D716" s="27">
        <v>44482</v>
      </c>
      <c r="E716" s="23">
        <v>1.54</v>
      </c>
      <c r="F716" s="23">
        <v>-3.506E-3</v>
      </c>
      <c r="G716" s="24">
        <v>1</v>
      </c>
      <c r="H716" s="28">
        <f>tbTransactions[[#This Row],[Qty]]*tbTransactions[[#This Row],[Unit Cost]]*tbTransactions[[#This Row],[Exchange Rate]]</f>
        <v>-5.3992400000000005E-3</v>
      </c>
      <c r="I716" s="431" t="s">
        <v>638</v>
      </c>
      <c r="J716" s="433" t="s">
        <v>437</v>
      </c>
      <c r="K716" s="183" t="str">
        <f>IF(tbTransactions[[#This Row],[Sub-Type]]="Transfer","Neutral",IF(tbTransactions[[#This Row],[Qty]]&lt;0,"Debit",IF(tbTransactions[[#This Row],[Qty]]&gt;0,"Credit","Neutral")))</f>
        <v>Credit</v>
      </c>
      <c r="L716" s="433" t="s">
        <v>14</v>
      </c>
      <c r="M716" s="432" t="s">
        <v>682</v>
      </c>
    </row>
    <row r="717" spans="3:13" ht="30" customHeight="1" x14ac:dyDescent="0.25">
      <c r="C717" s="26">
        <v>715</v>
      </c>
      <c r="D717" s="27">
        <v>44482</v>
      </c>
      <c r="E717" s="23">
        <v>-0.71</v>
      </c>
      <c r="F717" s="23">
        <v>4473</v>
      </c>
      <c r="G717" s="24">
        <v>1</v>
      </c>
      <c r="H717" s="28">
        <f>tbTransactions[[#This Row],[Qty]]*tbTransactions[[#This Row],[Unit Cost]]*tbTransactions[[#This Row],[Exchange Rate]]</f>
        <v>-3175.83</v>
      </c>
      <c r="I717" s="431" t="s">
        <v>638</v>
      </c>
      <c r="J717" s="433" t="s">
        <v>24</v>
      </c>
      <c r="K717" s="183" t="str">
        <f>IF(tbTransactions[[#This Row],[Sub-Type]]="Transfer","Neutral",IF(tbTransactions[[#This Row],[Qty]]&lt;0,"Debit",IF(tbTransactions[[#This Row],[Qty]]&gt;0,"Credit","Neutral")))</f>
        <v>Debit</v>
      </c>
      <c r="L717" s="433" t="s">
        <v>647</v>
      </c>
      <c r="M717" s="432" t="s">
        <v>682</v>
      </c>
    </row>
    <row r="718" spans="3:13" ht="30" customHeight="1" x14ac:dyDescent="0.25">
      <c r="C718" s="26">
        <v>716</v>
      </c>
      <c r="D718" s="27">
        <v>44482</v>
      </c>
      <c r="E718" s="23">
        <v>2542.1299770000001</v>
      </c>
      <c r="F718" s="23">
        <v>1.24</v>
      </c>
      <c r="G718" s="24">
        <v>1</v>
      </c>
      <c r="H718" s="28">
        <f>tbTransactions[[#This Row],[Qty]]*tbTransactions[[#This Row],[Unit Cost]]*tbTransactions[[#This Row],[Exchange Rate]]</f>
        <v>3152.24117148</v>
      </c>
      <c r="I718" s="431" t="s">
        <v>638</v>
      </c>
      <c r="J718" s="421" t="s">
        <v>646</v>
      </c>
      <c r="K718" s="183" t="str">
        <f>IF(tbTransactions[[#This Row],[Sub-Type]]="Transfer","Neutral",IF(tbTransactions[[#This Row],[Qty]]&lt;0,"Debit",IF(tbTransactions[[#This Row],[Qty]]&gt;0,"Credit","Neutral")))</f>
        <v>Credit</v>
      </c>
      <c r="L718" s="433" t="s">
        <v>647</v>
      </c>
      <c r="M718" s="432" t="s">
        <v>682</v>
      </c>
    </row>
    <row r="719" spans="3:13" ht="30" customHeight="1" x14ac:dyDescent="0.25">
      <c r="C719" s="26">
        <v>717</v>
      </c>
      <c r="D719" s="27">
        <v>44482</v>
      </c>
      <c r="E719" s="23">
        <v>3.07507458E-2</v>
      </c>
      <c r="F719" s="23">
        <v>0</v>
      </c>
      <c r="G719" s="24">
        <v>1</v>
      </c>
      <c r="H719" s="28">
        <f>tbTransactions[[#This Row],[Qty]]*tbTransactions[[#This Row],[Unit Cost]]*tbTransactions[[#This Row],[Exchange Rate]]</f>
        <v>0</v>
      </c>
      <c r="I719" s="100" t="s">
        <v>539</v>
      </c>
      <c r="J719" s="228" t="s">
        <v>22</v>
      </c>
      <c r="K719" s="183" t="str">
        <f>IF(tbTransactions[[#This Row],[Sub-Type]]="Transfer","Neutral",IF(tbTransactions[[#This Row],[Qty]]&lt;0,"Debit",IF(tbTransactions[[#This Row],[Qty]]&gt;0,"Credit","Neutral")))</f>
        <v>Credit</v>
      </c>
      <c r="L719" s="174" t="s">
        <v>546</v>
      </c>
      <c r="M719" s="180" t="s">
        <v>481</v>
      </c>
    </row>
    <row r="720" spans="3:13" ht="30" customHeight="1" x14ac:dyDescent="0.25">
      <c r="C720" s="26">
        <v>718</v>
      </c>
      <c r="D720" s="27">
        <v>44483</v>
      </c>
      <c r="E720" s="23">
        <v>-6.4300000000000002E-4</v>
      </c>
      <c r="F720" s="23">
        <v>1.59</v>
      </c>
      <c r="G720" s="24">
        <v>1</v>
      </c>
      <c r="H720" s="28">
        <f>tbTransactions[[#This Row],[Qty]]*tbTransactions[[#This Row],[Unit Cost]]*tbTransactions[[#This Row],[Exchange Rate]]</f>
        <v>-1.0223700000000001E-3</v>
      </c>
      <c r="I720" s="431" t="s">
        <v>638</v>
      </c>
      <c r="J720" s="433" t="s">
        <v>437</v>
      </c>
      <c r="K720" s="183" t="str">
        <f>IF(tbTransactions[[#This Row],[Sub-Type]]="Transfer","Neutral",IF(tbTransactions[[#This Row],[Qty]]&lt;0,"Debit",IF(tbTransactions[[#This Row],[Qty]]&gt;0,"Credit","Neutral")))</f>
        <v>Debit</v>
      </c>
      <c r="L720" s="433" t="s">
        <v>14</v>
      </c>
      <c r="M720" s="432" t="s">
        <v>682</v>
      </c>
    </row>
    <row r="721" spans="3:13" ht="30" customHeight="1" x14ac:dyDescent="0.25">
      <c r="C721" s="26">
        <v>719</v>
      </c>
      <c r="D721" s="27">
        <v>44483</v>
      </c>
      <c r="E721" s="23">
        <v>-0.71</v>
      </c>
      <c r="F721" s="23">
        <v>4643.29</v>
      </c>
      <c r="G721" s="24">
        <v>1</v>
      </c>
      <c r="H721" s="28">
        <f>tbTransactions[[#This Row],[Qty]]*tbTransactions[[#This Row],[Unit Cost]]*tbTransactions[[#This Row],[Exchange Rate]]</f>
        <v>-3296.7358999999997</v>
      </c>
      <c r="I721" s="431" t="s">
        <v>638</v>
      </c>
      <c r="J721" s="433" t="s">
        <v>24</v>
      </c>
      <c r="K721" s="183" t="str">
        <f>IF(tbTransactions[[#This Row],[Sub-Type]]="Transfer","Neutral",IF(tbTransactions[[#This Row],[Qty]]&lt;0,"Debit",IF(tbTransactions[[#This Row],[Qty]]&gt;0,"Credit","Neutral")))</f>
        <v>Debit</v>
      </c>
      <c r="L721" s="433" t="s">
        <v>647</v>
      </c>
      <c r="M721" s="432" t="s">
        <v>682</v>
      </c>
    </row>
    <row r="722" spans="3:13" ht="30" customHeight="1" x14ac:dyDescent="0.25">
      <c r="C722" s="26">
        <v>720</v>
      </c>
      <c r="D722" s="27">
        <v>44483</v>
      </c>
      <c r="E722" s="23">
        <v>2644.314934</v>
      </c>
      <c r="F722" s="23">
        <v>1.24</v>
      </c>
      <c r="G722" s="24">
        <v>1</v>
      </c>
      <c r="H722" s="28">
        <f>tbTransactions[[#This Row],[Qty]]*tbTransactions[[#This Row],[Unit Cost]]*tbTransactions[[#This Row],[Exchange Rate]]</f>
        <v>3278.9505181599998</v>
      </c>
      <c r="I722" s="431" t="s">
        <v>638</v>
      </c>
      <c r="J722" s="421" t="s">
        <v>646</v>
      </c>
      <c r="K722" s="183" t="str">
        <f>IF(tbTransactions[[#This Row],[Sub-Type]]="Transfer","Neutral",IF(tbTransactions[[#This Row],[Qty]]&lt;0,"Debit",IF(tbTransactions[[#This Row],[Qty]]&gt;0,"Credit","Neutral")))</f>
        <v>Credit</v>
      </c>
      <c r="L722" s="433" t="s">
        <v>647</v>
      </c>
      <c r="M722" s="432" t="s">
        <v>682</v>
      </c>
    </row>
    <row r="723" spans="3:13" ht="30" customHeight="1" x14ac:dyDescent="0.25">
      <c r="C723" s="26">
        <v>721</v>
      </c>
      <c r="D723" s="27">
        <v>44483</v>
      </c>
      <c r="E723" s="23">
        <v>2.5570058100000001E-2</v>
      </c>
      <c r="F723" s="23">
        <v>0</v>
      </c>
      <c r="G723" s="24">
        <v>1</v>
      </c>
      <c r="H723" s="28">
        <f>tbTransactions[[#This Row],[Qty]]*tbTransactions[[#This Row],[Unit Cost]]*tbTransactions[[#This Row],[Exchange Rate]]</f>
        <v>0</v>
      </c>
      <c r="I723" s="100" t="s">
        <v>539</v>
      </c>
      <c r="J723" s="228" t="s">
        <v>22</v>
      </c>
      <c r="K723" s="183" t="str">
        <f>IF(tbTransactions[[#This Row],[Sub-Type]]="Transfer","Neutral",IF(tbTransactions[[#This Row],[Qty]]&lt;0,"Debit",IF(tbTransactions[[#This Row],[Qty]]&gt;0,"Credit","Neutral")))</f>
        <v>Credit</v>
      </c>
      <c r="L723" s="174" t="s">
        <v>546</v>
      </c>
      <c r="M723" s="180" t="s">
        <v>481</v>
      </c>
    </row>
    <row r="724" spans="3:13" ht="30" customHeight="1" x14ac:dyDescent="0.25">
      <c r="C724" s="26">
        <v>722</v>
      </c>
      <c r="D724" s="27">
        <v>44483</v>
      </c>
      <c r="E724" s="23">
        <v>2008.3</v>
      </c>
      <c r="F724" s="23">
        <v>1.24</v>
      </c>
      <c r="G724" s="24">
        <v>1</v>
      </c>
      <c r="H724" s="28">
        <f>tbTransactions[[#This Row],[Qty]]*tbTransactions[[#This Row],[Unit Cost]]*tbTransactions[[#This Row],[Exchange Rate]]</f>
        <v>2490.2919999999999</v>
      </c>
      <c r="I724" s="442" t="s">
        <v>638</v>
      </c>
      <c r="J724" s="444" t="s">
        <v>646</v>
      </c>
      <c r="K724" s="183" t="str">
        <f>IF(tbTransactions[[#This Row],[Sub-Type]]="Transfer","Neutral",IF(tbTransactions[[#This Row],[Qty]]&lt;0,"Debit",IF(tbTransactions[[#This Row],[Qty]]&gt;0,"Credit","Neutral")))</f>
        <v>Credit</v>
      </c>
      <c r="L724" s="444" t="s">
        <v>532</v>
      </c>
      <c r="M724" s="443" t="s">
        <v>674</v>
      </c>
    </row>
    <row r="725" spans="3:13" ht="30" customHeight="1" x14ac:dyDescent="0.25">
      <c r="C725" s="26">
        <v>723</v>
      </c>
      <c r="D725" s="27">
        <v>44483</v>
      </c>
      <c r="E725" s="23">
        <v>-2485</v>
      </c>
      <c r="F725" s="23">
        <v>1</v>
      </c>
      <c r="G725" s="24">
        <v>1</v>
      </c>
      <c r="H725" s="28">
        <f>tbTransactions[[#This Row],[Qty]]*tbTransactions[[#This Row],[Unit Cost]]*tbTransactions[[#This Row],[Exchange Rate]]</f>
        <v>-2485</v>
      </c>
      <c r="I725" s="442" t="s">
        <v>526</v>
      </c>
      <c r="J725" s="444" t="s">
        <v>418</v>
      </c>
      <c r="K725" s="183" t="str">
        <f>IF(tbTransactions[[#This Row],[Sub-Type]]="Transfer","Neutral",IF(tbTransactions[[#This Row],[Qty]]&lt;0,"Debit",IF(tbTransactions[[#This Row],[Qty]]&gt;0,"Credit","Neutral")))</f>
        <v>Debit</v>
      </c>
      <c r="L725" s="444" t="s">
        <v>529</v>
      </c>
      <c r="M725" s="443" t="s">
        <v>674</v>
      </c>
    </row>
    <row r="726" spans="3:13" ht="30" customHeight="1" x14ac:dyDescent="0.25">
      <c r="C726" s="26">
        <v>724</v>
      </c>
      <c r="D726" s="27">
        <v>44483</v>
      </c>
      <c r="E726" s="23">
        <v>-15</v>
      </c>
      <c r="F726" s="23">
        <v>1</v>
      </c>
      <c r="G726" s="24">
        <v>1</v>
      </c>
      <c r="H726" s="28">
        <f>tbTransactions[[#This Row],[Qty]]*tbTransactions[[#This Row],[Unit Cost]]*tbTransactions[[#This Row],[Exchange Rate]]</f>
        <v>-15</v>
      </c>
      <c r="I726" s="442" t="s">
        <v>526</v>
      </c>
      <c r="J726" s="444" t="s">
        <v>418</v>
      </c>
      <c r="K726" s="183" t="str">
        <f>IF(tbTransactions[[#This Row],[Sub-Type]]="Transfer","Neutral",IF(tbTransactions[[#This Row],[Qty]]&lt;0,"Debit",IF(tbTransactions[[#This Row],[Qty]]&gt;0,"Credit","Neutral")))</f>
        <v>Debit</v>
      </c>
      <c r="L726" s="444" t="s">
        <v>14</v>
      </c>
      <c r="M726" s="443" t="s">
        <v>674</v>
      </c>
    </row>
    <row r="727" spans="3:13" ht="30" customHeight="1" x14ac:dyDescent="0.25">
      <c r="C727" s="26">
        <v>725</v>
      </c>
      <c r="D727" s="27">
        <v>44483</v>
      </c>
      <c r="E727" s="23">
        <v>-1.3935600000000001E-3</v>
      </c>
      <c r="F727" s="23">
        <v>1.55</v>
      </c>
      <c r="G727" s="24">
        <v>1</v>
      </c>
      <c r="H727" s="28">
        <f>tbTransactions[[#This Row],[Qty]]*tbTransactions[[#This Row],[Unit Cost]]*tbTransactions[[#This Row],[Exchange Rate]]</f>
        <v>-2.1600180000000001E-3</v>
      </c>
      <c r="I727" s="442" t="s">
        <v>638</v>
      </c>
      <c r="J727" s="444" t="s">
        <v>437</v>
      </c>
      <c r="K727" s="183" t="str">
        <f>IF(tbTransactions[[#This Row],[Sub-Type]]="Transfer","Neutral",IF(tbTransactions[[#This Row],[Qty]]&lt;0,"Debit",IF(tbTransactions[[#This Row],[Qty]]&gt;0,"Credit","Neutral")))</f>
        <v>Debit</v>
      </c>
      <c r="L727" s="444" t="s">
        <v>14</v>
      </c>
      <c r="M727" s="443" t="s">
        <v>674</v>
      </c>
    </row>
    <row r="728" spans="3:13" ht="30" customHeight="1" x14ac:dyDescent="0.25">
      <c r="C728" s="26">
        <v>726</v>
      </c>
      <c r="D728" s="27">
        <v>44484</v>
      </c>
      <c r="E728" s="23">
        <v>2.97761938E-2</v>
      </c>
      <c r="F728" s="23">
        <v>0</v>
      </c>
      <c r="G728" s="24">
        <v>1</v>
      </c>
      <c r="H728" s="28">
        <f>tbTransactions[[#This Row],[Qty]]*tbTransactions[[#This Row],[Unit Cost]]*tbTransactions[[#This Row],[Exchange Rate]]</f>
        <v>0</v>
      </c>
      <c r="I728" s="100" t="s">
        <v>539</v>
      </c>
      <c r="J728" s="228" t="s">
        <v>22</v>
      </c>
      <c r="K728" s="183" t="str">
        <f>IF(tbTransactions[[#This Row],[Sub-Type]]="Transfer","Neutral",IF(tbTransactions[[#This Row],[Qty]]&lt;0,"Debit",IF(tbTransactions[[#This Row],[Qty]]&gt;0,"Credit","Neutral")))</f>
        <v>Credit</v>
      </c>
      <c r="L728" s="174" t="s">
        <v>546</v>
      </c>
      <c r="M728" s="180" t="s">
        <v>481</v>
      </c>
    </row>
    <row r="729" spans="3:13" ht="30" customHeight="1" x14ac:dyDescent="0.25">
      <c r="C729" s="26">
        <v>727</v>
      </c>
      <c r="D729" s="27">
        <v>44485</v>
      </c>
      <c r="E729" s="23">
        <v>2009.38</v>
      </c>
      <c r="F729" s="23">
        <v>1.23</v>
      </c>
      <c r="G729" s="24">
        <v>1</v>
      </c>
      <c r="H729" s="28">
        <f>tbTransactions[[#This Row],[Qty]]*tbTransactions[[#This Row],[Unit Cost]]*tbTransactions[[#This Row],[Exchange Rate]]</f>
        <v>2471.5374000000002</v>
      </c>
      <c r="I729" s="442" t="s">
        <v>638</v>
      </c>
      <c r="J729" s="444" t="s">
        <v>646</v>
      </c>
      <c r="K729" s="183" t="str">
        <f>IF(tbTransactions[[#This Row],[Sub-Type]]="Transfer","Neutral",IF(tbTransactions[[#This Row],[Qty]]&lt;0,"Debit",IF(tbTransactions[[#This Row],[Qty]]&gt;0,"Credit","Neutral")))</f>
        <v>Credit</v>
      </c>
      <c r="L729" s="444" t="s">
        <v>532</v>
      </c>
      <c r="M729" s="443" t="s">
        <v>674</v>
      </c>
    </row>
    <row r="730" spans="3:13" ht="30" customHeight="1" x14ac:dyDescent="0.25">
      <c r="C730" s="26">
        <v>728</v>
      </c>
      <c r="D730" s="27">
        <v>44485</v>
      </c>
      <c r="E730" s="23">
        <v>-2485</v>
      </c>
      <c r="F730" s="23">
        <v>1</v>
      </c>
      <c r="G730" s="24">
        <v>1</v>
      </c>
      <c r="H730" s="28">
        <f>tbTransactions[[#This Row],[Qty]]*tbTransactions[[#This Row],[Unit Cost]]*tbTransactions[[#This Row],[Exchange Rate]]</f>
        <v>-2485</v>
      </c>
      <c r="I730" s="442" t="s">
        <v>526</v>
      </c>
      <c r="J730" s="444" t="s">
        <v>418</v>
      </c>
      <c r="K730" s="183" t="str">
        <f>IF(tbTransactions[[#This Row],[Sub-Type]]="Transfer","Neutral",IF(tbTransactions[[#This Row],[Qty]]&lt;0,"Debit",IF(tbTransactions[[#This Row],[Qty]]&gt;0,"Credit","Neutral")))</f>
        <v>Debit</v>
      </c>
      <c r="L730" s="444" t="s">
        <v>529</v>
      </c>
      <c r="M730" s="443" t="s">
        <v>674</v>
      </c>
    </row>
    <row r="731" spans="3:13" ht="30" customHeight="1" x14ac:dyDescent="0.25">
      <c r="C731" s="26">
        <v>729</v>
      </c>
      <c r="D731" s="27">
        <v>44485</v>
      </c>
      <c r="E731" s="23">
        <v>-15</v>
      </c>
      <c r="F731" s="23">
        <v>1</v>
      </c>
      <c r="G731" s="24">
        <v>1</v>
      </c>
      <c r="H731" s="28">
        <f>tbTransactions[[#This Row],[Qty]]*tbTransactions[[#This Row],[Unit Cost]]*tbTransactions[[#This Row],[Exchange Rate]]</f>
        <v>-15</v>
      </c>
      <c r="I731" s="442" t="s">
        <v>526</v>
      </c>
      <c r="J731" s="444" t="s">
        <v>418</v>
      </c>
      <c r="K731" s="183" t="str">
        <f>IF(tbTransactions[[#This Row],[Sub-Type]]="Transfer","Neutral",IF(tbTransactions[[#This Row],[Qty]]&lt;0,"Debit",IF(tbTransactions[[#This Row],[Qty]]&gt;0,"Credit","Neutral")))</f>
        <v>Debit</v>
      </c>
      <c r="L731" s="444" t="s">
        <v>14</v>
      </c>
      <c r="M731" s="443" t="s">
        <v>674</v>
      </c>
    </row>
    <row r="732" spans="3:13" ht="30" customHeight="1" x14ac:dyDescent="0.25">
      <c r="C732" s="26">
        <v>730</v>
      </c>
      <c r="D732" s="27">
        <v>44485</v>
      </c>
      <c r="E732" s="23">
        <v>-1.3935600000000001E-3</v>
      </c>
      <c r="F732" s="23">
        <v>1.9</v>
      </c>
      <c r="G732" s="24">
        <v>1</v>
      </c>
      <c r="H732" s="28">
        <f>tbTransactions[[#This Row],[Qty]]*tbTransactions[[#This Row],[Unit Cost]]*tbTransactions[[#This Row],[Exchange Rate]]</f>
        <v>-2.6477639999999999E-3</v>
      </c>
      <c r="I732" s="442" t="s">
        <v>638</v>
      </c>
      <c r="J732" s="444" t="s">
        <v>437</v>
      </c>
      <c r="K732" s="183" t="str">
        <f>IF(tbTransactions[[#This Row],[Sub-Type]]="Transfer","Neutral",IF(tbTransactions[[#This Row],[Qty]]&lt;0,"Debit",IF(tbTransactions[[#This Row],[Qty]]&gt;0,"Credit","Neutral")))</f>
        <v>Debit</v>
      </c>
      <c r="L732" s="444" t="s">
        <v>14</v>
      </c>
      <c r="M732" s="443" t="s">
        <v>674</v>
      </c>
    </row>
    <row r="733" spans="3:13" ht="30" customHeight="1" x14ac:dyDescent="0.25">
      <c r="C733" s="26">
        <v>731</v>
      </c>
      <c r="D733" s="27">
        <v>44485</v>
      </c>
      <c r="E733" s="450">
        <v>-3.5720000000000001E-3</v>
      </c>
      <c r="F733" s="450">
        <v>1.89</v>
      </c>
      <c r="G733" s="24">
        <v>1</v>
      </c>
      <c r="H733" s="28">
        <f>tbTransactions[[#This Row],[Qty]]*tbTransactions[[#This Row],[Unit Cost]]*tbTransactions[[#This Row],[Exchange Rate]]</f>
        <v>-6.7510799999999996E-3</v>
      </c>
      <c r="I733" s="431" t="s">
        <v>638</v>
      </c>
      <c r="J733" s="433" t="s">
        <v>437</v>
      </c>
      <c r="K733" s="183" t="str">
        <f>IF(tbTransactions[[#This Row],[Sub-Type]]="Transfer","Neutral",IF(tbTransactions[[#This Row],[Qty]]&lt;0,"Debit",IF(tbTransactions[[#This Row],[Qty]]&gt;0,"Credit","Neutral")))</f>
        <v>Debit</v>
      </c>
      <c r="L733" s="433" t="s">
        <v>14</v>
      </c>
      <c r="M733" s="450" t="s">
        <v>692</v>
      </c>
    </row>
    <row r="734" spans="3:13" ht="30" customHeight="1" x14ac:dyDescent="0.25">
      <c r="C734" s="26">
        <v>732</v>
      </c>
      <c r="D734" s="27">
        <v>44485</v>
      </c>
      <c r="E734" s="23">
        <v>1.0771488870000001</v>
      </c>
      <c r="F734" s="23">
        <v>4779.3500000000004</v>
      </c>
      <c r="G734" s="24">
        <v>1</v>
      </c>
      <c r="H734" s="28">
        <f>tbTransactions[[#This Row],[Qty]]*tbTransactions[[#This Row],[Unit Cost]]*tbTransactions[[#This Row],[Exchange Rate]]</f>
        <v>5148.071533083451</v>
      </c>
      <c r="I734" s="431" t="s">
        <v>638</v>
      </c>
      <c r="J734" s="433" t="s">
        <v>24</v>
      </c>
      <c r="K734" s="183" t="str">
        <f>IF(tbTransactions[[#This Row],[Sub-Type]]="Transfer","Neutral",IF(tbTransactions[[#This Row],[Qty]]&lt;0,"Debit",IF(tbTransactions[[#This Row],[Qty]]&gt;0,"Credit","Neutral")))</f>
        <v>Credit</v>
      </c>
      <c r="L734" s="433" t="s">
        <v>647</v>
      </c>
      <c r="M734" s="450" t="s">
        <v>692</v>
      </c>
    </row>
    <row r="735" spans="3:13" ht="30" customHeight="1" x14ac:dyDescent="0.25">
      <c r="C735" s="26">
        <v>733</v>
      </c>
      <c r="D735" s="27">
        <v>44485</v>
      </c>
      <c r="E735" s="23">
        <v>-4179.3134499999996</v>
      </c>
      <c r="F735" s="23">
        <v>1.23</v>
      </c>
      <c r="G735" s="24">
        <v>1</v>
      </c>
      <c r="H735" s="28">
        <f>tbTransactions[[#This Row],[Qty]]*tbTransactions[[#This Row],[Unit Cost]]*tbTransactions[[#This Row],[Exchange Rate]]</f>
        <v>-5140.5555434999997</v>
      </c>
      <c r="I735" s="431" t="s">
        <v>638</v>
      </c>
      <c r="J735" s="421" t="s">
        <v>646</v>
      </c>
      <c r="K735" s="183" t="str">
        <f>IF(tbTransactions[[#This Row],[Sub-Type]]="Transfer","Neutral",IF(tbTransactions[[#This Row],[Qty]]&lt;0,"Debit",IF(tbTransactions[[#This Row],[Qty]]&gt;0,"Credit","Neutral")))</f>
        <v>Debit</v>
      </c>
      <c r="L735" s="433" t="s">
        <v>647</v>
      </c>
      <c r="M735" s="450" t="s">
        <v>692</v>
      </c>
    </row>
    <row r="736" spans="3:13" ht="30" customHeight="1" x14ac:dyDescent="0.25">
      <c r="C736" s="26">
        <v>734</v>
      </c>
      <c r="D736" s="27">
        <v>44485</v>
      </c>
      <c r="E736" s="23">
        <v>3.0761262300000002E-2</v>
      </c>
      <c r="F736" s="23">
        <v>0</v>
      </c>
      <c r="G736" s="24">
        <v>1</v>
      </c>
      <c r="H736" s="28">
        <f>tbTransactions[[#This Row],[Qty]]*tbTransactions[[#This Row],[Unit Cost]]*tbTransactions[[#This Row],[Exchange Rate]]</f>
        <v>0</v>
      </c>
      <c r="I736" s="100" t="s">
        <v>539</v>
      </c>
      <c r="J736" s="228" t="s">
        <v>22</v>
      </c>
      <c r="K736" s="183" t="str">
        <f>IF(tbTransactions[[#This Row],[Sub-Type]]="Transfer","Neutral",IF(tbTransactions[[#This Row],[Qty]]&lt;0,"Debit",IF(tbTransactions[[#This Row],[Qty]]&gt;0,"Credit","Neutral")))</f>
        <v>Credit</v>
      </c>
      <c r="L736" s="174" t="s">
        <v>546</v>
      </c>
      <c r="M736" s="180" t="s">
        <v>481</v>
      </c>
    </row>
    <row r="737" spans="3:13" ht="30" customHeight="1" x14ac:dyDescent="0.25">
      <c r="C737" s="26">
        <v>735</v>
      </c>
      <c r="D737" s="27">
        <v>44485</v>
      </c>
      <c r="E737" s="23">
        <v>1.5168511000000001E-2</v>
      </c>
      <c r="F737" s="23">
        <v>0</v>
      </c>
      <c r="G737" s="24">
        <v>1</v>
      </c>
      <c r="H737" s="28">
        <f>tbTransactions[[#This Row],[Qty]]*tbTransactions[[#This Row],[Unit Cost]]*tbTransactions[[#This Row],[Exchange Rate]]</f>
        <v>0</v>
      </c>
      <c r="I737" s="449" t="s">
        <v>570</v>
      </c>
      <c r="J737" s="451" t="s">
        <v>24</v>
      </c>
      <c r="K737" s="183" t="str">
        <f>IF(tbTransactions[[#This Row],[Sub-Type]]="Transfer","Neutral",IF(tbTransactions[[#This Row],[Qty]]&lt;0,"Debit",IF(tbTransactions[[#This Row],[Qty]]&gt;0,"Credit","Neutral")))</f>
        <v>Credit</v>
      </c>
      <c r="L737" s="174" t="s">
        <v>546</v>
      </c>
      <c r="M737" s="416" t="s">
        <v>588</v>
      </c>
    </row>
    <row r="738" spans="3:13" ht="30" customHeight="1" x14ac:dyDescent="0.25">
      <c r="C738" s="26">
        <v>736</v>
      </c>
      <c r="D738" s="27">
        <v>44486</v>
      </c>
      <c r="E738" s="23">
        <v>-3.5718299999999998E-3</v>
      </c>
      <c r="F738" s="450">
        <v>1.76</v>
      </c>
      <c r="G738" s="24">
        <v>1</v>
      </c>
      <c r="H738" s="28">
        <f>tbTransactions[[#This Row],[Qty]]*tbTransactions[[#This Row],[Unit Cost]]*tbTransactions[[#This Row],[Exchange Rate]]</f>
        <v>-6.2864207999999994E-3</v>
      </c>
      <c r="I738" s="431" t="s">
        <v>638</v>
      </c>
      <c r="J738" s="433" t="s">
        <v>437</v>
      </c>
      <c r="K738" s="183" t="str">
        <f>IF(tbTransactions[[#This Row],[Sub-Type]]="Transfer","Neutral",IF(tbTransactions[[#This Row],[Qty]]&lt;0,"Debit",IF(tbTransactions[[#This Row],[Qty]]&gt;0,"Credit","Neutral")))</f>
        <v>Debit</v>
      </c>
      <c r="L738" s="433" t="s">
        <v>14</v>
      </c>
      <c r="M738" s="450" t="s">
        <v>692</v>
      </c>
    </row>
    <row r="739" spans="3:13" ht="30" customHeight="1" x14ac:dyDescent="0.25">
      <c r="C739" s="26">
        <v>737</v>
      </c>
      <c r="D739" s="27">
        <v>44486</v>
      </c>
      <c r="E739" s="23">
        <v>0.93400000000000005</v>
      </c>
      <c r="F739" s="23">
        <v>4600</v>
      </c>
      <c r="G739" s="24">
        <v>1</v>
      </c>
      <c r="H739" s="28">
        <f>tbTransactions[[#This Row],[Qty]]*tbTransactions[[#This Row],[Unit Cost]]*tbTransactions[[#This Row],[Exchange Rate]]</f>
        <v>4296.4000000000005</v>
      </c>
      <c r="I739" s="431" t="s">
        <v>638</v>
      </c>
      <c r="J739" s="433" t="s">
        <v>24</v>
      </c>
      <c r="K739" s="183" t="str">
        <f>IF(tbTransactions[[#This Row],[Sub-Type]]="Transfer","Neutral",IF(tbTransactions[[#This Row],[Qty]]&lt;0,"Debit",IF(tbTransactions[[#This Row],[Qty]]&gt;0,"Credit","Neutral")))</f>
        <v>Credit</v>
      </c>
      <c r="L739" s="433" t="s">
        <v>647</v>
      </c>
      <c r="M739" s="450" t="s">
        <v>692</v>
      </c>
    </row>
    <row r="740" spans="3:13" ht="30" customHeight="1" x14ac:dyDescent="0.25">
      <c r="C740" s="26">
        <v>738</v>
      </c>
      <c r="D740" s="27">
        <v>44486</v>
      </c>
      <c r="E740" s="23">
        <v>-3472.4381250000001</v>
      </c>
      <c r="F740" s="23">
        <v>1.24</v>
      </c>
      <c r="G740" s="24">
        <v>1</v>
      </c>
      <c r="H740" s="28">
        <f>tbTransactions[[#This Row],[Qty]]*tbTransactions[[#This Row],[Unit Cost]]*tbTransactions[[#This Row],[Exchange Rate]]</f>
        <v>-4305.8232749999997</v>
      </c>
      <c r="I740" s="431" t="s">
        <v>638</v>
      </c>
      <c r="J740" s="421" t="s">
        <v>646</v>
      </c>
      <c r="K740" s="183" t="str">
        <f>IF(tbTransactions[[#This Row],[Sub-Type]]="Transfer","Neutral",IF(tbTransactions[[#This Row],[Qty]]&lt;0,"Debit",IF(tbTransactions[[#This Row],[Qty]]&gt;0,"Credit","Neutral")))</f>
        <v>Debit</v>
      </c>
      <c r="L740" s="433" t="s">
        <v>647</v>
      </c>
      <c r="M740" s="450" t="s">
        <v>692</v>
      </c>
    </row>
    <row r="741" spans="3:13" ht="30" customHeight="1" x14ac:dyDescent="0.25">
      <c r="C741" s="26">
        <v>739</v>
      </c>
      <c r="D741" s="27">
        <v>44486</v>
      </c>
      <c r="E741" s="23">
        <v>1.271795</v>
      </c>
      <c r="F741" s="23">
        <v>0</v>
      </c>
      <c r="G741" s="24">
        <v>1</v>
      </c>
      <c r="H741" s="28">
        <f>tbTransactions[[#This Row],[Qty]]*tbTransactions[[#This Row],[Unit Cost]]*tbTransactions[[#This Row],[Exchange Rate]]</f>
        <v>0</v>
      </c>
      <c r="I741" s="425" t="s">
        <v>534</v>
      </c>
      <c r="J741" s="426" t="s">
        <v>19</v>
      </c>
      <c r="K741" s="183" t="str">
        <f>IF(tbTransactions[[#This Row],[Sub-Type]]="Transfer","Neutral",IF(tbTransactions[[#This Row],[Qty]]&lt;0,"Debit",IF(tbTransactions[[#This Row],[Qty]]&gt;0,"Credit","Neutral")))</f>
        <v>Credit</v>
      </c>
      <c r="L741" s="426" t="s">
        <v>546</v>
      </c>
      <c r="M741" s="427" t="s">
        <v>441</v>
      </c>
    </row>
    <row r="742" spans="3:13" ht="30" customHeight="1" x14ac:dyDescent="0.25">
      <c r="C742" s="26">
        <v>740</v>
      </c>
      <c r="D742" s="27">
        <v>44486</v>
      </c>
      <c r="E742" s="23">
        <v>2.4185471600000001E-2</v>
      </c>
      <c r="F742" s="23">
        <v>0</v>
      </c>
      <c r="G742" s="24">
        <v>1</v>
      </c>
      <c r="H742" s="28">
        <f>tbTransactions[[#This Row],[Qty]]*tbTransactions[[#This Row],[Unit Cost]]*tbTransactions[[#This Row],[Exchange Rate]]</f>
        <v>0</v>
      </c>
      <c r="I742" s="100" t="s">
        <v>539</v>
      </c>
      <c r="J742" s="228" t="s">
        <v>22</v>
      </c>
      <c r="K742" s="183" t="str">
        <f>IF(tbTransactions[[#This Row],[Sub-Type]]="Transfer","Neutral",IF(tbTransactions[[#This Row],[Qty]]&lt;0,"Debit",IF(tbTransactions[[#This Row],[Qty]]&gt;0,"Credit","Neutral")))</f>
        <v>Credit</v>
      </c>
      <c r="L742" s="174" t="s">
        <v>546</v>
      </c>
      <c r="M742" s="180" t="s">
        <v>481</v>
      </c>
    </row>
    <row r="743" spans="3:13" ht="30" customHeight="1" x14ac:dyDescent="0.25">
      <c r="C743" s="26">
        <v>741</v>
      </c>
      <c r="D743" s="27">
        <v>44486</v>
      </c>
      <c r="E743" s="456">
        <v>-3.50607E-3</v>
      </c>
      <c r="F743" s="23">
        <v>1.82</v>
      </c>
      <c r="G743" s="24">
        <v>1</v>
      </c>
      <c r="H743" s="28">
        <f>tbTransactions[[#This Row],[Qty]]*tbTransactions[[#This Row],[Unit Cost]]*tbTransactions[[#This Row],[Exchange Rate]]</f>
        <v>-6.3810474000000001E-3</v>
      </c>
      <c r="I743" s="431" t="s">
        <v>638</v>
      </c>
      <c r="J743" s="433" t="s">
        <v>437</v>
      </c>
      <c r="K743" s="183" t="str">
        <f>IF(tbTransactions[[#This Row],[Sub-Type]]="Transfer","Neutral",IF(tbTransactions[[#This Row],[Qty]]&lt;0,"Debit",IF(tbTransactions[[#This Row],[Qty]]&gt;0,"Credit","Neutral")))</f>
        <v>Debit</v>
      </c>
      <c r="L743" s="433" t="s">
        <v>14</v>
      </c>
      <c r="M743" s="456" t="s">
        <v>682</v>
      </c>
    </row>
    <row r="744" spans="3:13" ht="30" customHeight="1" x14ac:dyDescent="0.25">
      <c r="C744" s="26">
        <v>742</v>
      </c>
      <c r="D744" s="27">
        <v>44486</v>
      </c>
      <c r="E744" s="23">
        <v>-0.93400000000000005</v>
      </c>
      <c r="F744" s="23">
        <v>4783</v>
      </c>
      <c r="G744" s="24">
        <v>1</v>
      </c>
      <c r="H744" s="28">
        <f>tbTransactions[[#This Row],[Qty]]*tbTransactions[[#This Row],[Unit Cost]]*tbTransactions[[#This Row],[Exchange Rate]]</f>
        <v>-4467.3220000000001</v>
      </c>
      <c r="I744" s="431" t="s">
        <v>638</v>
      </c>
      <c r="J744" s="433" t="s">
        <v>24</v>
      </c>
      <c r="K744" s="183" t="str">
        <f>IF(tbTransactions[[#This Row],[Sub-Type]]="Transfer","Neutral",IF(tbTransactions[[#This Row],[Qty]]&lt;0,"Debit",IF(tbTransactions[[#This Row],[Qty]]&gt;0,"Credit","Neutral")))</f>
        <v>Debit</v>
      </c>
      <c r="L744" s="433" t="s">
        <v>647</v>
      </c>
      <c r="M744" s="456" t="s">
        <v>682</v>
      </c>
    </row>
    <row r="745" spans="3:13" ht="30" customHeight="1" x14ac:dyDescent="0.25">
      <c r="C745" s="26">
        <v>743</v>
      </c>
      <c r="D745" s="27">
        <v>44486</v>
      </c>
      <c r="E745" s="23">
        <v>3606.6472210000002</v>
      </c>
      <c r="F745" s="23">
        <v>1.24</v>
      </c>
      <c r="G745" s="24">
        <v>1</v>
      </c>
      <c r="H745" s="28">
        <f>tbTransactions[[#This Row],[Qty]]*tbTransactions[[#This Row],[Unit Cost]]*tbTransactions[[#This Row],[Exchange Rate]]</f>
        <v>4472.24255404</v>
      </c>
      <c r="I745" s="431" t="s">
        <v>638</v>
      </c>
      <c r="J745" s="421" t="s">
        <v>646</v>
      </c>
      <c r="K745" s="183" t="str">
        <f>IF(tbTransactions[[#This Row],[Sub-Type]]="Transfer","Neutral",IF(tbTransactions[[#This Row],[Qty]]&lt;0,"Debit",IF(tbTransactions[[#This Row],[Qty]]&gt;0,"Credit","Neutral")))</f>
        <v>Credit</v>
      </c>
      <c r="L745" s="433" t="s">
        <v>647</v>
      </c>
      <c r="M745" s="456" t="s">
        <v>682</v>
      </c>
    </row>
    <row r="746" spans="3:13" ht="30" customHeight="1" x14ac:dyDescent="0.25">
      <c r="C746" s="26">
        <v>744</v>
      </c>
      <c r="D746" s="27">
        <v>44487</v>
      </c>
      <c r="E746" s="464">
        <v>-9.4700000000000003E-4</v>
      </c>
      <c r="F746" s="23">
        <v>1.84</v>
      </c>
      <c r="G746" s="24">
        <v>1</v>
      </c>
      <c r="H746" s="28">
        <f>tbTransactions[[#This Row],[Qty]]*tbTransactions[[#This Row],[Unit Cost]]*tbTransactions[[#This Row],[Exchange Rate]]</f>
        <v>-1.7424800000000002E-3</v>
      </c>
      <c r="I746" s="431" t="s">
        <v>638</v>
      </c>
      <c r="J746" s="433" t="s">
        <v>437</v>
      </c>
      <c r="K746" s="183" t="str">
        <f>IF(tbTransactions[[#This Row],[Sub-Type]]="Transfer","Neutral",IF(tbTransactions[[#This Row],[Qty]]&lt;0,"Debit",IF(tbTransactions[[#This Row],[Qty]]&gt;0,"Credit","Neutral")))</f>
        <v>Debit</v>
      </c>
      <c r="L746" s="433" t="s">
        <v>14</v>
      </c>
      <c r="M746" s="464" t="s">
        <v>660</v>
      </c>
    </row>
    <row r="747" spans="3:13" ht="30" customHeight="1" x14ac:dyDescent="0.25">
      <c r="C747" s="26">
        <v>745</v>
      </c>
      <c r="D747" s="27">
        <v>44487</v>
      </c>
      <c r="E747" s="23">
        <v>3.0961686499999998E-2</v>
      </c>
      <c r="F747" s="23">
        <v>0</v>
      </c>
      <c r="G747" s="24">
        <v>1</v>
      </c>
      <c r="H747" s="28">
        <f>tbTransactions[[#This Row],[Qty]]*tbTransactions[[#This Row],[Unit Cost]]*tbTransactions[[#This Row],[Exchange Rate]]</f>
        <v>0</v>
      </c>
      <c r="I747" s="100" t="s">
        <v>539</v>
      </c>
      <c r="J747" s="228" t="s">
        <v>22</v>
      </c>
      <c r="K747" s="183" t="str">
        <f>IF(tbTransactions[[#This Row],[Sub-Type]]="Transfer","Neutral",IF(tbTransactions[[#This Row],[Qty]]&lt;0,"Debit",IF(tbTransactions[[#This Row],[Qty]]&gt;0,"Credit","Neutral")))</f>
        <v>Credit</v>
      </c>
      <c r="L747" s="174" t="s">
        <v>546</v>
      </c>
      <c r="M747" s="180" t="s">
        <v>481</v>
      </c>
    </row>
    <row r="748" spans="3:13" ht="30" customHeight="1" x14ac:dyDescent="0.25">
      <c r="C748" s="26">
        <v>746</v>
      </c>
      <c r="D748" s="27">
        <v>44488</v>
      </c>
      <c r="E748" s="23">
        <v>-8.0059045985003997E-3</v>
      </c>
      <c r="F748" s="23">
        <v>4688</v>
      </c>
      <c r="G748" s="24">
        <v>1</v>
      </c>
      <c r="H748" s="28">
        <f>tbTransactions[[#This Row],[Qty]]*tbTransactions[[#This Row],[Unit Cost]]*tbTransactions[[#This Row],[Exchange Rate]]</f>
        <v>-37.531680757769877</v>
      </c>
      <c r="I748" s="466" t="s">
        <v>537</v>
      </c>
      <c r="J748" s="468" t="s">
        <v>24</v>
      </c>
      <c r="K748" s="183" t="str">
        <f>IF(tbTransactions[[#This Row],[Sub-Type]]="Transfer","Neutral",IF(tbTransactions[[#This Row],[Qty]]&lt;0,"Debit",IF(tbTransactions[[#This Row],[Qty]]&gt;0,"Credit","Neutral")))</f>
        <v>Debit</v>
      </c>
      <c r="L748" s="468" t="s">
        <v>14</v>
      </c>
      <c r="M748" s="467" t="s">
        <v>731</v>
      </c>
    </row>
    <row r="749" spans="3:13" ht="30" customHeight="1" x14ac:dyDescent="0.25">
      <c r="C749" s="26">
        <v>747</v>
      </c>
      <c r="D749" s="27">
        <v>44488</v>
      </c>
      <c r="E749" s="23">
        <v>-473.91060498000002</v>
      </c>
      <c r="F749" s="23">
        <v>0.88669100000000001</v>
      </c>
      <c r="G749" s="24">
        <v>1</v>
      </c>
      <c r="H749" s="28">
        <f>tbTransactions[[#This Row],[Qty]]*tbTransactions[[#This Row],[Unit Cost]]*tbTransactions[[#This Row],[Exchange Rate]]</f>
        <v>-420.21226824032118</v>
      </c>
      <c r="I749" s="466" t="s">
        <v>537</v>
      </c>
      <c r="J749" s="468" t="s">
        <v>584</v>
      </c>
      <c r="K749" s="183" t="str">
        <f>IF(tbTransactions[[#This Row],[Sub-Type]]="Transfer","Neutral",IF(tbTransactions[[#This Row],[Qty]]&lt;0,"Debit",IF(tbTransactions[[#This Row],[Qty]]&gt;0,"Credit","Neutral")))</f>
        <v>Debit</v>
      </c>
      <c r="L749" s="468" t="s">
        <v>647</v>
      </c>
      <c r="M749" s="467" t="s">
        <v>731</v>
      </c>
    </row>
    <row r="750" spans="3:13" ht="30" customHeight="1" x14ac:dyDescent="0.25">
      <c r="C750" s="26">
        <v>748</v>
      </c>
      <c r="D750" s="27">
        <v>44488</v>
      </c>
      <c r="E750" s="23">
        <v>8.9620122385274906E-2</v>
      </c>
      <c r="F750" s="23">
        <v>4688</v>
      </c>
      <c r="G750" s="24">
        <v>1</v>
      </c>
      <c r="H750" s="28">
        <f>tbTransactions[[#This Row],[Qty]]*tbTransactions[[#This Row],[Unit Cost]]*tbTransactions[[#This Row],[Exchange Rate]]</f>
        <v>420.13913374216878</v>
      </c>
      <c r="I750" s="466" t="s">
        <v>537</v>
      </c>
      <c r="J750" s="468" t="s">
        <v>24</v>
      </c>
      <c r="K750" s="183" t="str">
        <f>IF(tbTransactions[[#This Row],[Sub-Type]]="Transfer","Neutral",IF(tbTransactions[[#This Row],[Qty]]&lt;0,"Debit",IF(tbTransactions[[#This Row],[Qty]]&gt;0,"Credit","Neutral")))</f>
        <v>Credit</v>
      </c>
      <c r="L750" s="468" t="s">
        <v>647</v>
      </c>
      <c r="M750" s="467" t="s">
        <v>731</v>
      </c>
    </row>
    <row r="751" spans="3:13" ht="30" customHeight="1" x14ac:dyDescent="0.25">
      <c r="C751" s="26">
        <v>749</v>
      </c>
      <c r="D751" s="27">
        <v>44488</v>
      </c>
      <c r="E751" s="23">
        <v>348</v>
      </c>
      <c r="F751" s="23">
        <v>41.0871</v>
      </c>
      <c r="G751" s="24">
        <v>1</v>
      </c>
      <c r="H751" s="28">
        <f>tbTransactions[[#This Row],[Qty]]*tbTransactions[[#This Row],[Unit Cost]]*tbTransactions[[#This Row],[Exchange Rate]]</f>
        <v>14298.310799999999</v>
      </c>
      <c r="I751" s="552" t="s">
        <v>761</v>
      </c>
      <c r="J751" s="468" t="s">
        <v>732</v>
      </c>
      <c r="K751" s="183" t="str">
        <f>IF(tbTransactions[[#This Row],[Sub-Type]]="Transfer","Neutral",IF(tbTransactions[[#This Row],[Qty]]&lt;0,"Debit",IF(tbTransactions[[#This Row],[Qty]]&gt;0,"Credit","Neutral")))</f>
        <v>Credit</v>
      </c>
      <c r="L751" s="468" t="s">
        <v>547</v>
      </c>
      <c r="M751" s="467" t="s">
        <v>744</v>
      </c>
    </row>
    <row r="752" spans="3:13" ht="30" customHeight="1" x14ac:dyDescent="0.25">
      <c r="C752" s="26">
        <v>750</v>
      </c>
      <c r="D752" s="27">
        <v>44488</v>
      </c>
      <c r="E752" s="23">
        <v>-14298.310799999999</v>
      </c>
      <c r="F752" s="23">
        <v>1</v>
      </c>
      <c r="G752" s="24">
        <v>1</v>
      </c>
      <c r="H752" s="28">
        <f>tbTransactions[[#This Row],[Qty]]*tbTransactions[[#This Row],[Unit Cost]]*tbTransactions[[#This Row],[Exchange Rate]]</f>
        <v>-14298.310799999999</v>
      </c>
      <c r="I752" s="552" t="s">
        <v>761</v>
      </c>
      <c r="J752" s="468" t="s">
        <v>415</v>
      </c>
      <c r="K752" s="183" t="str">
        <f>IF(tbTransactions[[#This Row],[Sub-Type]]="Transfer","Neutral",IF(tbTransactions[[#This Row],[Qty]]&lt;0,"Debit",IF(tbTransactions[[#This Row],[Qty]]&gt;0,"Credit","Neutral")))</f>
        <v>Debit</v>
      </c>
      <c r="L752" s="468" t="s">
        <v>547</v>
      </c>
      <c r="M752" s="467" t="s">
        <v>744</v>
      </c>
    </row>
    <row r="753" spans="3:13" ht="30" customHeight="1" x14ac:dyDescent="0.25">
      <c r="C753" s="26">
        <v>751</v>
      </c>
      <c r="D753" s="27">
        <v>44488</v>
      </c>
      <c r="E753" s="23">
        <v>121</v>
      </c>
      <c r="F753" s="23">
        <v>41.29</v>
      </c>
      <c r="G753" s="24">
        <v>1</v>
      </c>
      <c r="H753" s="28">
        <f>tbTransactions[[#This Row],[Qty]]*tbTransactions[[#This Row],[Unit Cost]]*tbTransactions[[#This Row],[Exchange Rate]]</f>
        <v>4996.09</v>
      </c>
      <c r="I753" s="552" t="s">
        <v>761</v>
      </c>
      <c r="J753" s="468" t="s">
        <v>732</v>
      </c>
      <c r="K753" s="183" t="str">
        <f>IF(tbTransactions[[#This Row],[Sub-Type]]="Transfer","Neutral",IF(tbTransactions[[#This Row],[Qty]]&lt;0,"Debit",IF(tbTransactions[[#This Row],[Qty]]&gt;0,"Credit","Neutral")))</f>
        <v>Credit</v>
      </c>
      <c r="L753" s="468" t="s">
        <v>547</v>
      </c>
      <c r="M753" s="467" t="s">
        <v>744</v>
      </c>
    </row>
    <row r="754" spans="3:13" ht="30" customHeight="1" x14ac:dyDescent="0.25">
      <c r="C754" s="26">
        <v>752</v>
      </c>
      <c r="D754" s="27">
        <v>44488</v>
      </c>
      <c r="E754" s="23">
        <v>-4996.09</v>
      </c>
      <c r="F754" s="23">
        <v>1</v>
      </c>
      <c r="G754" s="24">
        <v>1</v>
      </c>
      <c r="H754" s="28">
        <f>tbTransactions[[#This Row],[Qty]]*tbTransactions[[#This Row],[Unit Cost]]*tbTransactions[[#This Row],[Exchange Rate]]</f>
        <v>-4996.09</v>
      </c>
      <c r="I754" s="552" t="s">
        <v>761</v>
      </c>
      <c r="J754" s="468" t="s">
        <v>415</v>
      </c>
      <c r="K754" s="183" t="str">
        <f>IF(tbTransactions[[#This Row],[Sub-Type]]="Transfer","Neutral",IF(tbTransactions[[#This Row],[Qty]]&lt;0,"Debit",IF(tbTransactions[[#This Row],[Qty]]&gt;0,"Credit","Neutral")))</f>
        <v>Debit</v>
      </c>
      <c r="L754" s="468" t="s">
        <v>547</v>
      </c>
      <c r="M754" s="467" t="s">
        <v>744</v>
      </c>
    </row>
    <row r="755" spans="3:13" ht="30" customHeight="1" x14ac:dyDescent="0.25">
      <c r="C755" s="26">
        <v>753</v>
      </c>
      <c r="D755" s="27">
        <v>44493</v>
      </c>
      <c r="E755" s="23">
        <v>143</v>
      </c>
      <c r="F755" s="23">
        <v>0</v>
      </c>
      <c r="G755" s="24">
        <v>1</v>
      </c>
      <c r="H755" s="28">
        <f>tbTransactions[[#This Row],[Qty]]*tbTransactions[[#This Row],[Unit Cost]]*tbTransactions[[#This Row],[Exchange Rate]]</f>
        <v>0</v>
      </c>
      <c r="I755" s="186" t="s">
        <v>559</v>
      </c>
      <c r="J755" s="187" t="s">
        <v>455</v>
      </c>
      <c r="K755" s="183" t="str">
        <f>IF(tbTransactions[[#This Row],[Sub-Type]]="Transfer","Neutral",IF(tbTransactions[[#This Row],[Qty]]&lt;0,"Debit",IF(tbTransactions[[#This Row],[Qty]]&gt;0,"Credit","Neutral")))</f>
        <v>Credit</v>
      </c>
      <c r="L755" s="174" t="s">
        <v>546</v>
      </c>
      <c r="M755" s="202" t="s">
        <v>572</v>
      </c>
    </row>
    <row r="756" spans="3:13" ht="30" customHeight="1" x14ac:dyDescent="0.25">
      <c r="C756" s="26">
        <v>754</v>
      </c>
      <c r="D756" s="27">
        <v>44489</v>
      </c>
      <c r="E756" s="23">
        <v>-2.3270000000000001E-3</v>
      </c>
      <c r="F756" s="23">
        <v>4779.1400000000003</v>
      </c>
      <c r="G756" s="24">
        <v>1</v>
      </c>
      <c r="H756" s="28">
        <f>tbTransactions[[#This Row],[Qty]]*tbTransactions[[#This Row],[Unit Cost]]*tbTransactions[[#This Row],[Exchange Rate]]</f>
        <v>-11.12105878</v>
      </c>
      <c r="I756" s="504" t="s">
        <v>537</v>
      </c>
      <c r="J756" s="506" t="s">
        <v>24</v>
      </c>
      <c r="K756" s="183" t="str">
        <f>IF(tbTransactions[[#This Row],[Sub-Type]]="Transfer","Neutral",IF(tbTransactions[[#This Row],[Qty]]&lt;0,"Debit",IF(tbTransactions[[#This Row],[Qty]]&gt;0,"Credit","Neutral")))</f>
        <v>Debit</v>
      </c>
      <c r="L756" s="506" t="s">
        <v>14</v>
      </c>
      <c r="M756" s="505" t="s">
        <v>748</v>
      </c>
    </row>
    <row r="757" spans="3:13" ht="30" customHeight="1" x14ac:dyDescent="0.25">
      <c r="C757" s="26">
        <v>755</v>
      </c>
      <c r="D757" s="27">
        <v>44489</v>
      </c>
      <c r="E757" s="23">
        <v>-2.1849999999999999E-3</v>
      </c>
      <c r="F757" s="23">
        <v>4779.1400000000003</v>
      </c>
      <c r="G757" s="24">
        <v>1</v>
      </c>
      <c r="H757" s="28">
        <f>tbTransactions[[#This Row],[Qty]]*tbTransactions[[#This Row],[Unit Cost]]*tbTransactions[[#This Row],[Exchange Rate]]</f>
        <v>-10.4424209</v>
      </c>
      <c r="I757" s="504" t="s">
        <v>537</v>
      </c>
      <c r="J757" s="506" t="s">
        <v>24</v>
      </c>
      <c r="K757" s="183" t="str">
        <f>IF(tbTransactions[[#This Row],[Sub-Type]]="Transfer","Neutral",IF(tbTransactions[[#This Row],[Qty]]&lt;0,"Debit",IF(tbTransactions[[#This Row],[Qty]]&gt;0,"Credit","Neutral")))</f>
        <v>Debit</v>
      </c>
      <c r="L757" s="506" t="s">
        <v>14</v>
      </c>
      <c r="M757" s="505" t="s">
        <v>748</v>
      </c>
    </row>
    <row r="758" spans="3:13" ht="30" customHeight="1" x14ac:dyDescent="0.25">
      <c r="C758" s="26">
        <v>756</v>
      </c>
      <c r="D758" s="27">
        <v>44489</v>
      </c>
      <c r="E758" s="23">
        <v>-4.071E-3</v>
      </c>
      <c r="F758" s="23">
        <v>4779.1400000000003</v>
      </c>
      <c r="G758" s="24">
        <v>1</v>
      </c>
      <c r="H758" s="28">
        <f>tbTransactions[[#This Row],[Qty]]*tbTransactions[[#This Row],[Unit Cost]]*tbTransactions[[#This Row],[Exchange Rate]]</f>
        <v>-19.455878940000002</v>
      </c>
      <c r="I758" s="504" t="s">
        <v>537</v>
      </c>
      <c r="J758" s="506" t="s">
        <v>24</v>
      </c>
      <c r="K758" s="183" t="str">
        <f>IF(tbTransactions[[#This Row],[Sub-Type]]="Transfer","Neutral",IF(tbTransactions[[#This Row],[Qty]]&lt;0,"Debit",IF(tbTransactions[[#This Row],[Qty]]&gt;0,"Credit","Neutral")))</f>
        <v>Debit</v>
      </c>
      <c r="L758" s="506" t="s">
        <v>14</v>
      </c>
      <c r="M758" s="546" t="s">
        <v>760</v>
      </c>
    </row>
    <row r="759" spans="3:13" ht="30" customHeight="1" x14ac:dyDescent="0.25">
      <c r="C759" s="26">
        <v>757</v>
      </c>
      <c r="D759" s="27">
        <v>44489</v>
      </c>
      <c r="E759" s="23">
        <v>-4.3200000000000001E-3</v>
      </c>
      <c r="F759" s="23">
        <v>1.87</v>
      </c>
      <c r="G759" s="24">
        <v>1</v>
      </c>
      <c r="H759" s="28">
        <f>tbTransactions[[#This Row],[Qty]]*tbTransactions[[#This Row],[Unit Cost]]*tbTransactions[[#This Row],[Exchange Rate]]</f>
        <v>-8.0784000000000012E-3</v>
      </c>
      <c r="I759" s="431" t="s">
        <v>638</v>
      </c>
      <c r="J759" s="433" t="s">
        <v>437</v>
      </c>
      <c r="K759" s="183" t="str">
        <f>IF(tbTransactions[[#This Row],[Sub-Type]]="Transfer","Neutral",IF(tbTransactions[[#This Row],[Qty]]&lt;0,"Debit",IF(tbTransactions[[#This Row],[Qty]]&gt;0,"Credit","Neutral")))</f>
        <v>Debit</v>
      </c>
      <c r="L759" s="433" t="s">
        <v>14</v>
      </c>
      <c r="M759" s="456" t="s">
        <v>682</v>
      </c>
    </row>
    <row r="760" spans="3:13" ht="30" customHeight="1" x14ac:dyDescent="0.25">
      <c r="C760" s="26">
        <v>758</v>
      </c>
      <c r="D760" s="27">
        <v>44489</v>
      </c>
      <c r="E760" s="23">
        <v>-0.93459999999999999</v>
      </c>
      <c r="F760" s="23">
        <v>5007.8</v>
      </c>
      <c r="G760" s="24">
        <v>1</v>
      </c>
      <c r="H760" s="28">
        <f>tbTransactions[[#This Row],[Qty]]*tbTransactions[[#This Row],[Unit Cost]]*tbTransactions[[#This Row],[Exchange Rate]]</f>
        <v>-4680.2898800000003</v>
      </c>
      <c r="I760" s="431" t="s">
        <v>638</v>
      </c>
      <c r="J760" s="433" t="s">
        <v>24</v>
      </c>
      <c r="K760" s="183" t="str">
        <f>IF(tbTransactions[[#This Row],[Sub-Type]]="Transfer","Neutral",IF(tbTransactions[[#This Row],[Qty]]&lt;0,"Debit",IF(tbTransactions[[#This Row],[Qty]]&gt;0,"Credit","Neutral")))</f>
        <v>Debit</v>
      </c>
      <c r="L760" s="433" t="s">
        <v>647</v>
      </c>
      <c r="M760" s="456" t="s">
        <v>682</v>
      </c>
    </row>
    <row r="761" spans="3:13" ht="30" customHeight="1" x14ac:dyDescent="0.25">
      <c r="C761" s="26">
        <v>759</v>
      </c>
      <c r="D761" s="27">
        <v>44489</v>
      </c>
      <c r="E761" s="23">
        <v>3775.2753349999998</v>
      </c>
      <c r="F761" s="23">
        <v>1.24</v>
      </c>
      <c r="G761" s="24">
        <v>1</v>
      </c>
      <c r="H761" s="28">
        <f>tbTransactions[[#This Row],[Qty]]*tbTransactions[[#This Row],[Unit Cost]]*tbTransactions[[#This Row],[Exchange Rate]]</f>
        <v>4681.3414154000002</v>
      </c>
      <c r="I761" s="431" t="s">
        <v>638</v>
      </c>
      <c r="J761" s="421" t="s">
        <v>646</v>
      </c>
      <c r="K761" s="183" t="str">
        <f>IF(tbTransactions[[#This Row],[Sub-Type]]="Transfer","Neutral",IF(tbTransactions[[#This Row],[Qty]]&lt;0,"Debit",IF(tbTransactions[[#This Row],[Qty]]&gt;0,"Credit","Neutral")))</f>
        <v>Credit</v>
      </c>
      <c r="L761" s="433" t="s">
        <v>647</v>
      </c>
      <c r="M761" s="456" t="s">
        <v>682</v>
      </c>
    </row>
    <row r="762" spans="3:13" ht="30" customHeight="1" x14ac:dyDescent="0.25">
      <c r="C762" s="26">
        <v>760</v>
      </c>
      <c r="D762" s="27">
        <v>44489</v>
      </c>
      <c r="E762" s="23">
        <v>2.2914281500000001E-2</v>
      </c>
      <c r="F762" s="23">
        <v>0</v>
      </c>
      <c r="G762" s="24">
        <v>1</v>
      </c>
      <c r="H762" s="28">
        <f>tbTransactions[[#This Row],[Qty]]*tbTransactions[[#This Row],[Unit Cost]]*tbTransactions[[#This Row],[Exchange Rate]]</f>
        <v>0</v>
      </c>
      <c r="I762" s="100" t="s">
        <v>539</v>
      </c>
      <c r="J762" s="228" t="s">
        <v>22</v>
      </c>
      <c r="K762" s="183" t="str">
        <f>IF(tbTransactions[[#This Row],[Sub-Type]]="Transfer","Neutral",IF(tbTransactions[[#This Row],[Qty]]&lt;0,"Debit",IF(tbTransactions[[#This Row],[Qty]]&gt;0,"Credit","Neutral")))</f>
        <v>Credit</v>
      </c>
      <c r="L762" s="174" t="s">
        <v>546</v>
      </c>
      <c r="M762" s="180" t="s">
        <v>481</v>
      </c>
    </row>
    <row r="763" spans="3:13" ht="30" customHeight="1" x14ac:dyDescent="0.25">
      <c r="C763" s="26">
        <v>761</v>
      </c>
      <c r="D763" s="27">
        <v>44489</v>
      </c>
      <c r="E763" s="23">
        <v>-223</v>
      </c>
      <c r="F763" s="23">
        <v>43.16</v>
      </c>
      <c r="G763" s="24">
        <v>1</v>
      </c>
      <c r="H763" s="28">
        <f>tbTransactions[[#This Row],[Qty]]*tbTransactions[[#This Row],[Unit Cost]]*tbTransactions[[#This Row],[Exchange Rate]]</f>
        <v>-9624.6799999999985</v>
      </c>
      <c r="I763" s="552" t="s">
        <v>761</v>
      </c>
      <c r="J763" s="545" t="s">
        <v>732</v>
      </c>
      <c r="K763" s="183" t="str">
        <f>IF(tbTransactions[[#This Row],[Sub-Type]]="Transfer","Neutral",IF(tbTransactions[[#This Row],[Qty]]&lt;0,"Debit",IF(tbTransactions[[#This Row],[Qty]]&gt;0,"Credit","Neutral")))</f>
        <v>Debit</v>
      </c>
      <c r="L763" s="545" t="s">
        <v>758</v>
      </c>
      <c r="M763" s="544" t="s">
        <v>759</v>
      </c>
    </row>
    <row r="764" spans="3:13" ht="30" customHeight="1" x14ac:dyDescent="0.25">
      <c r="C764" s="26">
        <v>762</v>
      </c>
      <c r="D764" s="27">
        <v>44489</v>
      </c>
      <c r="E764" s="23">
        <v>-9624.6799999999985</v>
      </c>
      <c r="F764" s="23">
        <v>1</v>
      </c>
      <c r="G764" s="24">
        <v>1</v>
      </c>
      <c r="H764" s="28">
        <f>tbTransactions[[#This Row],[Qty]]*tbTransactions[[#This Row],[Unit Cost]]*tbTransactions[[#This Row],[Exchange Rate]]</f>
        <v>-9624.6799999999985</v>
      </c>
      <c r="I764" s="552" t="s">
        <v>761</v>
      </c>
      <c r="J764" s="545" t="s">
        <v>415</v>
      </c>
      <c r="K764" s="183" t="str">
        <f>IF(tbTransactions[[#This Row],[Sub-Type]]="Transfer","Neutral",IF(tbTransactions[[#This Row],[Qty]]&lt;0,"Debit",IF(tbTransactions[[#This Row],[Qty]]&gt;0,"Credit","Neutral")))</f>
        <v>Debit</v>
      </c>
      <c r="L764" s="545" t="s">
        <v>758</v>
      </c>
      <c r="M764" s="544" t="s">
        <v>759</v>
      </c>
    </row>
    <row r="765" spans="3:13" ht="30" customHeight="1" x14ac:dyDescent="0.25">
      <c r="C765" s="26">
        <v>763</v>
      </c>
      <c r="D765" s="27">
        <v>44490</v>
      </c>
      <c r="E765" s="23">
        <v>3.1170366200000001E-2</v>
      </c>
      <c r="F765" s="23">
        <v>0</v>
      </c>
      <c r="G765" s="24">
        <v>1</v>
      </c>
      <c r="H765" s="28">
        <f>tbTransactions[[#This Row],[Qty]]*tbTransactions[[#This Row],[Unit Cost]]*tbTransactions[[#This Row],[Exchange Rate]]</f>
        <v>0</v>
      </c>
      <c r="I765" s="100" t="s">
        <v>539</v>
      </c>
      <c r="J765" s="228" t="s">
        <v>22</v>
      </c>
      <c r="K765" s="183" t="str">
        <f>IF(tbTransactions[[#This Row],[Sub-Type]]="Transfer","Neutral",IF(tbTransactions[[#This Row],[Qty]]&lt;0,"Debit",IF(tbTransactions[[#This Row],[Qty]]&gt;0,"Credit","Neutral")))</f>
        <v>Credit</v>
      </c>
      <c r="L765" s="174" t="s">
        <v>546</v>
      </c>
      <c r="M765" s="180" t="s">
        <v>481</v>
      </c>
    </row>
    <row r="766" spans="3:13" ht="30" customHeight="1" x14ac:dyDescent="0.25">
      <c r="C766" s="26">
        <v>764</v>
      </c>
      <c r="D766" s="27">
        <v>44490</v>
      </c>
      <c r="E766" s="23">
        <v>246</v>
      </c>
      <c r="F766" s="23">
        <v>41</v>
      </c>
      <c r="G766" s="24">
        <v>1</v>
      </c>
      <c r="H766" s="28">
        <f>tbTransactions[[#This Row],[Qty]]*tbTransactions[[#This Row],[Unit Cost]]*tbTransactions[[#This Row],[Exchange Rate]]</f>
        <v>10086</v>
      </c>
      <c r="I766" s="552" t="s">
        <v>761</v>
      </c>
      <c r="J766" s="545" t="s">
        <v>732</v>
      </c>
      <c r="K766" s="183" t="str">
        <f>IF(tbTransactions[[#This Row],[Sub-Type]]="Transfer","Neutral",IF(tbTransactions[[#This Row],[Qty]]&lt;0,"Debit",IF(tbTransactions[[#This Row],[Qty]]&gt;0,"Credit","Neutral")))</f>
        <v>Credit</v>
      </c>
      <c r="L766" s="468" t="s">
        <v>547</v>
      </c>
      <c r="M766" s="544" t="s">
        <v>744</v>
      </c>
    </row>
    <row r="767" spans="3:13" ht="30" customHeight="1" x14ac:dyDescent="0.25">
      <c r="C767" s="26">
        <v>765</v>
      </c>
      <c r="D767" s="27">
        <v>44490</v>
      </c>
      <c r="E767" s="23">
        <v>-10086</v>
      </c>
      <c r="F767" s="23">
        <v>1</v>
      </c>
      <c r="G767" s="24">
        <v>1</v>
      </c>
      <c r="H767" s="28">
        <f>tbTransactions[[#This Row],[Qty]]*tbTransactions[[#This Row],[Unit Cost]]*tbTransactions[[#This Row],[Exchange Rate]]</f>
        <v>-10086</v>
      </c>
      <c r="I767" s="552" t="s">
        <v>761</v>
      </c>
      <c r="J767" s="545" t="s">
        <v>415</v>
      </c>
      <c r="K767" s="183" t="str">
        <f>IF(tbTransactions[[#This Row],[Sub-Type]]="Transfer","Neutral",IF(tbTransactions[[#This Row],[Qty]]&lt;0,"Debit",IF(tbTransactions[[#This Row],[Qty]]&gt;0,"Credit","Neutral")))</f>
        <v>Debit</v>
      </c>
      <c r="L767" s="569" t="s">
        <v>550</v>
      </c>
      <c r="M767" s="544" t="s">
        <v>744</v>
      </c>
    </row>
    <row r="768" spans="3:13" ht="30" customHeight="1" x14ac:dyDescent="0.25">
      <c r="C768" s="26">
        <v>766</v>
      </c>
      <c r="D768" s="27">
        <v>44491</v>
      </c>
      <c r="E768" s="23">
        <v>-2.1210000000000001E-3</v>
      </c>
      <c r="F768" s="23">
        <v>5079</v>
      </c>
      <c r="G768" s="24">
        <v>1</v>
      </c>
      <c r="H768" s="28">
        <f>tbTransactions[[#This Row],[Qty]]*tbTransactions[[#This Row],[Unit Cost]]*tbTransactions[[#This Row],[Exchange Rate]]</f>
        <v>-10.772559000000001</v>
      </c>
      <c r="I768" s="504" t="s">
        <v>537</v>
      </c>
      <c r="J768" s="506" t="s">
        <v>24</v>
      </c>
      <c r="K768" s="183" t="str">
        <f>IF(tbTransactions[[#This Row],[Sub-Type]]="Transfer","Neutral",IF(tbTransactions[[#This Row],[Qty]]&lt;0,"Debit",IF(tbTransactions[[#This Row],[Qty]]&gt;0,"Credit","Neutral")))</f>
        <v>Debit</v>
      </c>
      <c r="L768" s="506" t="s">
        <v>14</v>
      </c>
      <c r="M768" s="546" t="s">
        <v>760</v>
      </c>
    </row>
    <row r="769" spans="3:13" ht="30" customHeight="1" x14ac:dyDescent="0.25">
      <c r="C769" s="26">
        <v>767</v>
      </c>
      <c r="D769" s="27">
        <v>44491</v>
      </c>
      <c r="E769" s="23">
        <v>1.396749</v>
      </c>
      <c r="F769" s="23">
        <v>0</v>
      </c>
      <c r="G769" s="24">
        <v>1</v>
      </c>
      <c r="H769" s="28">
        <f>tbTransactions[[#This Row],[Qty]]*tbTransactions[[#This Row],[Unit Cost]]*tbTransactions[[#This Row],[Exchange Rate]]</f>
        <v>0</v>
      </c>
      <c r="I769" s="547" t="s">
        <v>534</v>
      </c>
      <c r="J769" s="548" t="s">
        <v>19</v>
      </c>
      <c r="K769" s="183" t="str">
        <f>IF(tbTransactions[[#This Row],[Sub-Type]]="Transfer","Neutral",IF(tbTransactions[[#This Row],[Qty]]&lt;0,"Debit",IF(tbTransactions[[#This Row],[Qty]]&gt;0,"Credit","Neutral")))</f>
        <v>Credit</v>
      </c>
      <c r="L769" s="548" t="s">
        <v>546</v>
      </c>
      <c r="M769" s="546" t="s">
        <v>441</v>
      </c>
    </row>
    <row r="770" spans="3:13" ht="30" customHeight="1" x14ac:dyDescent="0.25">
      <c r="C770" s="26">
        <v>768</v>
      </c>
      <c r="D770" s="27">
        <v>44491</v>
      </c>
      <c r="E770" s="23">
        <v>3.2933002199999999E-2</v>
      </c>
      <c r="F770" s="23">
        <v>0</v>
      </c>
      <c r="G770" s="24">
        <v>1</v>
      </c>
      <c r="H770" s="28">
        <f>tbTransactions[[#This Row],[Qty]]*tbTransactions[[#This Row],[Unit Cost]]*tbTransactions[[#This Row],[Exchange Rate]]</f>
        <v>0</v>
      </c>
      <c r="I770" s="100" t="s">
        <v>539</v>
      </c>
      <c r="J770" s="228" t="s">
        <v>22</v>
      </c>
      <c r="K770" s="183" t="str">
        <f>IF(tbTransactions[[#This Row],[Sub-Type]]="Transfer","Neutral",IF(tbTransactions[[#This Row],[Qty]]&lt;0,"Debit",IF(tbTransactions[[#This Row],[Qty]]&gt;0,"Credit","Neutral")))</f>
        <v>Credit</v>
      </c>
      <c r="L770" s="174" t="s">
        <v>546</v>
      </c>
      <c r="M770" s="180" t="s">
        <v>481</v>
      </c>
    </row>
    <row r="771" spans="3:13" ht="30" customHeight="1" x14ac:dyDescent="0.25">
      <c r="C771" s="26">
        <v>769</v>
      </c>
      <c r="D771" s="27">
        <v>44492</v>
      </c>
      <c r="E771" s="23">
        <v>3.25467932E-2</v>
      </c>
      <c r="F771" s="23">
        <v>0</v>
      </c>
      <c r="G771" s="24">
        <v>1</v>
      </c>
      <c r="H771" s="28">
        <f>tbTransactions[[#This Row],[Qty]]*tbTransactions[[#This Row],[Unit Cost]]*tbTransactions[[#This Row],[Exchange Rate]]</f>
        <v>0</v>
      </c>
      <c r="I771" s="100" t="s">
        <v>539</v>
      </c>
      <c r="J771" s="228" t="s">
        <v>22</v>
      </c>
      <c r="K771" s="183" t="str">
        <f>IF(tbTransactions[[#This Row],[Sub-Type]]="Transfer","Neutral",IF(tbTransactions[[#This Row],[Qty]]&lt;0,"Debit",IF(tbTransactions[[#This Row],[Qty]]&gt;0,"Credit","Neutral")))</f>
        <v>Credit</v>
      </c>
      <c r="L771" s="174" t="s">
        <v>546</v>
      </c>
      <c r="M771" s="180" t="s">
        <v>481</v>
      </c>
    </row>
    <row r="772" spans="3:13" ht="30" customHeight="1" x14ac:dyDescent="0.25">
      <c r="C772" s="26">
        <v>770</v>
      </c>
      <c r="D772" s="27">
        <v>44493</v>
      </c>
      <c r="E772" s="23">
        <v>1.6398112999999999E-2</v>
      </c>
      <c r="F772" s="23">
        <v>0</v>
      </c>
      <c r="G772" s="24">
        <v>1</v>
      </c>
      <c r="H772" s="28">
        <f>tbTransactions[[#This Row],[Qty]]*tbTransactions[[#This Row],[Unit Cost]]*tbTransactions[[#This Row],[Exchange Rate]]</f>
        <v>0</v>
      </c>
      <c r="I772" s="449" t="s">
        <v>570</v>
      </c>
      <c r="J772" s="451" t="s">
        <v>24</v>
      </c>
      <c r="K772" s="183" t="str">
        <f>IF(tbTransactions[[#This Row],[Sub-Type]]="Transfer","Neutral",IF(tbTransactions[[#This Row],[Qty]]&lt;0,"Debit",IF(tbTransactions[[#This Row],[Qty]]&gt;0,"Credit","Neutral")))</f>
        <v>Credit</v>
      </c>
      <c r="L772" s="174" t="s">
        <v>546</v>
      </c>
      <c r="M772" s="416" t="s">
        <v>588</v>
      </c>
    </row>
    <row r="773" spans="3:13" ht="30" customHeight="1" x14ac:dyDescent="0.25">
      <c r="C773" s="26">
        <v>771</v>
      </c>
      <c r="D773" s="27">
        <v>44494</v>
      </c>
      <c r="E773" s="23">
        <v>3.5795647700000002E-2</v>
      </c>
      <c r="F773" s="23">
        <v>0</v>
      </c>
      <c r="G773" s="24">
        <v>1</v>
      </c>
      <c r="H773" s="28">
        <f>tbTransactions[[#This Row],[Qty]]*tbTransactions[[#This Row],[Unit Cost]]*tbTransactions[[#This Row],[Exchange Rate]]</f>
        <v>0</v>
      </c>
      <c r="I773" s="100" t="s">
        <v>539</v>
      </c>
      <c r="J773" s="228" t="s">
        <v>22</v>
      </c>
      <c r="K773" s="183" t="str">
        <f>IF(tbTransactions[[#This Row],[Sub-Type]]="Transfer","Neutral",IF(tbTransactions[[#This Row],[Qty]]&lt;0,"Debit",IF(tbTransactions[[#This Row],[Qty]]&gt;0,"Credit","Neutral")))</f>
        <v>Credit</v>
      </c>
      <c r="L773" s="174" t="s">
        <v>546</v>
      </c>
      <c r="M773" s="180" t="s">
        <v>481</v>
      </c>
    </row>
    <row r="774" spans="3:13" ht="30" customHeight="1" x14ac:dyDescent="0.25">
      <c r="C774" s="26">
        <v>772</v>
      </c>
      <c r="D774" s="27">
        <v>44495</v>
      </c>
      <c r="E774" s="23">
        <v>-1380</v>
      </c>
      <c r="F774" s="23">
        <v>6.85</v>
      </c>
      <c r="G774" s="24">
        <v>1</v>
      </c>
      <c r="H774" s="28">
        <f>tbTransactions[[#This Row],[Qty]]*tbTransactions[[#This Row],[Unit Cost]]*tbTransactions[[#This Row],[Exchange Rate]]</f>
        <v>-9453</v>
      </c>
      <c r="I774" s="552" t="s">
        <v>762</v>
      </c>
      <c r="J774" s="554" t="s">
        <v>54</v>
      </c>
      <c r="K774" s="183" t="str">
        <f>IF(tbTransactions[[#This Row],[Sub-Type]]="Transfer","Neutral",IF(tbTransactions[[#This Row],[Qty]]&lt;0,"Debit",IF(tbTransactions[[#This Row],[Qty]]&gt;0,"Credit","Neutral")))</f>
        <v>Debit</v>
      </c>
      <c r="L774" s="545" t="s">
        <v>758</v>
      </c>
      <c r="M774" s="553" t="s">
        <v>764</v>
      </c>
    </row>
    <row r="775" spans="3:13" ht="30" customHeight="1" x14ac:dyDescent="0.25">
      <c r="C775" s="26">
        <v>773</v>
      </c>
      <c r="D775" s="27">
        <v>44495</v>
      </c>
      <c r="E775" s="23">
        <v>9453</v>
      </c>
      <c r="F775" s="23">
        <v>1</v>
      </c>
      <c r="G775" s="24">
        <v>1</v>
      </c>
      <c r="H775" s="28">
        <f>tbTransactions[[#This Row],[Qty]]*tbTransactions[[#This Row],[Unit Cost]]*tbTransactions[[#This Row],[Exchange Rate]]</f>
        <v>9453</v>
      </c>
      <c r="I775" s="552" t="s">
        <v>762</v>
      </c>
      <c r="J775" s="554" t="s">
        <v>418</v>
      </c>
      <c r="K775" s="183" t="str">
        <f>IF(tbTransactions[[#This Row],[Sub-Type]]="Transfer","Neutral",IF(tbTransactions[[#This Row],[Qty]]&lt;0,"Debit",IF(tbTransactions[[#This Row],[Qty]]&gt;0,"Credit","Neutral")))</f>
        <v>Credit</v>
      </c>
      <c r="L775" s="569" t="s">
        <v>772</v>
      </c>
      <c r="M775" s="553" t="s">
        <v>764</v>
      </c>
    </row>
    <row r="776" spans="3:13" ht="30" customHeight="1" x14ac:dyDescent="0.25">
      <c r="C776" s="26">
        <v>774</v>
      </c>
      <c r="D776" s="27">
        <v>44495</v>
      </c>
      <c r="E776" s="23">
        <v>811</v>
      </c>
      <c r="F776" s="23">
        <v>11.62</v>
      </c>
      <c r="G776" s="24">
        <v>1</v>
      </c>
      <c r="H776" s="28">
        <f>tbTransactions[[#This Row],[Qty]]*tbTransactions[[#This Row],[Unit Cost]]*tbTransactions[[#This Row],[Exchange Rate]]</f>
        <v>9423.82</v>
      </c>
      <c r="I776" s="552" t="s">
        <v>762</v>
      </c>
      <c r="J776" s="554" t="s">
        <v>779</v>
      </c>
      <c r="K776" s="183" t="str">
        <f>IF(tbTransactions[[#This Row],[Sub-Type]]="Transfer","Neutral",IF(tbTransactions[[#This Row],[Qty]]&lt;0,"Debit",IF(tbTransactions[[#This Row],[Qty]]&gt;0,"Credit","Neutral")))</f>
        <v>Credit</v>
      </c>
      <c r="L776" s="468" t="s">
        <v>547</v>
      </c>
      <c r="M776" s="553" t="s">
        <v>780</v>
      </c>
    </row>
    <row r="777" spans="3:13" ht="30" customHeight="1" x14ac:dyDescent="0.25">
      <c r="C777" s="26">
        <v>775</v>
      </c>
      <c r="D777" s="27">
        <v>44495</v>
      </c>
      <c r="E777" s="23">
        <v>-9423.82</v>
      </c>
      <c r="F777" s="23">
        <v>1</v>
      </c>
      <c r="G777" s="24">
        <v>1</v>
      </c>
      <c r="H777" s="28">
        <f>tbTransactions[[#This Row],[Qty]]*tbTransactions[[#This Row],[Unit Cost]]*tbTransactions[[#This Row],[Exchange Rate]]</f>
        <v>-9423.82</v>
      </c>
      <c r="I777" s="552" t="s">
        <v>762</v>
      </c>
      <c r="J777" s="554" t="s">
        <v>418</v>
      </c>
      <c r="K777" s="183" t="str">
        <f>IF(tbTransactions[[#This Row],[Sub-Type]]="Transfer","Neutral",IF(tbTransactions[[#This Row],[Qty]]&lt;0,"Debit",IF(tbTransactions[[#This Row],[Qty]]&gt;0,"Credit","Neutral")))</f>
        <v>Debit</v>
      </c>
      <c r="L777" s="569" t="s">
        <v>550</v>
      </c>
      <c r="M777" s="553" t="s">
        <v>780</v>
      </c>
    </row>
    <row r="778" spans="3:13" ht="30" customHeight="1" x14ac:dyDescent="0.25">
      <c r="C778" s="26">
        <v>776</v>
      </c>
      <c r="D778" s="27">
        <v>44495</v>
      </c>
      <c r="E778" s="23">
        <v>-1.4009999999999999E-3</v>
      </c>
      <c r="F778" s="23">
        <v>2.2599999999999998</v>
      </c>
      <c r="G778" s="24">
        <v>1</v>
      </c>
      <c r="H778" s="28">
        <f>tbTransactions[[#This Row],[Qty]]*tbTransactions[[#This Row],[Unit Cost]]*tbTransactions[[#This Row],[Exchange Rate]]</f>
        <v>-3.1662599999999993E-3</v>
      </c>
      <c r="I778" s="552" t="s">
        <v>638</v>
      </c>
      <c r="J778" s="554" t="s">
        <v>437</v>
      </c>
      <c r="K778" s="183" t="str">
        <f>IF(tbTransactions[[#This Row],[Sub-Type]]="Transfer","Neutral",IF(tbTransactions[[#This Row],[Qty]]&lt;0,"Debit",IF(tbTransactions[[#This Row],[Qty]]&gt;0,"Credit","Neutral")))</f>
        <v>Debit</v>
      </c>
      <c r="L778" s="554" t="s">
        <v>14</v>
      </c>
      <c r="M778" s="553" t="s">
        <v>765</v>
      </c>
    </row>
    <row r="779" spans="3:13" ht="30" customHeight="1" x14ac:dyDescent="0.25">
      <c r="C779" s="26">
        <v>777</v>
      </c>
      <c r="D779" s="27">
        <v>44495</v>
      </c>
      <c r="E779" s="23">
        <v>-2.3609999999999998E-3</v>
      </c>
      <c r="F779" s="23">
        <v>2.2599999999999998</v>
      </c>
      <c r="G779" s="24">
        <v>1</v>
      </c>
      <c r="H779" s="28">
        <f>tbTransactions[[#This Row],[Qty]]*tbTransactions[[#This Row],[Unit Cost]]*tbTransactions[[#This Row],[Exchange Rate]]</f>
        <v>-5.3358599999999987E-3</v>
      </c>
      <c r="I779" s="552" t="s">
        <v>638</v>
      </c>
      <c r="J779" s="554" t="s">
        <v>437</v>
      </c>
      <c r="K779" s="183" t="str">
        <f>IF(tbTransactions[[#This Row],[Sub-Type]]="Transfer","Neutral",IF(tbTransactions[[#This Row],[Qty]]&lt;0,"Debit",IF(tbTransactions[[#This Row],[Qty]]&gt;0,"Credit","Neutral")))</f>
        <v>Debit</v>
      </c>
      <c r="L779" s="554" t="s">
        <v>14</v>
      </c>
      <c r="M779" s="553" t="s">
        <v>766</v>
      </c>
    </row>
    <row r="780" spans="3:13" ht="30" customHeight="1" x14ac:dyDescent="0.25">
      <c r="C780" s="26">
        <v>778</v>
      </c>
      <c r="D780" s="27">
        <v>44495</v>
      </c>
      <c r="E780" s="23">
        <v>-2.3609999999999998E-3</v>
      </c>
      <c r="F780" s="23">
        <v>2.2599999999999998</v>
      </c>
      <c r="G780" s="24">
        <v>1</v>
      </c>
      <c r="H780" s="28">
        <f>tbTransactions[[#This Row],[Qty]]*tbTransactions[[#This Row],[Unit Cost]]*tbTransactions[[#This Row],[Exchange Rate]]</f>
        <v>-5.3358599999999987E-3</v>
      </c>
      <c r="I780" s="552" t="s">
        <v>638</v>
      </c>
      <c r="J780" s="554" t="s">
        <v>437</v>
      </c>
      <c r="K780" s="183" t="str">
        <f>IF(tbTransactions[[#This Row],[Sub-Type]]="Transfer","Neutral",IF(tbTransactions[[#This Row],[Qty]]&lt;0,"Debit",IF(tbTransactions[[#This Row],[Qty]]&gt;0,"Credit","Neutral")))</f>
        <v>Debit</v>
      </c>
      <c r="L780" s="554" t="s">
        <v>14</v>
      </c>
      <c r="M780" s="553" t="s">
        <v>766</v>
      </c>
    </row>
    <row r="781" spans="3:13" ht="30" customHeight="1" x14ac:dyDescent="0.25">
      <c r="C781" s="26">
        <v>779</v>
      </c>
      <c r="D781" s="27">
        <v>44495</v>
      </c>
      <c r="E781" s="23">
        <v>-1.472E-3</v>
      </c>
      <c r="F781" s="23">
        <v>2.2599999999999998</v>
      </c>
      <c r="G781" s="24">
        <v>1</v>
      </c>
      <c r="H781" s="28">
        <f>tbTransactions[[#This Row],[Qty]]*tbTransactions[[#This Row],[Unit Cost]]*tbTransactions[[#This Row],[Exchange Rate]]</f>
        <v>-3.3267199999999996E-3</v>
      </c>
      <c r="I781" s="552" t="s">
        <v>638</v>
      </c>
      <c r="J781" s="554" t="s">
        <v>437</v>
      </c>
      <c r="K781" s="183" t="str">
        <f>IF(tbTransactions[[#This Row],[Sub-Type]]="Transfer","Neutral",IF(tbTransactions[[#This Row],[Qty]]&lt;0,"Debit",IF(tbTransactions[[#This Row],[Qty]]&gt;0,"Credit","Neutral")))</f>
        <v>Debit</v>
      </c>
      <c r="L781" s="554" t="s">
        <v>14</v>
      </c>
      <c r="M781" s="553" t="s">
        <v>767</v>
      </c>
    </row>
    <row r="782" spans="3:13" ht="30" customHeight="1" x14ac:dyDescent="0.25">
      <c r="C782" s="26">
        <v>780</v>
      </c>
      <c r="D782" s="27">
        <v>44495</v>
      </c>
      <c r="E782" s="23">
        <v>-2.209E-3</v>
      </c>
      <c r="F782" s="23">
        <v>2.25</v>
      </c>
      <c r="G782" s="24">
        <v>1</v>
      </c>
      <c r="H782" s="28">
        <f>tbTransactions[[#This Row],[Qty]]*tbTransactions[[#This Row],[Unit Cost]]*tbTransactions[[#This Row],[Exchange Rate]]</f>
        <v>-4.9702499999999998E-3</v>
      </c>
      <c r="I782" s="552" t="s">
        <v>638</v>
      </c>
      <c r="J782" s="554" t="s">
        <v>437</v>
      </c>
      <c r="K782" s="183" t="str">
        <f>IF(tbTransactions[[#This Row],[Sub-Type]]="Transfer","Neutral",IF(tbTransactions[[#This Row],[Qty]]&lt;0,"Debit",IF(tbTransactions[[#This Row],[Qty]]&gt;0,"Credit","Neutral")))</f>
        <v>Debit</v>
      </c>
      <c r="L782" s="554" t="s">
        <v>14</v>
      </c>
      <c r="M782" s="553" t="s">
        <v>768</v>
      </c>
    </row>
    <row r="783" spans="3:13" ht="30" customHeight="1" x14ac:dyDescent="0.25">
      <c r="C783" s="26">
        <v>781</v>
      </c>
      <c r="D783" s="27">
        <v>44495</v>
      </c>
      <c r="E783" s="23">
        <v>-3.506E-3</v>
      </c>
      <c r="F783" s="23">
        <v>2.25</v>
      </c>
      <c r="G783" s="24">
        <v>1</v>
      </c>
      <c r="H783" s="28">
        <f>tbTransactions[[#This Row],[Qty]]*tbTransactions[[#This Row],[Unit Cost]]*tbTransactions[[#This Row],[Exchange Rate]]</f>
        <v>-7.8884999999999997E-3</v>
      </c>
      <c r="I783" s="552" t="s">
        <v>638</v>
      </c>
      <c r="J783" s="554" t="s">
        <v>437</v>
      </c>
      <c r="K783" s="183" t="str">
        <f>IF(tbTransactions[[#This Row],[Sub-Type]]="Transfer","Neutral",IF(tbTransactions[[#This Row],[Qty]]&lt;0,"Debit",IF(tbTransactions[[#This Row],[Qty]]&gt;0,"Credit","Neutral")))</f>
        <v>Debit</v>
      </c>
      <c r="L783" s="554" t="s">
        <v>14</v>
      </c>
      <c r="M783" s="553" t="s">
        <v>682</v>
      </c>
    </row>
    <row r="784" spans="3:13" ht="30" customHeight="1" x14ac:dyDescent="0.25">
      <c r="C784" s="26">
        <v>782</v>
      </c>
      <c r="D784" s="27">
        <v>44495</v>
      </c>
      <c r="E784" s="23">
        <v>-0.2</v>
      </c>
      <c r="F784" s="23">
        <v>5216.8999999999996</v>
      </c>
      <c r="G784" s="24">
        <v>1</v>
      </c>
      <c r="H784" s="28">
        <f>tbTransactions[[#This Row],[Qty]]*tbTransactions[[#This Row],[Unit Cost]]*tbTransactions[[#This Row],[Exchange Rate]]</f>
        <v>-1043.3799999999999</v>
      </c>
      <c r="I784" s="552" t="s">
        <v>638</v>
      </c>
      <c r="J784" s="554" t="s">
        <v>24</v>
      </c>
      <c r="K784" s="183" t="str">
        <f>IF(tbTransactions[[#This Row],[Sub-Type]]="Transfer","Neutral",IF(tbTransactions[[#This Row],[Qty]]&lt;0,"Debit",IF(tbTransactions[[#This Row],[Qty]]&gt;0,"Credit","Neutral")))</f>
        <v>Debit</v>
      </c>
      <c r="L784" s="554" t="s">
        <v>647</v>
      </c>
      <c r="M784" s="553" t="s">
        <v>682</v>
      </c>
    </row>
    <row r="785" spans="3:13" ht="30" customHeight="1" x14ac:dyDescent="0.25">
      <c r="C785" s="26">
        <v>783</v>
      </c>
      <c r="D785" s="27">
        <v>44495</v>
      </c>
      <c r="E785" s="23">
        <v>838.57371499999999</v>
      </c>
      <c r="F785" s="23">
        <v>1.24</v>
      </c>
      <c r="G785" s="24">
        <v>1</v>
      </c>
      <c r="H785" s="28">
        <f>tbTransactions[[#This Row],[Qty]]*tbTransactions[[#This Row],[Unit Cost]]*tbTransactions[[#This Row],[Exchange Rate]]</f>
        <v>1039.8314066</v>
      </c>
      <c r="I785" s="552" t="s">
        <v>638</v>
      </c>
      <c r="J785" s="554" t="s">
        <v>646</v>
      </c>
      <c r="K785" s="183" t="str">
        <f>IF(tbTransactions[[#This Row],[Sub-Type]]="Transfer","Neutral",IF(tbTransactions[[#This Row],[Qty]]&lt;0,"Debit",IF(tbTransactions[[#This Row],[Qty]]&gt;0,"Credit","Neutral")))</f>
        <v>Credit</v>
      </c>
      <c r="L785" s="554" t="s">
        <v>647</v>
      </c>
      <c r="M785" s="553" t="s">
        <v>682</v>
      </c>
    </row>
    <row r="786" spans="3:13" ht="30" customHeight="1" x14ac:dyDescent="0.25">
      <c r="C786" s="26">
        <v>784</v>
      </c>
      <c r="D786" s="27">
        <v>44495</v>
      </c>
      <c r="E786" s="23">
        <v>3.7003673100000002E-2</v>
      </c>
      <c r="F786" s="23">
        <v>0</v>
      </c>
      <c r="G786" s="24">
        <v>1</v>
      </c>
      <c r="H786" s="28">
        <f>tbTransactions[[#This Row],[Qty]]*tbTransactions[[#This Row],[Unit Cost]]*tbTransactions[[#This Row],[Exchange Rate]]</f>
        <v>0</v>
      </c>
      <c r="I786" s="100" t="s">
        <v>539</v>
      </c>
      <c r="J786" s="228" t="s">
        <v>22</v>
      </c>
      <c r="K786" s="183" t="str">
        <f>IF(tbTransactions[[#This Row],[Sub-Type]]="Transfer","Neutral",IF(tbTransactions[[#This Row],[Qty]]&lt;0,"Debit",IF(tbTransactions[[#This Row],[Qty]]&gt;0,"Credit","Neutral")))</f>
        <v>Credit</v>
      </c>
      <c r="L786" s="174" t="s">
        <v>546</v>
      </c>
      <c r="M786" s="180" t="s">
        <v>481</v>
      </c>
    </row>
    <row r="787" spans="3:13" ht="30" customHeight="1" x14ac:dyDescent="0.25">
      <c r="C787" s="26">
        <v>785</v>
      </c>
      <c r="D787" s="27">
        <v>44495</v>
      </c>
      <c r="E787" s="23">
        <f>69.275627-69.233472</f>
        <v>4.2154999999993947E-2</v>
      </c>
      <c r="F787" s="23">
        <v>0</v>
      </c>
      <c r="G787" s="24">
        <v>1</v>
      </c>
      <c r="H787" s="28">
        <f>tbTransactions[[#This Row],[Qty]]*tbTransactions[[#This Row],[Unit Cost]]*tbTransactions[[#This Row],[Exchange Rate]]</f>
        <v>0</v>
      </c>
      <c r="I787" s="552" t="s">
        <v>445</v>
      </c>
      <c r="J787" s="554" t="s">
        <v>20</v>
      </c>
      <c r="K787" s="183" t="str">
        <f>IF(tbTransactions[[#This Row],[Sub-Type]]="Transfer","Neutral",IF(tbTransactions[[#This Row],[Qty]]&lt;0,"Debit",IF(tbTransactions[[#This Row],[Qty]]&gt;0,"Credit","Neutral")))</f>
        <v>Credit</v>
      </c>
      <c r="L787" s="174" t="s">
        <v>546</v>
      </c>
      <c r="M787" s="553" t="s">
        <v>47</v>
      </c>
    </row>
    <row r="788" spans="3:13" ht="30" customHeight="1" x14ac:dyDescent="0.25">
      <c r="C788" s="26">
        <v>786</v>
      </c>
      <c r="D788" s="27">
        <v>44495</v>
      </c>
      <c r="E788" s="558">
        <v>-3.5718299999999998E-3</v>
      </c>
      <c r="F788" s="23">
        <v>2.14</v>
      </c>
      <c r="G788" s="24">
        <v>1</v>
      </c>
      <c r="H788" s="28">
        <f>tbTransactions[[#This Row],[Qty]]*tbTransactions[[#This Row],[Unit Cost]]*tbTransactions[[#This Row],[Exchange Rate]]</f>
        <v>-7.6437162000000001E-3</v>
      </c>
      <c r="I788" s="552" t="s">
        <v>638</v>
      </c>
      <c r="J788" s="554" t="s">
        <v>437</v>
      </c>
      <c r="K788" s="183" t="str">
        <f>IF(tbTransactions[[#This Row],[Sub-Type]]="Transfer","Neutral",IF(tbTransactions[[#This Row],[Qty]]&lt;0,"Debit",IF(tbTransactions[[#This Row],[Qty]]&gt;0,"Credit","Neutral")))</f>
        <v>Debit</v>
      </c>
      <c r="L788" s="554" t="s">
        <v>14</v>
      </c>
      <c r="M788" s="558" t="s">
        <v>692</v>
      </c>
    </row>
    <row r="789" spans="3:13" ht="30" customHeight="1" x14ac:dyDescent="0.25">
      <c r="C789" s="26">
        <v>787</v>
      </c>
      <c r="D789" s="27">
        <v>44495</v>
      </c>
      <c r="E789" s="23">
        <v>0.25</v>
      </c>
      <c r="F789" s="23">
        <v>5106</v>
      </c>
      <c r="G789" s="24">
        <v>1</v>
      </c>
      <c r="H789" s="28">
        <f>tbTransactions[[#This Row],[Qty]]*tbTransactions[[#This Row],[Unit Cost]]*tbTransactions[[#This Row],[Exchange Rate]]</f>
        <v>1276.5</v>
      </c>
      <c r="I789" s="552" t="s">
        <v>638</v>
      </c>
      <c r="J789" s="554" t="s">
        <v>24</v>
      </c>
      <c r="K789" s="183" t="str">
        <f>IF(tbTransactions[[#This Row],[Sub-Type]]="Transfer","Neutral",IF(tbTransactions[[#This Row],[Qty]]&lt;0,"Debit",IF(tbTransactions[[#This Row],[Qty]]&gt;0,"Credit","Neutral")))</f>
        <v>Credit</v>
      </c>
      <c r="L789" s="554" t="s">
        <v>647</v>
      </c>
      <c r="M789" s="558" t="s">
        <v>692</v>
      </c>
    </row>
    <row r="790" spans="3:13" ht="30" customHeight="1" x14ac:dyDescent="0.25">
      <c r="C790" s="26">
        <v>788</v>
      </c>
      <c r="D790" s="27">
        <v>44495</v>
      </c>
      <c r="E790" s="23">
        <v>-1032.957028</v>
      </c>
      <c r="F790" s="23">
        <v>1.24</v>
      </c>
      <c r="G790" s="24">
        <v>1</v>
      </c>
      <c r="H790" s="28">
        <f>tbTransactions[[#This Row],[Qty]]*tbTransactions[[#This Row],[Unit Cost]]*tbTransactions[[#This Row],[Exchange Rate]]</f>
        <v>-1280.8667147200001</v>
      </c>
      <c r="I790" s="552" t="s">
        <v>638</v>
      </c>
      <c r="J790" s="554" t="s">
        <v>646</v>
      </c>
      <c r="K790" s="183" t="str">
        <f>IF(tbTransactions[[#This Row],[Sub-Type]]="Transfer","Neutral",IF(tbTransactions[[#This Row],[Qty]]&lt;0,"Debit",IF(tbTransactions[[#This Row],[Qty]]&gt;0,"Credit","Neutral")))</f>
        <v>Debit</v>
      </c>
      <c r="L790" s="554" t="s">
        <v>647</v>
      </c>
      <c r="M790" s="558" t="s">
        <v>692</v>
      </c>
    </row>
    <row r="791" spans="3:13" ht="30" customHeight="1" x14ac:dyDescent="0.25">
      <c r="C791" s="26">
        <v>789</v>
      </c>
      <c r="D791" s="27">
        <v>44496</v>
      </c>
      <c r="E791" s="23">
        <v>-3.5718299999999998E-3</v>
      </c>
      <c r="F791" s="23">
        <v>2.16</v>
      </c>
      <c r="G791" s="24">
        <v>1</v>
      </c>
      <c r="H791" s="28">
        <f>tbTransactions[[#This Row],[Qty]]*tbTransactions[[#This Row],[Unit Cost]]*tbTransactions[[#This Row],[Exchange Rate]]</f>
        <v>-7.7151527999999997E-3</v>
      </c>
      <c r="I791" s="552" t="s">
        <v>638</v>
      </c>
      <c r="J791" s="554" t="s">
        <v>437</v>
      </c>
      <c r="K791" s="183" t="str">
        <f>IF(tbTransactions[[#This Row],[Sub-Type]]="Transfer","Neutral",IF(tbTransactions[[#This Row],[Qty]]&lt;0,"Debit",IF(tbTransactions[[#This Row],[Qty]]&gt;0,"Credit","Neutral")))</f>
        <v>Debit</v>
      </c>
      <c r="L791" s="554" t="s">
        <v>14</v>
      </c>
      <c r="M791" s="558" t="s">
        <v>692</v>
      </c>
    </row>
    <row r="792" spans="3:13" ht="30" customHeight="1" x14ac:dyDescent="0.25">
      <c r="C792" s="26">
        <v>790</v>
      </c>
      <c r="D792" s="27">
        <v>44496</v>
      </c>
      <c r="E792" s="23">
        <v>0.35</v>
      </c>
      <c r="F792" s="23">
        <v>4982</v>
      </c>
      <c r="G792" s="24">
        <v>1</v>
      </c>
      <c r="H792" s="28">
        <f>tbTransactions[[#This Row],[Qty]]*tbTransactions[[#This Row],[Unit Cost]]*tbTransactions[[#This Row],[Exchange Rate]]</f>
        <v>1743.6999999999998</v>
      </c>
      <c r="I792" s="552" t="s">
        <v>638</v>
      </c>
      <c r="J792" s="554" t="s">
        <v>24</v>
      </c>
      <c r="K792" s="183" t="str">
        <f>IF(tbTransactions[[#This Row],[Sub-Type]]="Transfer","Neutral",IF(tbTransactions[[#This Row],[Qty]]&lt;0,"Debit",IF(tbTransactions[[#This Row],[Qty]]&gt;0,"Credit","Neutral")))</f>
        <v>Credit</v>
      </c>
      <c r="L792" s="554" t="s">
        <v>647</v>
      </c>
      <c r="M792" s="558" t="s">
        <v>692</v>
      </c>
    </row>
    <row r="793" spans="3:13" ht="30" customHeight="1" x14ac:dyDescent="0.25">
      <c r="C793" s="26">
        <v>791</v>
      </c>
      <c r="D793" s="27">
        <v>44496</v>
      </c>
      <c r="E793" s="23">
        <v>-1409.222888</v>
      </c>
      <c r="F793" s="23">
        <v>1.24</v>
      </c>
      <c r="G793" s="24">
        <v>1</v>
      </c>
      <c r="H793" s="28">
        <f>tbTransactions[[#This Row],[Qty]]*tbTransactions[[#This Row],[Unit Cost]]*tbTransactions[[#This Row],[Exchange Rate]]</f>
        <v>-1747.4363811200001</v>
      </c>
      <c r="I793" s="552" t="s">
        <v>638</v>
      </c>
      <c r="J793" s="554" t="s">
        <v>646</v>
      </c>
      <c r="K793" s="183" t="str">
        <f>IF(tbTransactions[[#This Row],[Sub-Type]]="Transfer","Neutral",IF(tbTransactions[[#This Row],[Qty]]&lt;0,"Debit",IF(tbTransactions[[#This Row],[Qty]]&gt;0,"Credit","Neutral")))</f>
        <v>Debit</v>
      </c>
      <c r="L793" s="554" t="s">
        <v>647</v>
      </c>
      <c r="M793" s="558" t="s">
        <v>692</v>
      </c>
    </row>
    <row r="794" spans="3:13" ht="30" customHeight="1" x14ac:dyDescent="0.25">
      <c r="C794" s="26">
        <v>792</v>
      </c>
      <c r="D794" s="27">
        <v>44496</v>
      </c>
      <c r="E794" s="23">
        <v>4170</v>
      </c>
      <c r="F794" s="23">
        <v>11</v>
      </c>
      <c r="G794" s="24">
        <v>1</v>
      </c>
      <c r="H794" s="28">
        <f>tbTransactions[[#This Row],[Qty]]*tbTransactions[[#This Row],[Unit Cost]]*tbTransactions[[#This Row],[Exchange Rate]]</f>
        <v>45870</v>
      </c>
      <c r="I794" s="567" t="s">
        <v>771</v>
      </c>
      <c r="J794" s="569" t="s">
        <v>779</v>
      </c>
      <c r="K794" s="183" t="str">
        <f>IF(tbTransactions[[#This Row],[Sub-Type]]="Transfer","Neutral",IF(tbTransactions[[#This Row],[Qty]]&lt;0,"Debit",IF(tbTransactions[[#This Row],[Qty]]&gt;0,"Credit","Neutral")))</f>
        <v>Credit</v>
      </c>
      <c r="L794" s="569" t="s">
        <v>547</v>
      </c>
      <c r="M794" s="568" t="s">
        <v>781</v>
      </c>
    </row>
    <row r="795" spans="3:13" ht="30" customHeight="1" x14ac:dyDescent="0.25">
      <c r="C795" s="26">
        <v>793</v>
      </c>
      <c r="D795" s="27">
        <v>44496</v>
      </c>
      <c r="E795" s="23">
        <v>-45870</v>
      </c>
      <c r="F795" s="23">
        <v>1</v>
      </c>
      <c r="G795" s="24">
        <v>1</v>
      </c>
      <c r="H795" s="28">
        <f>tbTransactions[[#This Row],[Qty]]*tbTransactions[[#This Row],[Unit Cost]]*tbTransactions[[#This Row],[Exchange Rate]]</f>
        <v>-45870</v>
      </c>
      <c r="I795" s="567" t="s">
        <v>771</v>
      </c>
      <c r="J795" s="569" t="s">
        <v>418</v>
      </c>
      <c r="K795" s="183" t="str">
        <f>IF(tbTransactions[[#This Row],[Sub-Type]]="Transfer","Neutral",IF(tbTransactions[[#This Row],[Qty]]&lt;0,"Debit",IF(tbTransactions[[#This Row],[Qty]]&gt;0,"Credit","Neutral")))</f>
        <v>Debit</v>
      </c>
      <c r="L795" s="174" t="s">
        <v>550</v>
      </c>
      <c r="M795" s="568" t="s">
        <v>781</v>
      </c>
    </row>
    <row r="796" spans="3:13" ht="30" customHeight="1" x14ac:dyDescent="0.25">
      <c r="C796" s="26">
        <v>794</v>
      </c>
      <c r="D796" s="27">
        <v>44496</v>
      </c>
      <c r="E796" s="23">
        <v>238</v>
      </c>
      <c r="F796" s="23">
        <v>38</v>
      </c>
      <c r="G796" s="24">
        <v>1</v>
      </c>
      <c r="H796" s="28">
        <f>tbTransactions[[#This Row],[Qty]]*tbTransactions[[#This Row],[Unit Cost]]*tbTransactions[[#This Row],[Exchange Rate]]</f>
        <v>9044</v>
      </c>
      <c r="I796" s="567" t="s">
        <v>761</v>
      </c>
      <c r="J796" s="569" t="s">
        <v>732</v>
      </c>
      <c r="K796" s="183" t="str">
        <f>IF(tbTransactions[[#This Row],[Sub-Type]]="Transfer","Neutral",IF(tbTransactions[[#This Row],[Qty]]&lt;0,"Debit",IF(tbTransactions[[#This Row],[Qty]]&gt;0,"Credit","Neutral")))</f>
        <v>Credit</v>
      </c>
      <c r="L796" s="569" t="s">
        <v>547</v>
      </c>
      <c r="M796" s="568" t="s">
        <v>744</v>
      </c>
    </row>
    <row r="797" spans="3:13" ht="30" customHeight="1" x14ac:dyDescent="0.25">
      <c r="C797" s="26">
        <v>795</v>
      </c>
      <c r="D797" s="27">
        <v>44496</v>
      </c>
      <c r="E797" s="23">
        <v>-9044</v>
      </c>
      <c r="F797" s="23">
        <v>1</v>
      </c>
      <c r="G797" s="24">
        <v>1</v>
      </c>
      <c r="H797" s="28">
        <f>tbTransactions[[#This Row],[Qty]]*tbTransactions[[#This Row],[Unit Cost]]*tbTransactions[[#This Row],[Exchange Rate]]</f>
        <v>-9044</v>
      </c>
      <c r="I797" s="567" t="s">
        <v>761</v>
      </c>
      <c r="J797" s="569" t="s">
        <v>415</v>
      </c>
      <c r="K797" s="183" t="str">
        <f>IF(tbTransactions[[#This Row],[Sub-Type]]="Transfer","Neutral",IF(tbTransactions[[#This Row],[Qty]]&lt;0,"Debit",IF(tbTransactions[[#This Row],[Qty]]&gt;0,"Credit","Neutral")))</f>
        <v>Debit</v>
      </c>
      <c r="L797" s="569" t="s">
        <v>550</v>
      </c>
      <c r="M797" s="568" t="s">
        <v>744</v>
      </c>
    </row>
    <row r="798" spans="3:13" ht="30" customHeight="1" x14ac:dyDescent="0.25">
      <c r="C798" s="26">
        <v>796</v>
      </c>
      <c r="D798" s="27">
        <v>44496</v>
      </c>
      <c r="E798" s="23">
        <v>3.5428765700000003E-2</v>
      </c>
      <c r="F798" s="23">
        <v>0</v>
      </c>
      <c r="G798" s="24">
        <v>1</v>
      </c>
      <c r="H798" s="28">
        <f>tbTransactions[[#This Row],[Qty]]*tbTransactions[[#This Row],[Unit Cost]]*tbTransactions[[#This Row],[Exchange Rate]]</f>
        <v>0</v>
      </c>
      <c r="I798" s="100" t="s">
        <v>539</v>
      </c>
      <c r="J798" s="228" t="s">
        <v>22</v>
      </c>
      <c r="K798" s="183" t="str">
        <f>IF(tbTransactions[[#This Row],[Sub-Type]]="Transfer","Neutral",IF(tbTransactions[[#This Row],[Qty]]&lt;0,"Debit",IF(tbTransactions[[#This Row],[Qty]]&gt;0,"Credit","Neutral")))</f>
        <v>Credit</v>
      </c>
      <c r="L798" s="174" t="s">
        <v>546</v>
      </c>
      <c r="M798" s="180" t="s">
        <v>481</v>
      </c>
    </row>
    <row r="799" spans="3:13" ht="30" customHeight="1" x14ac:dyDescent="0.25">
      <c r="C799" s="26">
        <v>797</v>
      </c>
      <c r="D799" s="27">
        <v>44496</v>
      </c>
      <c r="E799" s="568">
        <v>-3.5718299999999998E-3</v>
      </c>
      <c r="F799" s="568">
        <v>2.16</v>
      </c>
      <c r="G799" s="24">
        <v>1</v>
      </c>
      <c r="H799" s="28">
        <f>tbTransactions[[#This Row],[Qty]]*tbTransactions[[#This Row],[Unit Cost]]*tbTransactions[[#This Row],[Exchange Rate]]</f>
        <v>-7.7151527999999997E-3</v>
      </c>
      <c r="I799" s="552" t="s">
        <v>638</v>
      </c>
      <c r="J799" s="554" t="s">
        <v>437</v>
      </c>
      <c r="K799" s="183" t="str">
        <f>IF(tbTransactions[[#This Row],[Sub-Type]]="Transfer","Neutral",IF(tbTransactions[[#This Row],[Qty]]&lt;0,"Debit",IF(tbTransactions[[#This Row],[Qty]]&gt;0,"Credit","Neutral")))</f>
        <v>Debit</v>
      </c>
      <c r="L799" s="554" t="s">
        <v>14</v>
      </c>
      <c r="M799" s="558" t="s">
        <v>692</v>
      </c>
    </row>
    <row r="800" spans="3:13" ht="30" customHeight="1" x14ac:dyDescent="0.25">
      <c r="C800" s="26">
        <v>798</v>
      </c>
      <c r="D800" s="27">
        <v>44496</v>
      </c>
      <c r="E800" s="568">
        <v>0.25</v>
      </c>
      <c r="F800" s="568">
        <v>4910</v>
      </c>
      <c r="G800" s="24">
        <v>1</v>
      </c>
      <c r="H800" s="28">
        <f>tbTransactions[[#This Row],[Qty]]*tbTransactions[[#This Row],[Unit Cost]]*tbTransactions[[#This Row],[Exchange Rate]]</f>
        <v>1227.5</v>
      </c>
      <c r="I800" s="552" t="s">
        <v>638</v>
      </c>
      <c r="J800" s="554" t="s">
        <v>24</v>
      </c>
      <c r="K800" s="183" t="str">
        <f>IF(tbTransactions[[#This Row],[Sub-Type]]="Transfer","Neutral",IF(tbTransactions[[#This Row],[Qty]]&lt;0,"Debit",IF(tbTransactions[[#This Row],[Qty]]&gt;0,"Credit","Neutral")))</f>
        <v>Credit</v>
      </c>
      <c r="L800" s="554" t="s">
        <v>647</v>
      </c>
      <c r="M800" s="558" t="s">
        <v>692</v>
      </c>
    </row>
    <row r="801" spans="3:13" ht="30" customHeight="1" x14ac:dyDescent="0.25">
      <c r="C801" s="26">
        <v>799</v>
      </c>
      <c r="D801" s="27">
        <v>44496</v>
      </c>
      <c r="E801" s="23">
        <v>-993.384817</v>
      </c>
      <c r="F801" s="23">
        <v>1.24</v>
      </c>
      <c r="G801" s="24">
        <v>1</v>
      </c>
      <c r="H801" s="28">
        <f>tbTransactions[[#This Row],[Qty]]*tbTransactions[[#This Row],[Unit Cost]]*tbTransactions[[#This Row],[Exchange Rate]]</f>
        <v>-1231.79717308</v>
      </c>
      <c r="I801" s="552" t="s">
        <v>638</v>
      </c>
      <c r="J801" s="554" t="s">
        <v>646</v>
      </c>
      <c r="K801" s="183" t="str">
        <f>IF(tbTransactions[[#This Row],[Sub-Type]]="Transfer","Neutral",IF(tbTransactions[[#This Row],[Qty]]&lt;0,"Debit",IF(tbTransactions[[#This Row],[Qty]]&gt;0,"Credit","Neutral")))</f>
        <v>Debit</v>
      </c>
      <c r="L801" s="554" t="s">
        <v>647</v>
      </c>
      <c r="M801" s="558" t="s">
        <v>692</v>
      </c>
    </row>
    <row r="802" spans="3:13" ht="30" customHeight="1" x14ac:dyDescent="0.25">
      <c r="C802" s="26">
        <v>800</v>
      </c>
      <c r="D802" s="27">
        <v>44496</v>
      </c>
      <c r="E802" s="23">
        <v>1.4022410000000001</v>
      </c>
      <c r="F802" s="23">
        <v>0</v>
      </c>
      <c r="G802" s="24">
        <v>1</v>
      </c>
      <c r="H802" s="28">
        <f>tbTransactions[[#This Row],[Qty]]*tbTransactions[[#This Row],[Unit Cost]]*tbTransactions[[#This Row],[Exchange Rate]]</f>
        <v>0</v>
      </c>
      <c r="I802" s="547" t="s">
        <v>534</v>
      </c>
      <c r="J802" s="548" t="s">
        <v>19</v>
      </c>
      <c r="K802" s="183" t="str">
        <f>IF(tbTransactions[[#This Row],[Sub-Type]]="Transfer","Neutral",IF(tbTransactions[[#This Row],[Qty]]&lt;0,"Debit",IF(tbTransactions[[#This Row],[Qty]]&gt;0,"Credit","Neutral")))</f>
        <v>Credit</v>
      </c>
      <c r="L802" s="548" t="s">
        <v>546</v>
      </c>
      <c r="M802" s="546" t="s">
        <v>441</v>
      </c>
    </row>
    <row r="803" spans="3:13" ht="30" customHeight="1" x14ac:dyDescent="0.25">
      <c r="C803" s="26">
        <v>801</v>
      </c>
      <c r="D803" s="27">
        <v>44496</v>
      </c>
      <c r="E803" s="23">
        <v>-3.2590000000000002E-3</v>
      </c>
      <c r="F803" s="568">
        <v>2.2400000000000002</v>
      </c>
      <c r="G803" s="24">
        <v>1</v>
      </c>
      <c r="H803" s="28">
        <f>tbTransactions[[#This Row],[Qty]]*tbTransactions[[#This Row],[Unit Cost]]*tbTransactions[[#This Row],[Exchange Rate]]</f>
        <v>-7.3001600000000008E-3</v>
      </c>
      <c r="I803" s="552" t="s">
        <v>638</v>
      </c>
      <c r="J803" s="554" t="s">
        <v>437</v>
      </c>
      <c r="K803" s="183" t="str">
        <f>IF(tbTransactions[[#This Row],[Sub-Type]]="Transfer","Neutral",IF(tbTransactions[[#This Row],[Qty]]&lt;0,"Debit",IF(tbTransactions[[#This Row],[Qty]]&gt;0,"Credit","Neutral")))</f>
        <v>Debit</v>
      </c>
      <c r="L803" s="554" t="s">
        <v>14</v>
      </c>
      <c r="M803" s="558" t="s">
        <v>692</v>
      </c>
    </row>
    <row r="804" spans="3:13" ht="30" customHeight="1" x14ac:dyDescent="0.25">
      <c r="C804" s="26">
        <v>802</v>
      </c>
      <c r="D804" s="27">
        <v>44496</v>
      </c>
      <c r="E804" s="23">
        <v>0.25</v>
      </c>
      <c r="F804" s="568">
        <v>4863</v>
      </c>
      <c r="G804" s="24">
        <v>1</v>
      </c>
      <c r="H804" s="28">
        <f>tbTransactions[[#This Row],[Qty]]*tbTransactions[[#This Row],[Unit Cost]]*tbTransactions[[#This Row],[Exchange Rate]]</f>
        <v>1215.75</v>
      </c>
      <c r="I804" s="552" t="s">
        <v>638</v>
      </c>
      <c r="J804" s="554" t="s">
        <v>24</v>
      </c>
      <c r="K804" s="183" t="str">
        <f>IF(tbTransactions[[#This Row],[Sub-Type]]="Transfer","Neutral",IF(tbTransactions[[#This Row],[Qty]]&lt;0,"Debit",IF(tbTransactions[[#This Row],[Qty]]&gt;0,"Credit","Neutral")))</f>
        <v>Credit</v>
      </c>
      <c r="L804" s="554" t="s">
        <v>647</v>
      </c>
      <c r="M804" s="558" t="s">
        <v>692</v>
      </c>
    </row>
    <row r="805" spans="3:13" ht="30" customHeight="1" x14ac:dyDescent="0.25">
      <c r="C805" s="26">
        <v>803</v>
      </c>
      <c r="D805" s="27">
        <v>44496</v>
      </c>
      <c r="E805" s="23">
        <v>-981.80497700000001</v>
      </c>
      <c r="F805" s="23">
        <v>1.24</v>
      </c>
      <c r="G805" s="24">
        <v>1</v>
      </c>
      <c r="H805" s="28">
        <f>tbTransactions[[#This Row],[Qty]]*tbTransactions[[#This Row],[Unit Cost]]*tbTransactions[[#This Row],[Exchange Rate]]</f>
        <v>-1217.4381714799999</v>
      </c>
      <c r="I805" s="552" t="s">
        <v>638</v>
      </c>
      <c r="J805" s="554" t="s">
        <v>646</v>
      </c>
      <c r="K805" s="183" t="str">
        <f>IF(tbTransactions[[#This Row],[Sub-Type]]="Transfer","Neutral",IF(tbTransactions[[#This Row],[Qty]]&lt;0,"Debit",IF(tbTransactions[[#This Row],[Qty]]&gt;0,"Credit","Neutral")))</f>
        <v>Debit</v>
      </c>
      <c r="L805" s="554" t="s">
        <v>647</v>
      </c>
      <c r="M805" s="558" t="s">
        <v>692</v>
      </c>
    </row>
    <row r="806" spans="3:13" ht="30" customHeight="1" x14ac:dyDescent="0.25">
      <c r="C806" s="26">
        <v>804</v>
      </c>
      <c r="D806" s="27">
        <v>44496</v>
      </c>
      <c r="E806" s="23">
        <v>-3.50607E-3</v>
      </c>
      <c r="F806" s="568">
        <v>2.2799999999999998</v>
      </c>
      <c r="G806" s="24">
        <v>1</v>
      </c>
      <c r="H806" s="28">
        <f>tbTransactions[[#This Row],[Qty]]*tbTransactions[[#This Row],[Unit Cost]]*tbTransactions[[#This Row],[Exchange Rate]]</f>
        <v>-7.9938396000000002E-3</v>
      </c>
      <c r="I806" s="552" t="s">
        <v>638</v>
      </c>
      <c r="J806" s="554" t="s">
        <v>437</v>
      </c>
      <c r="K806" s="183" t="str">
        <f>IF(tbTransactions[[#This Row],[Sub-Type]]="Transfer","Neutral",IF(tbTransactions[[#This Row],[Qty]]&lt;0,"Debit",IF(tbTransactions[[#This Row],[Qty]]&gt;0,"Credit","Neutral")))</f>
        <v>Debit</v>
      </c>
      <c r="L806" s="554" t="s">
        <v>14</v>
      </c>
      <c r="M806" s="593" t="s">
        <v>682</v>
      </c>
    </row>
    <row r="807" spans="3:13" ht="30" customHeight="1" x14ac:dyDescent="0.25">
      <c r="C807" s="26">
        <v>805</v>
      </c>
      <c r="D807" s="27">
        <v>44496</v>
      </c>
      <c r="E807" s="23">
        <v>-0.2</v>
      </c>
      <c r="F807" s="568">
        <v>4949</v>
      </c>
      <c r="G807" s="24">
        <v>1</v>
      </c>
      <c r="H807" s="28">
        <f>tbTransactions[[#This Row],[Qty]]*tbTransactions[[#This Row],[Unit Cost]]*tbTransactions[[#This Row],[Exchange Rate]]</f>
        <v>-989.80000000000007</v>
      </c>
      <c r="I807" s="552" t="s">
        <v>638</v>
      </c>
      <c r="J807" s="554" t="s">
        <v>24</v>
      </c>
      <c r="K807" s="183" t="str">
        <f>IF(tbTransactions[[#This Row],[Sub-Type]]="Transfer","Neutral",IF(tbTransactions[[#This Row],[Qty]]&lt;0,"Debit",IF(tbTransactions[[#This Row],[Qty]]&gt;0,"Credit","Neutral")))</f>
        <v>Debit</v>
      </c>
      <c r="L807" s="554" t="s">
        <v>647</v>
      </c>
      <c r="M807" s="593" t="s">
        <v>682</v>
      </c>
    </row>
    <row r="808" spans="3:13" ht="30" customHeight="1" x14ac:dyDescent="0.25">
      <c r="C808" s="26">
        <v>806</v>
      </c>
      <c r="D808" s="27">
        <v>44496</v>
      </c>
      <c r="E808" s="23">
        <v>793.56705999999997</v>
      </c>
      <c r="F808" s="23">
        <v>1.24</v>
      </c>
      <c r="G808" s="24">
        <v>1</v>
      </c>
      <c r="H808" s="28">
        <f>tbTransactions[[#This Row],[Qty]]*tbTransactions[[#This Row],[Unit Cost]]*tbTransactions[[#This Row],[Exchange Rate]]</f>
        <v>984.02315439999995</v>
      </c>
      <c r="I808" s="552" t="s">
        <v>638</v>
      </c>
      <c r="J808" s="554" t="s">
        <v>646</v>
      </c>
      <c r="K808" s="183" t="str">
        <f>IF(tbTransactions[[#This Row],[Sub-Type]]="Transfer","Neutral",IF(tbTransactions[[#This Row],[Qty]]&lt;0,"Debit",IF(tbTransactions[[#This Row],[Qty]]&gt;0,"Credit","Neutral")))</f>
        <v>Credit</v>
      </c>
      <c r="L808" s="554" t="s">
        <v>647</v>
      </c>
      <c r="M808" s="593" t="s">
        <v>682</v>
      </c>
    </row>
    <row r="809" spans="3:13" ht="30" customHeight="1" x14ac:dyDescent="0.25">
      <c r="C809" s="26">
        <v>807</v>
      </c>
      <c r="D809" s="27">
        <v>44497</v>
      </c>
      <c r="E809" s="23">
        <v>-3.50607E-3</v>
      </c>
      <c r="F809" s="23">
        <v>2.35</v>
      </c>
      <c r="G809" s="24">
        <v>1</v>
      </c>
      <c r="H809" s="28">
        <f>tbTransactions[[#This Row],[Qty]]*tbTransactions[[#This Row],[Unit Cost]]*tbTransactions[[#This Row],[Exchange Rate]]</f>
        <v>-8.2392645000000011E-3</v>
      </c>
      <c r="I809" s="552" t="s">
        <v>638</v>
      </c>
      <c r="J809" s="554" t="s">
        <v>437</v>
      </c>
      <c r="K809" s="183" t="str">
        <f>IF(tbTransactions[[#This Row],[Sub-Type]]="Transfer","Neutral",IF(tbTransactions[[#This Row],[Qty]]&lt;0,"Debit",IF(tbTransactions[[#This Row],[Qty]]&gt;0,"Credit","Neutral")))</f>
        <v>Debit</v>
      </c>
      <c r="L809" s="554" t="s">
        <v>14</v>
      </c>
      <c r="M809" s="593" t="s">
        <v>682</v>
      </c>
    </row>
    <row r="810" spans="3:13" ht="30" customHeight="1" x14ac:dyDescent="0.25">
      <c r="C810" s="26">
        <v>808</v>
      </c>
      <c r="D810" s="27">
        <v>44497</v>
      </c>
      <c r="E810" s="23">
        <v>-0.3</v>
      </c>
      <c r="F810" s="23">
        <v>5114</v>
      </c>
      <c r="G810" s="24">
        <v>1</v>
      </c>
      <c r="H810" s="28">
        <f>tbTransactions[[#This Row],[Qty]]*tbTransactions[[#This Row],[Unit Cost]]*tbTransactions[[#This Row],[Exchange Rate]]</f>
        <v>-1534.2</v>
      </c>
      <c r="I810" s="552" t="s">
        <v>638</v>
      </c>
      <c r="J810" s="554" t="s">
        <v>24</v>
      </c>
      <c r="K810" s="183" t="str">
        <f>IF(tbTransactions[[#This Row],[Sub-Type]]="Transfer","Neutral",IF(tbTransactions[[#This Row],[Qty]]&lt;0,"Debit",IF(tbTransactions[[#This Row],[Qty]]&gt;0,"Credit","Neutral")))</f>
        <v>Debit</v>
      </c>
      <c r="L810" s="554" t="s">
        <v>647</v>
      </c>
      <c r="M810" s="593" t="s">
        <v>682</v>
      </c>
    </row>
    <row r="811" spans="3:13" ht="30" customHeight="1" x14ac:dyDescent="0.25">
      <c r="C811" s="26">
        <v>809</v>
      </c>
      <c r="D811" s="27">
        <v>44497</v>
      </c>
      <c r="E811" s="597">
        <v>1235.6472920000001</v>
      </c>
      <c r="F811" s="23">
        <v>1.24</v>
      </c>
      <c r="G811" s="24">
        <v>1</v>
      </c>
      <c r="H811" s="28">
        <f>tbTransactions[[#This Row],[Qty]]*tbTransactions[[#This Row],[Unit Cost]]*tbTransactions[[#This Row],[Exchange Rate]]</f>
        <v>1532.20264208</v>
      </c>
      <c r="I811" s="552" t="s">
        <v>638</v>
      </c>
      <c r="J811" s="554" t="s">
        <v>646</v>
      </c>
      <c r="K811" s="183" t="str">
        <f>IF(tbTransactions[[#This Row],[Sub-Type]]="Transfer","Neutral",IF(tbTransactions[[#This Row],[Qty]]&lt;0,"Debit",IF(tbTransactions[[#This Row],[Qty]]&gt;0,"Credit","Neutral")))</f>
        <v>Credit</v>
      </c>
      <c r="L811" s="554" t="s">
        <v>647</v>
      </c>
      <c r="M811" s="593" t="s">
        <v>682</v>
      </c>
    </row>
    <row r="812" spans="3:13" ht="30" customHeight="1" x14ac:dyDescent="0.25">
      <c r="C812" s="26">
        <v>810</v>
      </c>
      <c r="D812" s="27">
        <v>44497</v>
      </c>
      <c r="E812" s="23">
        <v>3.3115848699999999E-2</v>
      </c>
      <c r="F812" s="23">
        <v>0</v>
      </c>
      <c r="G812" s="24">
        <v>1</v>
      </c>
      <c r="H812" s="28">
        <f>tbTransactions[[#This Row],[Qty]]*tbTransactions[[#This Row],[Unit Cost]]*tbTransactions[[#This Row],[Exchange Rate]]</f>
        <v>0</v>
      </c>
      <c r="I812" s="100" t="s">
        <v>539</v>
      </c>
      <c r="J812" s="228" t="s">
        <v>22</v>
      </c>
      <c r="K812" s="183" t="str">
        <f>IF(tbTransactions[[#This Row],[Sub-Type]]="Transfer","Neutral",IF(tbTransactions[[#This Row],[Qty]]&lt;0,"Debit",IF(tbTransactions[[#This Row],[Qty]]&gt;0,"Credit","Neutral")))</f>
        <v>Credit</v>
      </c>
      <c r="L812" s="174" t="s">
        <v>546</v>
      </c>
      <c r="M812" s="180" t="s">
        <v>481</v>
      </c>
    </row>
    <row r="813" spans="3:13" ht="30" customHeight="1" x14ac:dyDescent="0.25">
      <c r="C813" s="26">
        <v>811</v>
      </c>
      <c r="D813" s="27">
        <v>44497</v>
      </c>
      <c r="E813" s="23">
        <v>-5.38749E-3</v>
      </c>
      <c r="F813" s="23">
        <v>2.48</v>
      </c>
      <c r="G813" s="24">
        <v>1</v>
      </c>
      <c r="H813" s="28">
        <f>tbTransactions[[#This Row],[Qty]]*tbTransactions[[#This Row],[Unit Cost]]*tbTransactions[[#This Row],[Exchange Rate]]</f>
        <v>-1.33609752E-2</v>
      </c>
      <c r="I813" s="552" t="s">
        <v>638</v>
      </c>
      <c r="J813" s="554" t="s">
        <v>437</v>
      </c>
      <c r="K813" s="183" t="str">
        <f>IF(tbTransactions[[#This Row],[Sub-Type]]="Transfer","Neutral",IF(tbTransactions[[#This Row],[Qty]]&lt;0,"Debit",IF(tbTransactions[[#This Row],[Qty]]&gt;0,"Credit","Neutral")))</f>
        <v>Debit</v>
      </c>
      <c r="L813" s="554" t="s">
        <v>14</v>
      </c>
      <c r="M813" s="593" t="s">
        <v>682</v>
      </c>
    </row>
    <row r="814" spans="3:13" ht="30" customHeight="1" x14ac:dyDescent="0.25">
      <c r="C814" s="26">
        <v>812</v>
      </c>
      <c r="D814" s="27">
        <v>44497</v>
      </c>
      <c r="E814" s="23">
        <v>-0.2</v>
      </c>
      <c r="F814" s="23">
        <v>5225</v>
      </c>
      <c r="G814" s="24">
        <v>1</v>
      </c>
      <c r="H814" s="28">
        <f>tbTransactions[[#This Row],[Qty]]*tbTransactions[[#This Row],[Unit Cost]]*tbTransactions[[#This Row],[Exchange Rate]]</f>
        <v>-1045</v>
      </c>
      <c r="I814" s="552" t="s">
        <v>638</v>
      </c>
      <c r="J814" s="554" t="s">
        <v>24</v>
      </c>
      <c r="K814" s="183" t="str">
        <f>IF(tbTransactions[[#This Row],[Sub-Type]]="Transfer","Neutral",IF(tbTransactions[[#This Row],[Qty]]&lt;0,"Debit",IF(tbTransactions[[#This Row],[Qty]]&gt;0,"Credit","Neutral")))</f>
        <v>Debit</v>
      </c>
      <c r="L814" s="554" t="s">
        <v>647</v>
      </c>
      <c r="M814" s="593" t="s">
        <v>682</v>
      </c>
    </row>
    <row r="815" spans="3:13" ht="30" customHeight="1" x14ac:dyDescent="0.25">
      <c r="C815" s="26">
        <v>813</v>
      </c>
      <c r="D815" s="27">
        <v>44497</v>
      </c>
      <c r="E815" s="23">
        <v>843.02808600000003</v>
      </c>
      <c r="F815" s="23">
        <v>1.24</v>
      </c>
      <c r="G815" s="24">
        <v>1</v>
      </c>
      <c r="H815" s="28">
        <f>tbTransactions[[#This Row],[Qty]]*tbTransactions[[#This Row],[Unit Cost]]*tbTransactions[[#This Row],[Exchange Rate]]</f>
        <v>1045.3548266400001</v>
      </c>
      <c r="I815" s="552" t="s">
        <v>638</v>
      </c>
      <c r="J815" s="554" t="s">
        <v>646</v>
      </c>
      <c r="K815" s="183" t="str">
        <f>IF(tbTransactions[[#This Row],[Sub-Type]]="Transfer","Neutral",IF(tbTransactions[[#This Row],[Qty]]&lt;0,"Debit",IF(tbTransactions[[#This Row],[Qty]]&gt;0,"Credit","Neutral")))</f>
        <v>Credit</v>
      </c>
      <c r="L815" s="554" t="s">
        <v>647</v>
      </c>
      <c r="M815" s="593" t="s">
        <v>682</v>
      </c>
    </row>
    <row r="816" spans="3:13" ht="30" customHeight="1" x14ac:dyDescent="0.25">
      <c r="C816" s="26">
        <v>814</v>
      </c>
      <c r="D816" s="27"/>
      <c r="G816" s="24">
        <v>1</v>
      </c>
      <c r="H816" s="28">
        <f>tbTransactions[[#This Row],[Qty]]*tbTransactions[[#This Row],[Unit Cost]]*tbTransactions[[#This Row],[Exchange Rate]]</f>
        <v>0</v>
      </c>
      <c r="J816" s="29" t="s">
        <v>6</v>
      </c>
      <c r="K816" s="183" t="str">
        <f>IF(tbTransactions[[#This Row],[Sub-Type]]="Transfer","Neutral",IF(tbTransactions[[#This Row],[Qty]]&lt;0,"Debit",IF(tbTransactions[[#This Row],[Qty]]&gt;0,"Credit","Neutral")))</f>
        <v>Neutral</v>
      </c>
      <c r="L816" s="42"/>
      <c r="M816" s="41"/>
    </row>
    <row r="817" spans="3:13" ht="30" customHeight="1" x14ac:dyDescent="0.25">
      <c r="C817" s="26">
        <v>815</v>
      </c>
      <c r="D817" s="27"/>
      <c r="G817" s="24">
        <v>1</v>
      </c>
      <c r="H817" s="28">
        <f>tbTransactions[[#This Row],[Qty]]*tbTransactions[[#This Row],[Unit Cost]]*tbTransactions[[#This Row],[Exchange Rate]]</f>
        <v>0</v>
      </c>
      <c r="J817" s="29" t="s">
        <v>6</v>
      </c>
      <c r="K817" s="183" t="str">
        <f>IF(tbTransactions[[#This Row],[Sub-Type]]="Transfer","Neutral",IF(tbTransactions[[#This Row],[Qty]]&lt;0,"Debit",IF(tbTransactions[[#This Row],[Qty]]&gt;0,"Credit","Neutral")))</f>
        <v>Neutral</v>
      </c>
      <c r="L817" s="42"/>
      <c r="M817" s="41"/>
    </row>
    <row r="818" spans="3:13" ht="30" customHeight="1" x14ac:dyDescent="0.25">
      <c r="C818" s="26">
        <v>816</v>
      </c>
      <c r="D818" s="27"/>
      <c r="G818" s="24">
        <v>1</v>
      </c>
      <c r="H818" s="28">
        <f>tbTransactions[[#This Row],[Qty]]*tbTransactions[[#This Row],[Unit Cost]]*tbTransactions[[#This Row],[Exchange Rate]]</f>
        <v>0</v>
      </c>
      <c r="J818" s="29" t="s">
        <v>6</v>
      </c>
      <c r="K818" s="183" t="str">
        <f>IF(tbTransactions[[#This Row],[Sub-Type]]="Transfer","Neutral",IF(tbTransactions[[#This Row],[Qty]]&lt;0,"Debit",IF(tbTransactions[[#This Row],[Qty]]&gt;0,"Credit","Neutral")))</f>
        <v>Neutral</v>
      </c>
      <c r="L818" s="42"/>
      <c r="M818" s="41"/>
    </row>
    <row r="819" spans="3:13" ht="30" customHeight="1" x14ac:dyDescent="0.25">
      <c r="C819" s="26">
        <v>817</v>
      </c>
      <c r="D819" s="27"/>
      <c r="G819" s="24">
        <v>1</v>
      </c>
      <c r="H819" s="28">
        <f>tbTransactions[[#This Row],[Qty]]*tbTransactions[[#This Row],[Unit Cost]]*tbTransactions[[#This Row],[Exchange Rate]]</f>
        <v>0</v>
      </c>
      <c r="J819" s="29" t="s">
        <v>6</v>
      </c>
      <c r="K819" s="183" t="str">
        <f>IF(tbTransactions[[#This Row],[Sub-Type]]="Transfer","Neutral",IF(tbTransactions[[#This Row],[Qty]]&lt;0,"Debit",IF(tbTransactions[[#This Row],[Qty]]&gt;0,"Credit","Neutral")))</f>
        <v>Neutral</v>
      </c>
      <c r="L819" s="42"/>
      <c r="M819" s="41"/>
    </row>
    <row r="820" spans="3:13" ht="30" customHeight="1" x14ac:dyDescent="0.25">
      <c r="C820" s="26">
        <v>818</v>
      </c>
      <c r="D820" s="27"/>
      <c r="G820" s="24">
        <v>1</v>
      </c>
      <c r="H820" s="28">
        <f>tbTransactions[[#This Row],[Qty]]*tbTransactions[[#This Row],[Unit Cost]]*tbTransactions[[#This Row],[Exchange Rate]]</f>
        <v>0</v>
      </c>
      <c r="J820" s="29" t="s">
        <v>6</v>
      </c>
      <c r="K820" s="183" t="str">
        <f>IF(tbTransactions[[#This Row],[Sub-Type]]="Transfer","Neutral",IF(tbTransactions[[#This Row],[Qty]]&lt;0,"Debit",IF(tbTransactions[[#This Row],[Qty]]&gt;0,"Credit","Neutral")))</f>
        <v>Neutral</v>
      </c>
      <c r="L820" s="42"/>
      <c r="M820" s="41"/>
    </row>
    <row r="821" spans="3:13" ht="30" customHeight="1" x14ac:dyDescent="0.25">
      <c r="C821" s="26">
        <v>819</v>
      </c>
      <c r="D821" s="27"/>
      <c r="G821" s="24">
        <v>1</v>
      </c>
      <c r="H821" s="28">
        <f>tbTransactions[[#This Row],[Qty]]*tbTransactions[[#This Row],[Unit Cost]]*tbTransactions[[#This Row],[Exchange Rate]]</f>
        <v>0</v>
      </c>
      <c r="J821" s="29" t="s">
        <v>6</v>
      </c>
      <c r="K821" s="183" t="str">
        <f>IF(tbTransactions[[#This Row],[Sub-Type]]="Transfer","Neutral",IF(tbTransactions[[#This Row],[Qty]]&lt;0,"Debit",IF(tbTransactions[[#This Row],[Qty]]&gt;0,"Credit","Neutral")))</f>
        <v>Neutral</v>
      </c>
      <c r="L821" s="42"/>
      <c r="M821" s="41"/>
    </row>
    <row r="822" spans="3:13" ht="30" customHeight="1" x14ac:dyDescent="0.25">
      <c r="C822" s="26">
        <v>820</v>
      </c>
      <c r="D822" s="27"/>
      <c r="G822" s="24">
        <v>1</v>
      </c>
      <c r="H822" s="28">
        <f>tbTransactions[[#This Row],[Qty]]*tbTransactions[[#This Row],[Unit Cost]]*tbTransactions[[#This Row],[Exchange Rate]]</f>
        <v>0</v>
      </c>
      <c r="J822" s="29" t="s">
        <v>6</v>
      </c>
      <c r="K822" s="183" t="str">
        <f>IF(tbTransactions[[#This Row],[Sub-Type]]="Transfer","Neutral",IF(tbTransactions[[#This Row],[Qty]]&lt;0,"Debit",IF(tbTransactions[[#This Row],[Qty]]&gt;0,"Credit","Neutral")))</f>
        <v>Neutral</v>
      </c>
      <c r="L822" s="42"/>
      <c r="M822" s="41"/>
    </row>
    <row r="823" spans="3:13" ht="30" customHeight="1" x14ac:dyDescent="0.25">
      <c r="C823" s="26">
        <v>821</v>
      </c>
      <c r="D823" s="27"/>
      <c r="G823" s="24">
        <v>1</v>
      </c>
      <c r="H823" s="28">
        <f>tbTransactions[[#This Row],[Qty]]*tbTransactions[[#This Row],[Unit Cost]]*tbTransactions[[#This Row],[Exchange Rate]]</f>
        <v>0</v>
      </c>
      <c r="J823" s="29" t="s">
        <v>6</v>
      </c>
      <c r="K823" s="183" t="str">
        <f>IF(tbTransactions[[#This Row],[Sub-Type]]="Transfer","Neutral",IF(tbTransactions[[#This Row],[Qty]]&lt;0,"Debit",IF(tbTransactions[[#This Row],[Qty]]&gt;0,"Credit","Neutral")))</f>
        <v>Neutral</v>
      </c>
      <c r="L823" s="42"/>
      <c r="M823" s="41"/>
    </row>
    <row r="824" spans="3:13" ht="30" customHeight="1" x14ac:dyDescent="0.25">
      <c r="C824" s="26">
        <v>822</v>
      </c>
      <c r="D824" s="27"/>
      <c r="G824" s="24">
        <v>1</v>
      </c>
      <c r="H824" s="28">
        <f>tbTransactions[[#This Row],[Qty]]*tbTransactions[[#This Row],[Unit Cost]]*tbTransactions[[#This Row],[Exchange Rate]]</f>
        <v>0</v>
      </c>
      <c r="J824" s="29" t="s">
        <v>6</v>
      </c>
      <c r="K824" s="183" t="str">
        <f>IF(tbTransactions[[#This Row],[Sub-Type]]="Transfer","Neutral",IF(tbTransactions[[#This Row],[Qty]]&lt;0,"Debit",IF(tbTransactions[[#This Row],[Qty]]&gt;0,"Credit","Neutral")))</f>
        <v>Neutral</v>
      </c>
      <c r="L824" s="42"/>
      <c r="M824" s="41"/>
    </row>
    <row r="825" spans="3:13" ht="30" customHeight="1" x14ac:dyDescent="0.25">
      <c r="C825" s="26">
        <v>823</v>
      </c>
      <c r="D825" s="27"/>
      <c r="G825" s="24">
        <v>1</v>
      </c>
      <c r="H825" s="28">
        <f>tbTransactions[[#This Row],[Qty]]*tbTransactions[[#This Row],[Unit Cost]]*tbTransactions[[#This Row],[Exchange Rate]]</f>
        <v>0</v>
      </c>
      <c r="J825" s="29" t="s">
        <v>6</v>
      </c>
      <c r="K825" s="183" t="str">
        <f>IF(tbTransactions[[#This Row],[Sub-Type]]="Transfer","Neutral",IF(tbTransactions[[#This Row],[Qty]]&lt;0,"Debit",IF(tbTransactions[[#This Row],[Qty]]&gt;0,"Credit","Neutral")))</f>
        <v>Neutral</v>
      </c>
      <c r="L825" s="42"/>
      <c r="M825" s="41"/>
    </row>
    <row r="826" spans="3:13" ht="30" customHeight="1" x14ac:dyDescent="0.25">
      <c r="C826" s="26">
        <v>824</v>
      </c>
      <c r="D826" s="27"/>
      <c r="G826" s="24">
        <v>1</v>
      </c>
      <c r="H826" s="28">
        <f>tbTransactions[[#This Row],[Qty]]*tbTransactions[[#This Row],[Unit Cost]]*tbTransactions[[#This Row],[Exchange Rate]]</f>
        <v>0</v>
      </c>
      <c r="J826" s="29" t="s">
        <v>6</v>
      </c>
      <c r="K826" s="183" t="str">
        <f>IF(tbTransactions[[#This Row],[Sub-Type]]="Transfer","Neutral",IF(tbTransactions[[#This Row],[Qty]]&lt;0,"Debit",IF(tbTransactions[[#This Row],[Qty]]&gt;0,"Credit","Neutral")))</f>
        <v>Neutral</v>
      </c>
      <c r="L826" s="42"/>
      <c r="M826" s="41"/>
    </row>
    <row r="827" spans="3:13" ht="30" customHeight="1" x14ac:dyDescent="0.25">
      <c r="C827" s="26">
        <v>825</v>
      </c>
      <c r="D827" s="27"/>
      <c r="G827" s="24">
        <v>1</v>
      </c>
      <c r="H827" s="28">
        <f>tbTransactions[[#This Row],[Qty]]*tbTransactions[[#This Row],[Unit Cost]]*tbTransactions[[#This Row],[Exchange Rate]]</f>
        <v>0</v>
      </c>
      <c r="J827" s="29" t="s">
        <v>6</v>
      </c>
      <c r="K827" s="183" t="str">
        <f>IF(tbTransactions[[#This Row],[Sub-Type]]="Transfer","Neutral",IF(tbTransactions[[#This Row],[Qty]]&lt;0,"Debit",IF(tbTransactions[[#This Row],[Qty]]&gt;0,"Credit","Neutral")))</f>
        <v>Neutral</v>
      </c>
      <c r="L827" s="42"/>
      <c r="M827" s="41"/>
    </row>
    <row r="828" spans="3:13" ht="30" customHeight="1" x14ac:dyDescent="0.25">
      <c r="C828" s="26">
        <v>826</v>
      </c>
      <c r="D828" s="27"/>
      <c r="G828" s="24">
        <v>1</v>
      </c>
      <c r="H828" s="28">
        <f>tbTransactions[[#This Row],[Qty]]*tbTransactions[[#This Row],[Unit Cost]]*tbTransactions[[#This Row],[Exchange Rate]]</f>
        <v>0</v>
      </c>
      <c r="J828" s="29" t="s">
        <v>6</v>
      </c>
      <c r="K828" s="183" t="str">
        <f>IF(tbTransactions[[#This Row],[Sub-Type]]="Transfer","Neutral",IF(tbTransactions[[#This Row],[Qty]]&lt;0,"Debit",IF(tbTransactions[[#This Row],[Qty]]&gt;0,"Credit","Neutral")))</f>
        <v>Neutral</v>
      </c>
      <c r="L828" s="42"/>
      <c r="M828" s="41"/>
    </row>
    <row r="829" spans="3:13" ht="30" customHeight="1" x14ac:dyDescent="0.25">
      <c r="C829" s="26">
        <v>827</v>
      </c>
      <c r="D829" s="27"/>
      <c r="G829" s="24">
        <v>1</v>
      </c>
      <c r="H829" s="28">
        <f>tbTransactions[[#This Row],[Qty]]*tbTransactions[[#This Row],[Unit Cost]]*tbTransactions[[#This Row],[Exchange Rate]]</f>
        <v>0</v>
      </c>
      <c r="J829" s="29" t="s">
        <v>6</v>
      </c>
      <c r="K829" s="183" t="str">
        <f>IF(tbTransactions[[#This Row],[Sub-Type]]="Transfer","Neutral",IF(tbTransactions[[#This Row],[Qty]]&lt;0,"Debit",IF(tbTransactions[[#This Row],[Qty]]&gt;0,"Credit","Neutral")))</f>
        <v>Neutral</v>
      </c>
      <c r="L829" s="42"/>
      <c r="M829" s="41"/>
    </row>
    <row r="830" spans="3:13" ht="30" customHeight="1" x14ac:dyDescent="0.25">
      <c r="C830" s="595"/>
      <c r="D830" s="596" t="s">
        <v>2</v>
      </c>
      <c r="E830" s="597" t="s">
        <v>691</v>
      </c>
      <c r="F830" s="597"/>
      <c r="G830" s="598"/>
      <c r="H830" s="597">
        <f>SUBTOTAL(109,tbTransactions[Total])</f>
        <v>-13862.89951337851</v>
      </c>
      <c r="I830" s="596"/>
      <c r="J830" s="596"/>
      <c r="K830" s="596"/>
      <c r="L830" s="599"/>
      <c r="M830" s="596"/>
    </row>
  </sheetData>
  <conditionalFormatting sqref="G3:G185 G187:G196 G199 G217:G218 G319:G324 G326:G348 G658:G659 G801 G794:G797 G816:G824">
    <cfRule type="cellIs" dxfId="182" priority="146" operator="greaterThan">
      <formula>1</formula>
    </cfRule>
  </conditionalFormatting>
  <conditionalFormatting sqref="G197">
    <cfRule type="cellIs" dxfId="181" priority="144" operator="greaterThan">
      <formula>1</formula>
    </cfRule>
  </conditionalFormatting>
  <conditionalFormatting sqref="G198">
    <cfRule type="cellIs" dxfId="180" priority="143" operator="greaterThan">
      <formula>1</formula>
    </cfRule>
  </conditionalFormatting>
  <conditionalFormatting sqref="G202:G212 G215:G216 G219:G222">
    <cfRule type="cellIs" dxfId="179" priority="142" operator="greaterThan">
      <formula>1</formula>
    </cfRule>
  </conditionalFormatting>
  <conditionalFormatting sqref="G200">
    <cfRule type="cellIs" dxfId="178" priority="141" operator="greaterThan">
      <formula>1</formula>
    </cfRule>
  </conditionalFormatting>
  <conditionalFormatting sqref="G201">
    <cfRule type="cellIs" dxfId="177" priority="140" operator="greaterThan">
      <formula>1</formula>
    </cfRule>
  </conditionalFormatting>
  <conditionalFormatting sqref="G213:G214">
    <cfRule type="cellIs" dxfId="176" priority="139" operator="greaterThan">
      <formula>1</formula>
    </cfRule>
  </conditionalFormatting>
  <conditionalFormatting sqref="G225:G231 G234 G236:G258">
    <cfRule type="cellIs" dxfId="175" priority="138" operator="greaterThan">
      <formula>1</formula>
    </cfRule>
  </conditionalFormatting>
  <conditionalFormatting sqref="G223">
    <cfRule type="cellIs" dxfId="174" priority="137" operator="greaterThan">
      <formula>1</formula>
    </cfRule>
  </conditionalFormatting>
  <conditionalFormatting sqref="G224">
    <cfRule type="cellIs" dxfId="173" priority="136" operator="greaterThan">
      <formula>1</formula>
    </cfRule>
  </conditionalFormatting>
  <conditionalFormatting sqref="G232">
    <cfRule type="cellIs" dxfId="172" priority="135" operator="greaterThan">
      <formula>1</formula>
    </cfRule>
  </conditionalFormatting>
  <conditionalFormatting sqref="G233">
    <cfRule type="cellIs" dxfId="171" priority="134" operator="greaterThan">
      <formula>1</formula>
    </cfRule>
  </conditionalFormatting>
  <conditionalFormatting sqref="G235">
    <cfRule type="cellIs" dxfId="170" priority="133" operator="greaterThan">
      <formula>1</formula>
    </cfRule>
  </conditionalFormatting>
  <conditionalFormatting sqref="G259:G271">
    <cfRule type="cellIs" dxfId="169" priority="132" operator="greaterThan">
      <formula>1</formula>
    </cfRule>
  </conditionalFormatting>
  <conditionalFormatting sqref="G272:G303">
    <cfRule type="cellIs" dxfId="168" priority="131" operator="greaterThan">
      <formula>1</formula>
    </cfRule>
  </conditionalFormatting>
  <conditionalFormatting sqref="G304:G317">
    <cfRule type="cellIs" dxfId="167" priority="130" operator="greaterThan">
      <formula>1</formula>
    </cfRule>
  </conditionalFormatting>
  <conditionalFormatting sqref="G318">
    <cfRule type="cellIs" dxfId="166" priority="129" operator="greaterThan">
      <formula>1</formula>
    </cfRule>
  </conditionalFormatting>
  <conditionalFormatting sqref="G325">
    <cfRule type="cellIs" dxfId="165" priority="128" operator="greaterThan">
      <formula>1</formula>
    </cfRule>
  </conditionalFormatting>
  <conditionalFormatting sqref="G349:G351 G368:G387">
    <cfRule type="cellIs" dxfId="164" priority="127" operator="greaterThan">
      <formula>1</formula>
    </cfRule>
  </conditionalFormatting>
  <conditionalFormatting sqref="G352">
    <cfRule type="cellIs" dxfId="163" priority="126" operator="greaterThan">
      <formula>1</formula>
    </cfRule>
  </conditionalFormatting>
  <conditionalFormatting sqref="G353">
    <cfRule type="cellIs" dxfId="162" priority="125" operator="greaterThan">
      <formula>1</formula>
    </cfRule>
  </conditionalFormatting>
  <conditionalFormatting sqref="G354">
    <cfRule type="cellIs" dxfId="161" priority="124" operator="greaterThan">
      <formula>1</formula>
    </cfRule>
  </conditionalFormatting>
  <conditionalFormatting sqref="G355">
    <cfRule type="cellIs" dxfId="160" priority="123" operator="greaterThan">
      <formula>1</formula>
    </cfRule>
  </conditionalFormatting>
  <conditionalFormatting sqref="G356">
    <cfRule type="cellIs" dxfId="159" priority="122" operator="greaterThan">
      <formula>1</formula>
    </cfRule>
  </conditionalFormatting>
  <conditionalFormatting sqref="G358">
    <cfRule type="cellIs" dxfId="158" priority="120" operator="greaterThan">
      <formula>1</formula>
    </cfRule>
  </conditionalFormatting>
  <conditionalFormatting sqref="G359:G366">
    <cfRule type="cellIs" dxfId="157" priority="119" operator="greaterThan">
      <formula>1</formula>
    </cfRule>
  </conditionalFormatting>
  <conditionalFormatting sqref="G367">
    <cfRule type="cellIs" dxfId="156" priority="118" operator="greaterThan">
      <formula>1</formula>
    </cfRule>
  </conditionalFormatting>
  <conditionalFormatting sqref="G357">
    <cfRule type="cellIs" dxfId="155" priority="117" operator="greaterThan">
      <formula>1</formula>
    </cfRule>
  </conditionalFormatting>
  <conditionalFormatting sqref="G388:G403 G407:G408">
    <cfRule type="cellIs" dxfId="154" priority="116" operator="greaterThan">
      <formula>1</formula>
    </cfRule>
  </conditionalFormatting>
  <conditionalFormatting sqref="G404:G406">
    <cfRule type="cellIs" dxfId="153" priority="115" operator="greaterThan">
      <formula>1</formula>
    </cfRule>
  </conditionalFormatting>
  <conditionalFormatting sqref="G409:G426">
    <cfRule type="cellIs" dxfId="152" priority="114" operator="greaterThan">
      <formula>1</formula>
    </cfRule>
  </conditionalFormatting>
  <conditionalFormatting sqref="G427:G436">
    <cfRule type="cellIs" dxfId="151" priority="113" operator="greaterThan">
      <formula>1</formula>
    </cfRule>
  </conditionalFormatting>
  <conditionalFormatting sqref="G437:G448 G461">
    <cfRule type="cellIs" dxfId="150" priority="112" operator="greaterThan">
      <formula>1</formula>
    </cfRule>
  </conditionalFormatting>
  <conditionalFormatting sqref="G449:G460">
    <cfRule type="cellIs" dxfId="149" priority="111" operator="greaterThan">
      <formula>1</formula>
    </cfRule>
  </conditionalFormatting>
  <conditionalFormatting sqref="G463">
    <cfRule type="cellIs" dxfId="148" priority="110" operator="greaterThan">
      <formula>1</formula>
    </cfRule>
  </conditionalFormatting>
  <conditionalFormatting sqref="G462">
    <cfRule type="cellIs" dxfId="147" priority="109" operator="greaterThan">
      <formula>1</formula>
    </cfRule>
  </conditionalFormatting>
  <conditionalFormatting sqref="G465">
    <cfRule type="cellIs" dxfId="146" priority="108" operator="greaterThan">
      <formula>1</formula>
    </cfRule>
  </conditionalFormatting>
  <conditionalFormatting sqref="G464">
    <cfRule type="cellIs" dxfId="145" priority="107" operator="greaterThan">
      <formula>1</formula>
    </cfRule>
  </conditionalFormatting>
  <conditionalFormatting sqref="G466:G512 G529:G533 G578:G579">
    <cfRule type="cellIs" dxfId="144" priority="106" operator="greaterThan">
      <formula>1</formula>
    </cfRule>
  </conditionalFormatting>
  <conditionalFormatting sqref="G517:G528">
    <cfRule type="cellIs" dxfId="143" priority="105" operator="greaterThan">
      <formula>1</formula>
    </cfRule>
  </conditionalFormatting>
  <conditionalFormatting sqref="G513:G516">
    <cfRule type="cellIs" dxfId="142" priority="104" operator="greaterThan">
      <formula>1</formula>
    </cfRule>
  </conditionalFormatting>
  <conditionalFormatting sqref="G538 G540:G546 G548:G554 G557:G570 G576:G577">
    <cfRule type="cellIs" dxfId="141" priority="103" operator="greaterThan">
      <formula>1</formula>
    </cfRule>
  </conditionalFormatting>
  <conditionalFormatting sqref="G536:G537">
    <cfRule type="cellIs" dxfId="140" priority="102" operator="greaterThan">
      <formula>1</formula>
    </cfRule>
  </conditionalFormatting>
  <conditionalFormatting sqref="G534:G535">
    <cfRule type="cellIs" dxfId="139" priority="101" operator="greaterThan">
      <formula>1</formula>
    </cfRule>
  </conditionalFormatting>
  <conditionalFormatting sqref="G539">
    <cfRule type="cellIs" dxfId="138" priority="100" operator="greaterThan">
      <formula>1</formula>
    </cfRule>
  </conditionalFormatting>
  <conditionalFormatting sqref="G547">
    <cfRule type="cellIs" dxfId="137" priority="99" operator="greaterThan">
      <formula>1</formula>
    </cfRule>
  </conditionalFormatting>
  <conditionalFormatting sqref="G555">
    <cfRule type="cellIs" dxfId="136" priority="98" operator="greaterThan">
      <formula>1</formula>
    </cfRule>
  </conditionalFormatting>
  <conditionalFormatting sqref="G556">
    <cfRule type="cellIs" dxfId="135" priority="97" operator="greaterThan">
      <formula>1</formula>
    </cfRule>
  </conditionalFormatting>
  <conditionalFormatting sqref="G571">
    <cfRule type="cellIs" dxfId="134" priority="96" operator="greaterThan">
      <formula>1</formula>
    </cfRule>
  </conditionalFormatting>
  <conditionalFormatting sqref="G580:G587 G590:G596 G829">
    <cfRule type="cellIs" dxfId="133" priority="95" operator="greaterThan">
      <formula>1</formula>
    </cfRule>
  </conditionalFormatting>
  <conditionalFormatting sqref="G572">
    <cfRule type="cellIs" dxfId="132" priority="94" operator="greaterThan">
      <formula>1</formula>
    </cfRule>
  </conditionalFormatting>
  <conditionalFormatting sqref="G573">
    <cfRule type="cellIs" dxfId="131" priority="93" operator="greaterThan">
      <formula>1</formula>
    </cfRule>
  </conditionalFormatting>
  <conditionalFormatting sqref="G574">
    <cfRule type="cellIs" dxfId="130" priority="92" operator="greaterThan">
      <formula>1</formula>
    </cfRule>
  </conditionalFormatting>
  <conditionalFormatting sqref="G575">
    <cfRule type="cellIs" dxfId="129" priority="91" operator="greaterThan">
      <formula>1</formula>
    </cfRule>
  </conditionalFormatting>
  <conditionalFormatting sqref="G588">
    <cfRule type="cellIs" dxfId="128" priority="90" operator="greaterThan">
      <formula>1</formula>
    </cfRule>
  </conditionalFormatting>
  <conditionalFormatting sqref="G589">
    <cfRule type="cellIs" dxfId="127" priority="89" operator="greaterThan">
      <formula>1</formula>
    </cfRule>
  </conditionalFormatting>
  <conditionalFormatting sqref="G597:G601 G605:G613 G616:G617 G619 G624:G639 G645:G649 G652:G655">
    <cfRule type="cellIs" dxfId="126" priority="88" operator="greaterThan">
      <formula>1</formula>
    </cfRule>
  </conditionalFormatting>
  <conditionalFormatting sqref="G602">
    <cfRule type="cellIs" dxfId="125" priority="87" operator="greaterThan">
      <formula>1</formula>
    </cfRule>
  </conditionalFormatting>
  <conditionalFormatting sqref="G603">
    <cfRule type="cellIs" dxfId="124" priority="86" operator="greaterThan">
      <formula>1</formula>
    </cfRule>
  </conditionalFormatting>
  <conditionalFormatting sqref="G604">
    <cfRule type="cellIs" dxfId="123" priority="85" operator="greaterThan">
      <formula>1</formula>
    </cfRule>
  </conditionalFormatting>
  <conditionalFormatting sqref="G614">
    <cfRule type="cellIs" dxfId="122" priority="84" operator="greaterThan">
      <formula>1</formula>
    </cfRule>
  </conditionalFormatting>
  <conditionalFormatting sqref="G615">
    <cfRule type="cellIs" dxfId="121" priority="82" operator="greaterThan">
      <formula>1</formula>
    </cfRule>
  </conditionalFormatting>
  <conditionalFormatting sqref="G618">
    <cfRule type="cellIs" dxfId="120" priority="81" operator="greaterThan">
      <formula>1</formula>
    </cfRule>
  </conditionalFormatting>
  <conditionalFormatting sqref="G620:G621">
    <cfRule type="cellIs" dxfId="119" priority="80" operator="greaterThan">
      <formula>1</formula>
    </cfRule>
  </conditionalFormatting>
  <conditionalFormatting sqref="G622:G623">
    <cfRule type="cellIs" dxfId="118" priority="79" operator="greaterThan">
      <formula>1</formula>
    </cfRule>
  </conditionalFormatting>
  <conditionalFormatting sqref="G640">
    <cfRule type="cellIs" dxfId="117" priority="78" operator="greaterThan">
      <formula>1</formula>
    </cfRule>
  </conditionalFormatting>
  <conditionalFormatting sqref="G641">
    <cfRule type="cellIs" dxfId="116" priority="77" operator="greaterThan">
      <formula>1</formula>
    </cfRule>
  </conditionalFormatting>
  <conditionalFormatting sqref="G662 G681:G684">
    <cfRule type="cellIs" dxfId="115" priority="76" operator="greaterThan">
      <formula>1</formula>
    </cfRule>
  </conditionalFormatting>
  <conditionalFormatting sqref="G642">
    <cfRule type="cellIs" dxfId="114" priority="75" operator="greaterThan">
      <formula>1</formula>
    </cfRule>
  </conditionalFormatting>
  <conditionalFormatting sqref="G643">
    <cfRule type="cellIs" dxfId="113" priority="74" operator="greaterThan">
      <formula>1</formula>
    </cfRule>
  </conditionalFormatting>
  <conditionalFormatting sqref="G644">
    <cfRule type="cellIs" dxfId="112" priority="73" operator="greaterThan">
      <formula>1</formula>
    </cfRule>
  </conditionalFormatting>
  <conditionalFormatting sqref="G650">
    <cfRule type="cellIs" dxfId="111" priority="72" operator="greaterThan">
      <formula>1</formula>
    </cfRule>
  </conditionalFormatting>
  <conditionalFormatting sqref="G651">
    <cfRule type="cellIs" dxfId="110" priority="71" operator="greaterThan">
      <formula>1</formula>
    </cfRule>
  </conditionalFormatting>
  <conditionalFormatting sqref="G656">
    <cfRule type="cellIs" dxfId="109" priority="70" operator="greaterThan">
      <formula>1</formula>
    </cfRule>
  </conditionalFormatting>
  <conditionalFormatting sqref="G657">
    <cfRule type="cellIs" dxfId="108" priority="69" operator="greaterThan">
      <formula>1</formula>
    </cfRule>
  </conditionalFormatting>
  <conditionalFormatting sqref="G660">
    <cfRule type="cellIs" dxfId="107" priority="68" operator="greaterThan">
      <formula>1</formula>
    </cfRule>
  </conditionalFormatting>
  <conditionalFormatting sqref="G661">
    <cfRule type="cellIs" dxfId="106" priority="67" operator="greaterThan">
      <formula>1</formula>
    </cfRule>
  </conditionalFormatting>
  <conditionalFormatting sqref="G663:G665 G670:G672 G677:G678">
    <cfRule type="cellIs" dxfId="105" priority="66" operator="greaterThan">
      <formula>1</formula>
    </cfRule>
  </conditionalFormatting>
  <conditionalFormatting sqref="G666">
    <cfRule type="cellIs" dxfId="104" priority="65" operator="greaterThan">
      <formula>1</formula>
    </cfRule>
  </conditionalFormatting>
  <conditionalFormatting sqref="G667">
    <cfRule type="cellIs" dxfId="103" priority="64" operator="greaterThan">
      <formula>1</formula>
    </cfRule>
  </conditionalFormatting>
  <conditionalFormatting sqref="G668">
    <cfRule type="cellIs" dxfId="102" priority="63" operator="greaterThan">
      <formula>1</formula>
    </cfRule>
  </conditionalFormatting>
  <conditionalFormatting sqref="G669">
    <cfRule type="cellIs" dxfId="101" priority="62" operator="greaterThan">
      <formula>1</formula>
    </cfRule>
  </conditionalFormatting>
  <conditionalFormatting sqref="G673">
    <cfRule type="cellIs" dxfId="100" priority="61" operator="greaterThan">
      <formula>1</formula>
    </cfRule>
  </conditionalFormatting>
  <conditionalFormatting sqref="G674">
    <cfRule type="cellIs" dxfId="99" priority="60" operator="greaterThan">
      <formula>1</formula>
    </cfRule>
  </conditionalFormatting>
  <conditionalFormatting sqref="G685:G691 G694:G702 G705:G706 G711:G713 G716:G722 G828">
    <cfRule type="cellIs" dxfId="98" priority="59" operator="greaterThan">
      <formula>1</formula>
    </cfRule>
  </conditionalFormatting>
  <conditionalFormatting sqref="G675">
    <cfRule type="cellIs" dxfId="97" priority="58" operator="greaterThan">
      <formula>1</formula>
    </cfRule>
  </conditionalFormatting>
  <conditionalFormatting sqref="G676">
    <cfRule type="cellIs" dxfId="96" priority="57" operator="greaterThan">
      <formula>1</formula>
    </cfRule>
  </conditionalFormatting>
  <conditionalFormatting sqref="G679">
    <cfRule type="cellIs" dxfId="95" priority="56" operator="greaterThan">
      <formula>1</formula>
    </cfRule>
  </conditionalFormatting>
  <conditionalFormatting sqref="G680">
    <cfRule type="cellIs" dxfId="94" priority="55" operator="greaterThan">
      <formula>1</formula>
    </cfRule>
  </conditionalFormatting>
  <conditionalFormatting sqref="G692">
    <cfRule type="cellIs" dxfId="93" priority="54" operator="greaterThan">
      <formula>1</formula>
    </cfRule>
  </conditionalFormatting>
  <conditionalFormatting sqref="G693">
    <cfRule type="cellIs" dxfId="92" priority="53" operator="greaterThan">
      <formula>1</formula>
    </cfRule>
  </conditionalFormatting>
  <conditionalFormatting sqref="G703">
    <cfRule type="cellIs" dxfId="91" priority="52" operator="greaterThan">
      <formula>1</formula>
    </cfRule>
  </conditionalFormatting>
  <conditionalFormatting sqref="G704">
    <cfRule type="cellIs" dxfId="90" priority="51" operator="greaterThan">
      <formula>1</formula>
    </cfRule>
  </conditionalFormatting>
  <conditionalFormatting sqref="G707">
    <cfRule type="cellIs" dxfId="89" priority="50" operator="greaterThan">
      <formula>1</formula>
    </cfRule>
  </conditionalFormatting>
  <conditionalFormatting sqref="G708">
    <cfRule type="cellIs" dxfId="88" priority="49" operator="greaterThan">
      <formula>1</formula>
    </cfRule>
  </conditionalFormatting>
  <conditionalFormatting sqref="G709">
    <cfRule type="cellIs" dxfId="87" priority="48" operator="greaterThan">
      <formula>1</formula>
    </cfRule>
  </conditionalFormatting>
  <conditionalFormatting sqref="G710">
    <cfRule type="cellIs" dxfId="86" priority="47" operator="greaterThan">
      <formula>1</formula>
    </cfRule>
  </conditionalFormatting>
  <conditionalFormatting sqref="G714">
    <cfRule type="cellIs" dxfId="85" priority="46" operator="greaterThan">
      <formula>1</formula>
    </cfRule>
  </conditionalFormatting>
  <conditionalFormatting sqref="G715">
    <cfRule type="cellIs" dxfId="84" priority="45" operator="greaterThan">
      <formula>1</formula>
    </cfRule>
  </conditionalFormatting>
  <conditionalFormatting sqref="G725:G728 G749 G825:G827">
    <cfRule type="cellIs" dxfId="83" priority="44" operator="greaterThan">
      <formula>1</formula>
    </cfRule>
  </conditionalFormatting>
  <conditionalFormatting sqref="G723">
    <cfRule type="cellIs" dxfId="82" priority="43" operator="greaterThan">
      <formula>1</formula>
    </cfRule>
  </conditionalFormatting>
  <conditionalFormatting sqref="G724">
    <cfRule type="cellIs" dxfId="81" priority="42" operator="greaterThan">
      <formula>1</formula>
    </cfRule>
  </conditionalFormatting>
  <conditionalFormatting sqref="G729">
    <cfRule type="cellIs" dxfId="80" priority="41" operator="greaterThan">
      <formula>1</formula>
    </cfRule>
  </conditionalFormatting>
  <conditionalFormatting sqref="G730:G733">
    <cfRule type="cellIs" dxfId="79" priority="40" operator="greaterThan">
      <formula>1</formula>
    </cfRule>
  </conditionalFormatting>
  <conditionalFormatting sqref="G734:G736">
    <cfRule type="cellIs" dxfId="78" priority="39" operator="greaterThan">
      <formula>1</formula>
    </cfRule>
  </conditionalFormatting>
  <conditionalFormatting sqref="G737">
    <cfRule type="cellIs" dxfId="77" priority="38" operator="greaterThan">
      <formula>1</formula>
    </cfRule>
  </conditionalFormatting>
  <conditionalFormatting sqref="G738">
    <cfRule type="cellIs" dxfId="76" priority="37" operator="greaterThan">
      <formula>1</formula>
    </cfRule>
  </conditionalFormatting>
  <conditionalFormatting sqref="G739:G741">
    <cfRule type="cellIs" dxfId="75" priority="36" operator="greaterThan">
      <formula>1</formula>
    </cfRule>
  </conditionalFormatting>
  <conditionalFormatting sqref="G742">
    <cfRule type="cellIs" dxfId="74" priority="35" operator="greaterThan">
      <formula>1</formula>
    </cfRule>
  </conditionalFormatting>
  <conditionalFormatting sqref="G743">
    <cfRule type="cellIs" dxfId="73" priority="34" operator="greaterThan">
      <formula>1</formula>
    </cfRule>
  </conditionalFormatting>
  <conditionalFormatting sqref="G744:G746">
    <cfRule type="cellIs" dxfId="72" priority="33" operator="greaterThan">
      <formula>1</formula>
    </cfRule>
  </conditionalFormatting>
  <conditionalFormatting sqref="G747">
    <cfRule type="cellIs" dxfId="71" priority="32" operator="greaterThan">
      <formula>1</formula>
    </cfRule>
  </conditionalFormatting>
  <conditionalFormatting sqref="G748">
    <cfRule type="cellIs" dxfId="70" priority="31" operator="greaterThan">
      <formula>1</formula>
    </cfRule>
  </conditionalFormatting>
  <conditionalFormatting sqref="G750:G757 G759:G761 G764:G767 G769 G774:G785 G787">
    <cfRule type="cellIs" dxfId="69" priority="29" operator="greaterThan">
      <formula>1</formula>
    </cfRule>
  </conditionalFormatting>
  <conditionalFormatting sqref="G758">
    <cfRule type="cellIs" dxfId="68" priority="28" operator="greaterThan">
      <formula>1</formula>
    </cfRule>
  </conditionalFormatting>
  <conditionalFormatting sqref="G762">
    <cfRule type="cellIs" dxfId="67" priority="27" operator="greaterThan">
      <formula>1</formula>
    </cfRule>
  </conditionalFormatting>
  <conditionalFormatting sqref="G763">
    <cfRule type="cellIs" dxfId="66" priority="26" operator="greaterThan">
      <formula>1</formula>
    </cfRule>
  </conditionalFormatting>
  <conditionalFormatting sqref="G768">
    <cfRule type="cellIs" dxfId="65" priority="25" operator="greaterThan">
      <formula>1</formula>
    </cfRule>
  </conditionalFormatting>
  <conditionalFormatting sqref="G770">
    <cfRule type="cellIs" dxfId="64" priority="24" operator="greaterThan">
      <formula>1</formula>
    </cfRule>
  </conditionalFormatting>
  <conditionalFormatting sqref="G771">
    <cfRule type="cellIs" dxfId="63" priority="23" operator="greaterThan">
      <formula>1</formula>
    </cfRule>
  </conditionalFormatting>
  <conditionalFormatting sqref="G772">
    <cfRule type="cellIs" dxfId="62" priority="22" operator="greaterThan">
      <formula>1</formula>
    </cfRule>
  </conditionalFormatting>
  <conditionalFormatting sqref="G773">
    <cfRule type="cellIs" dxfId="61" priority="21" operator="greaterThan">
      <formula>1</formula>
    </cfRule>
  </conditionalFormatting>
  <conditionalFormatting sqref="G786">
    <cfRule type="cellIs" dxfId="60" priority="20" operator="greaterThan">
      <formula>1</formula>
    </cfRule>
  </conditionalFormatting>
  <conditionalFormatting sqref="G788:G790">
    <cfRule type="cellIs" dxfId="59" priority="19" operator="greaterThan">
      <formula>1</formula>
    </cfRule>
  </conditionalFormatting>
  <conditionalFormatting sqref="G791:G793">
    <cfRule type="cellIs" dxfId="58" priority="18" operator="greaterThan">
      <formula>1</formula>
    </cfRule>
  </conditionalFormatting>
  <conditionalFormatting sqref="G799">
    <cfRule type="cellIs" dxfId="57" priority="17" operator="greaterThan">
      <formula>1</formula>
    </cfRule>
  </conditionalFormatting>
  <conditionalFormatting sqref="G800">
    <cfRule type="cellIs" dxfId="56" priority="16" operator="greaterThan">
      <formula>1</formula>
    </cfRule>
  </conditionalFormatting>
  <conditionalFormatting sqref="G798">
    <cfRule type="cellIs" dxfId="55" priority="15" operator="greaterThan">
      <formula>1</formula>
    </cfRule>
  </conditionalFormatting>
  <conditionalFormatting sqref="G802">
    <cfRule type="cellIs" dxfId="54" priority="14" operator="greaterThan">
      <formula>1</formula>
    </cfRule>
  </conditionalFormatting>
  <conditionalFormatting sqref="G805">
    <cfRule type="cellIs" dxfId="53" priority="13" operator="greaterThan">
      <formula>1</formula>
    </cfRule>
  </conditionalFormatting>
  <conditionalFormatting sqref="G803">
    <cfRule type="cellIs" dxfId="52" priority="12" operator="greaterThan">
      <formula>1</formula>
    </cfRule>
  </conditionalFormatting>
  <conditionalFormatting sqref="G804">
    <cfRule type="cellIs" dxfId="51" priority="11" operator="greaterThan">
      <formula>1</formula>
    </cfRule>
  </conditionalFormatting>
  <conditionalFormatting sqref="G808">
    <cfRule type="cellIs" dxfId="50" priority="10" operator="greaterThan">
      <formula>1</formula>
    </cfRule>
  </conditionalFormatting>
  <conditionalFormatting sqref="G806">
    <cfRule type="cellIs" dxfId="49" priority="9" operator="greaterThan">
      <formula>1</formula>
    </cfRule>
  </conditionalFormatting>
  <conditionalFormatting sqref="G807">
    <cfRule type="cellIs" dxfId="48" priority="8" operator="greaterThan">
      <formula>1</formula>
    </cfRule>
  </conditionalFormatting>
  <conditionalFormatting sqref="G811">
    <cfRule type="cellIs" dxfId="47" priority="7" operator="greaterThan">
      <formula>1</formula>
    </cfRule>
  </conditionalFormatting>
  <conditionalFormatting sqref="G809">
    <cfRule type="cellIs" dxfId="46" priority="6" operator="greaterThan">
      <formula>1</formula>
    </cfRule>
  </conditionalFormatting>
  <conditionalFormatting sqref="G810">
    <cfRule type="cellIs" dxfId="45" priority="5" operator="greaterThan">
      <formula>1</formula>
    </cfRule>
  </conditionalFormatting>
  <conditionalFormatting sqref="G812">
    <cfRule type="cellIs" dxfId="37" priority="4" operator="greaterThan">
      <formula>1</formula>
    </cfRule>
  </conditionalFormatting>
  <conditionalFormatting sqref="G815">
    <cfRule type="cellIs" dxfId="36" priority="3" operator="greaterThan">
      <formula>1</formula>
    </cfRule>
  </conditionalFormatting>
  <conditionalFormatting sqref="G813">
    <cfRule type="cellIs" dxfId="35" priority="2" operator="greaterThan">
      <formula>1</formula>
    </cfRule>
  </conditionalFormatting>
  <conditionalFormatting sqref="G814">
    <cfRule type="cellIs" dxfId="34" priority="1" operator="greaterThan">
      <formula>1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C417-D666-4A68-A094-77CFB30F01FD}">
  <sheetPr>
    <tabColor rgb="FFC00000"/>
  </sheetPr>
  <dimension ref="B1:K76"/>
  <sheetViews>
    <sheetView showGridLines="0" topLeftCell="A63" workbookViewId="0">
      <selection activeCell="E76" sqref="E76"/>
    </sheetView>
  </sheetViews>
  <sheetFormatPr defaultColWidth="9.140625" defaultRowHeight="30" customHeight="1" x14ac:dyDescent="0.25"/>
  <cols>
    <col min="1" max="1" width="1.42578125" style="316" customWidth="1"/>
    <col min="2" max="2" width="12.140625" style="322" customWidth="1"/>
    <col min="3" max="3" width="12.140625" style="323" customWidth="1"/>
    <col min="4" max="4" width="82.85546875" style="324" customWidth="1"/>
    <col min="5" max="5" width="10.7109375" style="320" customWidth="1"/>
    <col min="6" max="6" width="9.42578125" style="315" bestFit="1" customWidth="1"/>
    <col min="7" max="7" width="9.85546875" style="315" customWidth="1"/>
    <col min="8" max="10" width="9.28515625" style="315" bestFit="1" customWidth="1"/>
    <col min="11" max="11" width="9.7109375" style="315" customWidth="1"/>
    <col min="12" max="16384" width="9.140625" style="316"/>
  </cols>
  <sheetData>
    <row r="1" spans="2:11" ht="7.5" customHeight="1" x14ac:dyDescent="0.25"/>
    <row r="2" spans="2:11" ht="30" customHeight="1" x14ac:dyDescent="0.25">
      <c r="B2" s="322" t="s">
        <v>3</v>
      </c>
      <c r="C2" s="323" t="s">
        <v>644</v>
      </c>
      <c r="D2" s="324" t="s">
        <v>15</v>
      </c>
      <c r="E2" s="325" t="s">
        <v>663</v>
      </c>
      <c r="F2" s="326" t="s">
        <v>664</v>
      </c>
      <c r="G2" s="326" t="s">
        <v>665</v>
      </c>
      <c r="H2" s="326" t="s">
        <v>666</v>
      </c>
      <c r="I2" s="326" t="s">
        <v>667</v>
      </c>
      <c r="J2" s="326" t="s">
        <v>668</v>
      </c>
      <c r="K2" s="326" t="s">
        <v>669</v>
      </c>
    </row>
    <row r="3" spans="2:11" ht="30" customHeight="1" x14ac:dyDescent="0.25">
      <c r="B3" s="322">
        <v>44462</v>
      </c>
      <c r="C3" s="323">
        <v>0.44513888888888892</v>
      </c>
      <c r="D3" s="324" t="s">
        <v>648</v>
      </c>
      <c r="E3" s="339">
        <v>2.33</v>
      </c>
      <c r="F3" s="339">
        <f>Table6[[#This Row],[Var1]]/4</f>
        <v>0.58250000000000002</v>
      </c>
      <c r="G3" s="339"/>
      <c r="H3" s="339"/>
      <c r="I3" s="339"/>
      <c r="J3" s="339"/>
      <c r="K3" s="339"/>
    </row>
    <row r="4" spans="2:11" ht="30" customHeight="1" x14ac:dyDescent="0.25">
      <c r="B4" s="322">
        <v>44462</v>
      </c>
      <c r="C4" s="323">
        <v>0.4458333333333333</v>
      </c>
      <c r="D4" s="324" t="s">
        <v>672</v>
      </c>
      <c r="E4" s="339">
        <f>19.05672928-0.635</f>
        <v>18.421729279999997</v>
      </c>
      <c r="F4" s="339"/>
      <c r="G4" s="339"/>
      <c r="H4" s="339"/>
      <c r="I4" s="339"/>
      <c r="J4" s="339"/>
      <c r="K4" s="339"/>
    </row>
    <row r="5" spans="2:11" ht="30" customHeight="1" x14ac:dyDescent="0.25">
      <c r="B5" s="322">
        <v>44462</v>
      </c>
      <c r="C5" s="323">
        <v>0.4465277777777778</v>
      </c>
      <c r="D5" s="336" t="s">
        <v>685</v>
      </c>
      <c r="E5" s="339">
        <v>2.33</v>
      </c>
      <c r="F5" s="339"/>
      <c r="G5" s="339"/>
      <c r="H5" s="339"/>
      <c r="I5" s="339"/>
      <c r="J5" s="339"/>
      <c r="K5" s="339"/>
    </row>
    <row r="6" spans="2:11" ht="30" customHeight="1" x14ac:dyDescent="0.25">
      <c r="B6" s="322">
        <v>44462</v>
      </c>
      <c r="C6" s="323">
        <v>0.94444444444444453</v>
      </c>
      <c r="D6" s="324" t="s">
        <v>645</v>
      </c>
      <c r="E6" s="339">
        <v>2.33</v>
      </c>
      <c r="F6" s="340">
        <v>3961.22</v>
      </c>
      <c r="G6" s="339"/>
      <c r="H6" s="339"/>
      <c r="I6" s="339"/>
      <c r="J6" s="339"/>
      <c r="K6" s="339"/>
    </row>
    <row r="7" spans="2:11" ht="30" customHeight="1" x14ac:dyDescent="0.25">
      <c r="B7" s="322">
        <v>44462</v>
      </c>
      <c r="C7" s="323">
        <v>0.95208333333333339</v>
      </c>
      <c r="D7" s="324" t="s">
        <v>649</v>
      </c>
      <c r="E7" s="339"/>
      <c r="F7" s="339"/>
      <c r="G7" s="339"/>
      <c r="H7" s="339"/>
      <c r="I7" s="339"/>
      <c r="J7" s="339"/>
      <c r="K7" s="339"/>
    </row>
    <row r="8" spans="2:11" ht="30" customHeight="1" x14ac:dyDescent="0.25">
      <c r="B8" s="322">
        <v>44462</v>
      </c>
      <c r="C8" s="323">
        <v>0.98888888888888893</v>
      </c>
      <c r="D8" s="324" t="s">
        <v>657</v>
      </c>
      <c r="E8" s="341">
        <v>3961.22</v>
      </c>
      <c r="F8" s="341">
        <f>E8*(1-iDelta*3)</f>
        <v>3723.5467999999996</v>
      </c>
      <c r="G8" s="341">
        <f>E8*(1-iDelta*2)</f>
        <v>3802.7711999999997</v>
      </c>
      <c r="H8" s="342">
        <f>E8*(1-iDelta*1)</f>
        <v>3881.9955999999997</v>
      </c>
      <c r="I8" s="343">
        <f>E8*(1+iDelta*1)</f>
        <v>4040.4443999999999</v>
      </c>
      <c r="J8" s="341">
        <f>E8*(1+iDelta*2)</f>
        <v>4119.6688000000004</v>
      </c>
      <c r="K8" s="341">
        <f>E8*(1+iDelta*3)</f>
        <v>4198.8932000000004</v>
      </c>
    </row>
    <row r="9" spans="2:11" ht="30" customHeight="1" x14ac:dyDescent="0.25">
      <c r="B9" s="322">
        <v>44462</v>
      </c>
      <c r="C9" s="323">
        <v>0.99513888888888891</v>
      </c>
      <c r="D9" s="324" t="s">
        <v>658</v>
      </c>
      <c r="E9" s="339"/>
      <c r="F9" s="339"/>
      <c r="G9" s="339"/>
      <c r="H9" s="339"/>
      <c r="I9" s="339"/>
      <c r="J9" s="339"/>
      <c r="K9" s="339"/>
    </row>
    <row r="10" spans="2:11" ht="30" customHeight="1" x14ac:dyDescent="0.25">
      <c r="B10" s="322">
        <v>44463</v>
      </c>
      <c r="C10" s="323">
        <v>0.30555555555555552</v>
      </c>
      <c r="D10" s="324" t="s">
        <v>662</v>
      </c>
      <c r="E10" s="344">
        <v>0.63484200000000002</v>
      </c>
      <c r="F10" s="344">
        <v>0.57999999999999996</v>
      </c>
      <c r="G10" s="344">
        <f>Table6[[#This Row],[Var1]]-Table6[[#This Row],[Var2]]</f>
        <v>5.4842000000000057E-2</v>
      </c>
      <c r="H10" s="345">
        <f>Table6[[#This Row],[Var3]]/2.33</f>
        <v>2.3537339055794016E-2</v>
      </c>
      <c r="I10" s="339"/>
      <c r="J10" s="339"/>
      <c r="K10" s="339"/>
    </row>
    <row r="11" spans="2:11" ht="30" customHeight="1" x14ac:dyDescent="0.25">
      <c r="B11" s="322">
        <v>44463</v>
      </c>
      <c r="C11" s="323">
        <v>0.30624999999999997</v>
      </c>
      <c r="D11" s="324" t="s">
        <v>661</v>
      </c>
      <c r="E11" s="341">
        <v>3538.55</v>
      </c>
      <c r="F11" s="341">
        <f>E11*(1-iDelta*3)</f>
        <v>3326.2370000000001</v>
      </c>
      <c r="G11" s="341">
        <f>E11*(1-iDelta*2)</f>
        <v>3397.0080000000003</v>
      </c>
      <c r="H11" s="342">
        <f>E11*(1-iDelta*1)</f>
        <v>3467.779</v>
      </c>
      <c r="I11" s="343">
        <f>E11*(1+iDelta*1)</f>
        <v>3609.3210000000004</v>
      </c>
      <c r="J11" s="341">
        <f>E11*(1+iDelta*2)</f>
        <v>3680.0920000000001</v>
      </c>
      <c r="K11" s="341">
        <f>E11*(1+iDelta*3)</f>
        <v>3750.8630000000003</v>
      </c>
    </row>
    <row r="12" spans="2:11" ht="30" customHeight="1" x14ac:dyDescent="0.25">
      <c r="B12" s="322">
        <v>44463</v>
      </c>
      <c r="C12" s="323">
        <v>0.31666666666666665</v>
      </c>
      <c r="D12" s="324" t="s">
        <v>670</v>
      </c>
      <c r="E12" s="341"/>
      <c r="F12" s="341"/>
      <c r="G12" s="341"/>
      <c r="H12" s="341"/>
      <c r="I12" s="341"/>
      <c r="J12" s="341"/>
      <c r="K12" s="341"/>
    </row>
    <row r="13" spans="2:11" ht="30" customHeight="1" x14ac:dyDescent="0.25">
      <c r="B13" s="322">
        <v>44463</v>
      </c>
      <c r="C13" s="323">
        <v>0.31736111111111115</v>
      </c>
      <c r="D13" s="324" t="s">
        <v>671</v>
      </c>
      <c r="E13" s="339">
        <v>5.5E-2</v>
      </c>
      <c r="F13" s="341">
        <v>3538.55</v>
      </c>
      <c r="G13" s="341">
        <f>Table6[[#This Row],[Var2]]*Table6[[#This Row],[Var1]]</f>
        <v>194.62025</v>
      </c>
      <c r="H13" s="339"/>
      <c r="I13" s="339"/>
      <c r="J13" s="339"/>
      <c r="K13" s="339"/>
    </row>
    <row r="14" spans="2:11" ht="30" customHeight="1" x14ac:dyDescent="0.25">
      <c r="B14" s="322">
        <v>44463</v>
      </c>
      <c r="C14" s="323">
        <v>0.3611111111111111</v>
      </c>
      <c r="D14" s="324" t="s">
        <v>672</v>
      </c>
      <c r="E14" s="339">
        <v>19.056729279999999</v>
      </c>
      <c r="F14" s="339"/>
      <c r="G14" s="339"/>
      <c r="H14" s="339"/>
      <c r="I14" s="339"/>
      <c r="J14" s="339"/>
      <c r="K14" s="339"/>
    </row>
    <row r="15" spans="2:11" ht="30" customHeight="1" x14ac:dyDescent="0.25">
      <c r="B15" s="322">
        <v>44465</v>
      </c>
      <c r="C15" s="323">
        <v>0.54166666666666663</v>
      </c>
      <c r="D15" s="364" t="s">
        <v>695</v>
      </c>
      <c r="E15" s="339">
        <v>0.129</v>
      </c>
      <c r="F15" s="339"/>
      <c r="G15" s="339"/>
      <c r="H15" s="339"/>
      <c r="I15" s="339"/>
      <c r="J15" s="339"/>
      <c r="K15" s="339"/>
    </row>
    <row r="16" spans="2:11" ht="30" customHeight="1" x14ac:dyDescent="0.25">
      <c r="B16" s="333">
        <v>44465</v>
      </c>
      <c r="C16" s="334">
        <v>0.60069444444444442</v>
      </c>
      <c r="D16" s="335" t="s">
        <v>683</v>
      </c>
      <c r="E16" s="341"/>
      <c r="F16" s="341"/>
      <c r="G16" s="341"/>
      <c r="H16" s="341"/>
      <c r="I16" s="341"/>
      <c r="J16" s="341"/>
      <c r="K16" s="341"/>
    </row>
    <row r="17" spans="2:11" ht="30" customHeight="1" x14ac:dyDescent="0.25">
      <c r="B17" s="333">
        <v>44465</v>
      </c>
      <c r="C17" s="334">
        <v>0.60138888888888886</v>
      </c>
      <c r="D17" s="324" t="s">
        <v>661</v>
      </c>
      <c r="E17" s="341">
        <v>3871</v>
      </c>
      <c r="F17" s="341">
        <f>E17*(1-iDelta*3)</f>
        <v>3638.74</v>
      </c>
      <c r="G17" s="341">
        <f>E17*(1-iDelta*2)</f>
        <v>3716.16</v>
      </c>
      <c r="H17" s="342">
        <f>E17*(1-iDelta*1)</f>
        <v>3793.58</v>
      </c>
      <c r="I17" s="343">
        <f>E17*(1+iDelta*1)</f>
        <v>3948.42</v>
      </c>
      <c r="J17" s="341">
        <f>E17*(1+iDelta*2)</f>
        <v>4025.84</v>
      </c>
      <c r="K17" s="341">
        <f>E17*(1+iDelta*3)</f>
        <v>4103.26</v>
      </c>
    </row>
    <row r="18" spans="2:11" ht="30" customHeight="1" x14ac:dyDescent="0.25">
      <c r="B18" s="333">
        <v>44465</v>
      </c>
      <c r="C18" s="334">
        <v>0.6020833333333333</v>
      </c>
      <c r="D18" s="336" t="s">
        <v>684</v>
      </c>
      <c r="E18" s="341"/>
      <c r="F18" s="341"/>
      <c r="G18" s="341"/>
      <c r="H18" s="341"/>
      <c r="I18" s="341"/>
      <c r="J18" s="341"/>
      <c r="K18" s="341"/>
    </row>
    <row r="19" spans="2:11" ht="30" customHeight="1" x14ac:dyDescent="0.25">
      <c r="B19" s="333">
        <v>44465</v>
      </c>
      <c r="C19" s="334">
        <v>0.60625000000000007</v>
      </c>
      <c r="D19" s="336" t="s">
        <v>685</v>
      </c>
      <c r="E19" s="344">
        <v>2.5106065519917231</v>
      </c>
      <c r="F19" s="339"/>
      <c r="G19" s="339"/>
      <c r="H19" s="339"/>
      <c r="I19" s="339"/>
      <c r="J19" s="339"/>
      <c r="K19" s="339"/>
    </row>
    <row r="20" spans="2:11" ht="30" customHeight="1" x14ac:dyDescent="0.25">
      <c r="B20" s="333">
        <v>44466</v>
      </c>
      <c r="C20" s="334">
        <v>0.60902777777777783</v>
      </c>
      <c r="D20" s="336" t="s">
        <v>686</v>
      </c>
      <c r="E20" s="344">
        <f>E19-iETHStarting-E15</f>
        <v>5.1606551991723038E-2</v>
      </c>
      <c r="F20" s="345">
        <f>Table6[[#This Row],[Var1]]/iOpeningBalanceETH</f>
        <v>2.2148734760396152E-2</v>
      </c>
      <c r="G20" s="339"/>
      <c r="H20" s="339"/>
      <c r="I20" s="339"/>
      <c r="J20" s="339"/>
      <c r="K20" s="339"/>
    </row>
    <row r="21" spans="2:11" ht="30" customHeight="1" x14ac:dyDescent="0.25">
      <c r="B21" s="333">
        <v>44466</v>
      </c>
      <c r="C21" s="334">
        <v>0.61249999999999993</v>
      </c>
      <c r="D21" s="336" t="s">
        <v>687</v>
      </c>
      <c r="E21" s="520"/>
      <c r="F21" s="520"/>
      <c r="G21" s="325"/>
      <c r="H21" s="325"/>
      <c r="I21" s="325"/>
      <c r="J21" s="325"/>
      <c r="K21" s="325"/>
    </row>
    <row r="22" spans="2:11" ht="30" customHeight="1" x14ac:dyDescent="0.25">
      <c r="B22" s="351">
        <v>44467</v>
      </c>
      <c r="C22" s="352">
        <v>0.83194444444444438</v>
      </c>
      <c r="D22" s="353" t="s">
        <v>690</v>
      </c>
      <c r="E22" s="355">
        <v>2211.8592389999999</v>
      </c>
      <c r="F22" s="355">
        <v>0.78615520364667402</v>
      </c>
      <c r="G22" s="23">
        <v>3547.36</v>
      </c>
      <c r="H22" s="355">
        <v>1.27</v>
      </c>
      <c r="I22" s="355"/>
      <c r="J22" s="355"/>
      <c r="K22" s="355"/>
    </row>
    <row r="23" spans="2:11" ht="30" customHeight="1" x14ac:dyDescent="0.25">
      <c r="B23" s="351">
        <v>44467</v>
      </c>
      <c r="C23" s="352">
        <v>0.84027777777777779</v>
      </c>
      <c r="D23" s="353" t="s">
        <v>689</v>
      </c>
      <c r="E23" s="354"/>
      <c r="F23" s="354"/>
      <c r="G23" s="354"/>
      <c r="H23" s="354"/>
      <c r="I23" s="354"/>
      <c r="J23" s="354"/>
      <c r="K23" s="354"/>
    </row>
    <row r="24" spans="2:11" ht="30" customHeight="1" x14ac:dyDescent="0.25">
      <c r="B24" s="351">
        <v>44467</v>
      </c>
      <c r="C24" s="352">
        <v>0.84097222222222223</v>
      </c>
      <c r="D24" s="336" t="s">
        <v>685</v>
      </c>
      <c r="E24" s="355">
        <v>2.57</v>
      </c>
      <c r="F24" s="355"/>
      <c r="G24" s="355"/>
      <c r="H24" s="356"/>
      <c r="I24" s="357"/>
      <c r="J24" s="355"/>
      <c r="K24" s="355"/>
    </row>
    <row r="25" spans="2:11" ht="30" customHeight="1" x14ac:dyDescent="0.25">
      <c r="B25" s="351">
        <v>44467</v>
      </c>
      <c r="C25" s="352">
        <v>0.84166666666666667</v>
      </c>
      <c r="D25" s="336" t="s">
        <v>686</v>
      </c>
      <c r="E25" s="344">
        <f>E24-iETHStarting-E15</f>
        <v>0.11099999999999977</v>
      </c>
      <c r="F25" s="345">
        <f>Table6[[#This Row],[Var1]]/iOpeningBalanceETH</f>
        <v>4.7639484978540668E-2</v>
      </c>
      <c r="G25" s="355"/>
      <c r="H25" s="355"/>
      <c r="I25" s="355"/>
      <c r="J25" s="355"/>
      <c r="K25" s="355"/>
    </row>
    <row r="26" spans="2:11" ht="30" customHeight="1" x14ac:dyDescent="0.25">
      <c r="B26" s="351">
        <v>44467</v>
      </c>
      <c r="C26" s="352">
        <v>0.84236111111111101</v>
      </c>
      <c r="D26" s="324" t="s">
        <v>661</v>
      </c>
      <c r="E26" s="341">
        <v>3547</v>
      </c>
      <c r="F26" s="341">
        <f>E26*(1-iDelta*3)</f>
        <v>3334.18</v>
      </c>
      <c r="G26" s="341">
        <f>E26*(1-iDelta*2)</f>
        <v>3405.12</v>
      </c>
      <c r="H26" s="342">
        <f>E26*(1-iDelta*1)</f>
        <v>3476.06</v>
      </c>
      <c r="I26" s="343">
        <f>E26*(1+iDelta*1)</f>
        <v>3617.94</v>
      </c>
      <c r="J26" s="341">
        <f>E26*(1+iDelta*2)</f>
        <v>3688.88</v>
      </c>
      <c r="K26" s="341">
        <f>E26*(1+iDelta*3)</f>
        <v>3759.82</v>
      </c>
    </row>
    <row r="27" spans="2:11" ht="30" customHeight="1" x14ac:dyDescent="0.25">
      <c r="B27" s="351">
        <v>44467</v>
      </c>
      <c r="C27" s="352">
        <v>0.84305555555555556</v>
      </c>
      <c r="D27" s="336" t="s">
        <v>684</v>
      </c>
      <c r="E27" s="355"/>
      <c r="F27" s="355"/>
      <c r="G27" s="358"/>
      <c r="H27" s="356"/>
      <c r="I27" s="357"/>
      <c r="J27" s="355"/>
      <c r="K27" s="355"/>
    </row>
    <row r="28" spans="2:11" ht="30" customHeight="1" x14ac:dyDescent="0.25">
      <c r="B28" s="362">
        <v>44470</v>
      </c>
      <c r="C28" s="363">
        <v>0.28472222222222221</v>
      </c>
      <c r="D28" s="324" t="s">
        <v>661</v>
      </c>
      <c r="E28" s="365">
        <v>4062.69</v>
      </c>
      <c r="F28" s="341">
        <f>E28*(1-iDelta*3)</f>
        <v>3818.9285999999997</v>
      </c>
      <c r="G28" s="341">
        <f>E28*(1-iDelta*2)</f>
        <v>3900.1823999999997</v>
      </c>
      <c r="H28" s="342">
        <f>E28*(1-iDelta*1)</f>
        <v>3981.4362000000001</v>
      </c>
      <c r="I28" s="343">
        <f>E28*(1+iDelta*1)</f>
        <v>4143.9438</v>
      </c>
      <c r="J28" s="341">
        <f>E28*(1+iDelta*2)</f>
        <v>4225.1976000000004</v>
      </c>
      <c r="K28" s="341">
        <f>E28*(1+iDelta*3)</f>
        <v>4306.4513999999999</v>
      </c>
    </row>
    <row r="29" spans="2:11" ht="30" customHeight="1" x14ac:dyDescent="0.25">
      <c r="B29" s="362">
        <v>44470</v>
      </c>
      <c r="C29" s="363">
        <v>0.28541666666666665</v>
      </c>
      <c r="D29" s="397" t="s">
        <v>707</v>
      </c>
      <c r="E29" s="365">
        <v>0.68</v>
      </c>
      <c r="F29" s="526">
        <v>2172.625927</v>
      </c>
      <c r="G29" s="526">
        <v>4062.69</v>
      </c>
      <c r="H29" s="365">
        <v>1.27</v>
      </c>
      <c r="I29" s="365"/>
      <c r="J29" s="365"/>
      <c r="K29" s="365"/>
    </row>
    <row r="30" spans="2:11" ht="30" customHeight="1" x14ac:dyDescent="0.25">
      <c r="B30" s="362">
        <v>44470</v>
      </c>
      <c r="C30" s="363">
        <v>0.28680555555555554</v>
      </c>
      <c r="D30" s="364" t="s">
        <v>687</v>
      </c>
      <c r="E30" s="365"/>
      <c r="F30" s="365"/>
      <c r="G30" s="365"/>
      <c r="H30" s="365"/>
      <c r="I30" s="365"/>
      <c r="J30" s="365"/>
      <c r="K30" s="365"/>
    </row>
    <row r="31" spans="2:11" ht="30" customHeight="1" x14ac:dyDescent="0.25">
      <c r="B31" s="362">
        <v>44470</v>
      </c>
      <c r="C31" s="363">
        <v>0.2902777777777778</v>
      </c>
      <c r="D31" s="336" t="s">
        <v>685</v>
      </c>
      <c r="E31" s="522">
        <v>2.5791797535494356</v>
      </c>
      <c r="F31" s="365"/>
      <c r="G31" s="365"/>
      <c r="H31" s="365"/>
      <c r="I31" s="365"/>
      <c r="J31" s="365"/>
      <c r="K31" s="365"/>
    </row>
    <row r="32" spans="2:11" ht="30" customHeight="1" x14ac:dyDescent="0.25">
      <c r="B32" s="362">
        <v>44470</v>
      </c>
      <c r="C32" s="363">
        <v>0.29097222222222224</v>
      </c>
      <c r="D32" s="336" t="s">
        <v>686</v>
      </c>
      <c r="E32" s="344" t="e">
        <f>E31-iETHStarting-#REF!</f>
        <v>#REF!</v>
      </c>
      <c r="F32" s="345" t="e">
        <f>Table6[[#This Row],[Var1]]/iOpeningBalanceETH</f>
        <v>#REF!</v>
      </c>
      <c r="G32" s="358"/>
      <c r="H32" s="356"/>
      <c r="I32" s="357"/>
      <c r="J32" s="365"/>
      <c r="K32" s="365"/>
    </row>
    <row r="33" spans="2:11" ht="30" customHeight="1" x14ac:dyDescent="0.25">
      <c r="B33" s="362">
        <v>44470</v>
      </c>
      <c r="C33" s="363">
        <v>0.29166666666666669</v>
      </c>
      <c r="D33" s="336" t="s">
        <v>684</v>
      </c>
      <c r="E33" s="365"/>
      <c r="F33" s="365"/>
      <c r="G33" s="365"/>
      <c r="H33" s="365"/>
      <c r="I33" s="365"/>
      <c r="J33" s="365"/>
      <c r="K33" s="365"/>
    </row>
    <row r="34" spans="2:11" ht="30" customHeight="1" x14ac:dyDescent="0.25">
      <c r="B34" s="380">
        <v>44473</v>
      </c>
      <c r="C34" s="381">
        <v>0.28472222222222221</v>
      </c>
      <c r="D34" s="382" t="s">
        <v>705</v>
      </c>
      <c r="E34" s="383">
        <v>0.313</v>
      </c>
      <c r="F34" s="383"/>
      <c r="G34" s="383"/>
      <c r="H34" s="383"/>
      <c r="I34" s="383"/>
      <c r="J34" s="383"/>
      <c r="K34" s="383"/>
    </row>
    <row r="35" spans="2:11" ht="30" customHeight="1" x14ac:dyDescent="0.25">
      <c r="B35" s="384">
        <v>44474</v>
      </c>
      <c r="C35" s="385">
        <v>0.56805555555555554</v>
      </c>
      <c r="D35" s="386" t="s">
        <v>706</v>
      </c>
      <c r="E35" s="387"/>
      <c r="F35" s="388"/>
      <c r="G35" s="387"/>
      <c r="H35" s="387"/>
      <c r="I35" s="387"/>
      <c r="J35" s="387"/>
      <c r="K35" s="387"/>
    </row>
    <row r="36" spans="2:11" ht="30" customHeight="1" x14ac:dyDescent="0.25">
      <c r="B36" s="392">
        <v>44474</v>
      </c>
      <c r="C36" s="393">
        <v>0.72777777777777775</v>
      </c>
      <c r="D36" s="398" t="s">
        <v>709</v>
      </c>
      <c r="E36" s="396">
        <v>0.7</v>
      </c>
      <c r="F36" s="515">
        <v>2454.5608299999999</v>
      </c>
      <c r="G36" s="515">
        <v>4411.9799999999996</v>
      </c>
      <c r="H36" s="515">
        <v>1.26</v>
      </c>
      <c r="I36" s="515"/>
      <c r="J36" s="515"/>
      <c r="K36" s="515"/>
    </row>
    <row r="37" spans="2:11" ht="30" customHeight="1" x14ac:dyDescent="0.25">
      <c r="B37" s="392">
        <v>44474</v>
      </c>
      <c r="C37" s="393">
        <v>0.7284722222222223</v>
      </c>
      <c r="D37" s="394" t="s">
        <v>708</v>
      </c>
      <c r="E37" s="396"/>
      <c r="F37" s="396"/>
      <c r="G37" s="396"/>
      <c r="H37" s="396"/>
      <c r="I37" s="396"/>
      <c r="J37" s="396"/>
      <c r="K37" s="396"/>
    </row>
    <row r="38" spans="2:11" ht="30" customHeight="1" x14ac:dyDescent="0.25">
      <c r="B38" s="392">
        <v>44474</v>
      </c>
      <c r="C38" s="393">
        <v>0.72916666666666663</v>
      </c>
      <c r="D38" s="324" t="s">
        <v>661</v>
      </c>
      <c r="E38" s="395">
        <v>4411.9799999999996</v>
      </c>
      <c r="F38" s="513">
        <f>E38*(1-iDelta*3)</f>
        <v>4147.261199999999</v>
      </c>
      <c r="G38" s="513">
        <f>E38*(1-iDelta*2)</f>
        <v>4235.5007999999998</v>
      </c>
      <c r="H38" s="516">
        <f>E38*(1-iDelta*1)</f>
        <v>4323.7403999999997</v>
      </c>
      <c r="I38" s="518">
        <f>E38*(1+iDelta*1)</f>
        <v>4500.2195999999994</v>
      </c>
      <c r="J38" s="513">
        <f>E38*(1+iDelta*2)</f>
        <v>4588.4591999999993</v>
      </c>
      <c r="K38" s="513">
        <f>E38*(1+iDelta*3)</f>
        <v>4676.6988000000001</v>
      </c>
    </row>
    <row r="39" spans="2:11" ht="30" customHeight="1" x14ac:dyDescent="0.25">
      <c r="B39" s="392">
        <v>44474</v>
      </c>
      <c r="C39" s="393">
        <v>0.7319444444444444</v>
      </c>
      <c r="D39" s="394" t="s">
        <v>685</v>
      </c>
      <c r="E39" s="396">
        <v>2.8176007576099211</v>
      </c>
      <c r="F39" s="396"/>
      <c r="G39" s="396"/>
      <c r="H39" s="396"/>
      <c r="I39" s="396"/>
      <c r="J39" s="396"/>
      <c r="K39" s="396"/>
    </row>
    <row r="40" spans="2:11" ht="30" customHeight="1" x14ac:dyDescent="0.25">
      <c r="B40" s="392">
        <v>44474</v>
      </c>
      <c r="C40" s="393">
        <v>0.74513888888888891</v>
      </c>
      <c r="D40" s="336" t="s">
        <v>686</v>
      </c>
      <c r="E40" s="344">
        <f>E39-iETHStarting-iETHAdded</f>
        <v>-1.0002622680311046</v>
      </c>
      <c r="F40" s="345">
        <f>Table6[[#This Row],[Var1]]/iOpeningBalanceETH</f>
        <v>-0.42929711074296334</v>
      </c>
      <c r="G40" s="358"/>
      <c r="H40" s="356"/>
      <c r="I40" s="357"/>
      <c r="J40" s="365"/>
      <c r="K40" s="365"/>
    </row>
    <row r="41" spans="2:11" ht="30" customHeight="1" x14ac:dyDescent="0.25">
      <c r="B41" s="392">
        <v>44474</v>
      </c>
      <c r="C41" s="393">
        <v>0.75</v>
      </c>
      <c r="D41" s="404" t="s">
        <v>686</v>
      </c>
      <c r="E41" s="406">
        <v>6.4168934371523878E-2</v>
      </c>
      <c r="F41" s="407">
        <v>2.33</v>
      </c>
      <c r="G41" s="408">
        <f>Table6[[#This Row],[Var1]]/Table6[[#This Row],[Var2]]</f>
        <v>2.7540315180911535E-2</v>
      </c>
      <c r="H41" s="409">
        <v>4411</v>
      </c>
      <c r="I41" s="409">
        <f>Table6[[#This Row],[Var1]]*Table6[[#This Row],[Var4]]</f>
        <v>283.04916951279182</v>
      </c>
      <c r="J41" s="365"/>
      <c r="K41" s="365"/>
    </row>
    <row r="42" spans="2:11" ht="30" customHeight="1" x14ac:dyDescent="0.25">
      <c r="B42" s="392">
        <v>44475</v>
      </c>
      <c r="C42" s="393">
        <v>0.29166666666666669</v>
      </c>
      <c r="D42" s="404" t="s">
        <v>710</v>
      </c>
      <c r="E42" s="406"/>
      <c r="F42" s="345"/>
      <c r="G42" s="358"/>
      <c r="H42" s="356"/>
      <c r="I42" s="357"/>
      <c r="J42" s="365"/>
      <c r="K42" s="365"/>
    </row>
    <row r="43" spans="2:11" ht="30" customHeight="1" x14ac:dyDescent="0.25">
      <c r="B43" s="402">
        <v>44475</v>
      </c>
      <c r="C43" s="403">
        <v>0.29375000000000001</v>
      </c>
      <c r="D43" s="481" t="s">
        <v>747</v>
      </c>
      <c r="E43" s="523">
        <v>4251</v>
      </c>
      <c r="F43" s="341">
        <f>E43*(1-iDelta*3)</f>
        <v>3995.9399999999996</v>
      </c>
      <c r="G43" s="341">
        <f>E43*(1-iDelta*2)</f>
        <v>4080.96</v>
      </c>
      <c r="H43" s="342">
        <f>E43*(1-iDelta*1)</f>
        <v>4165.9799999999996</v>
      </c>
      <c r="I43" s="343">
        <f>E43*(1+iDelta*1)</f>
        <v>4336.0200000000004</v>
      </c>
      <c r="J43" s="341">
        <f>E43*(1+iDelta*2)</f>
        <v>4421.04</v>
      </c>
      <c r="K43" s="341">
        <f>E43*(1+iDelta*3)</f>
        <v>4506.0600000000004</v>
      </c>
    </row>
    <row r="44" spans="2:11" ht="30" customHeight="1" x14ac:dyDescent="0.25">
      <c r="B44" s="402">
        <v>44475</v>
      </c>
      <c r="C44" s="403">
        <v>0.41666666666666669</v>
      </c>
      <c r="D44" s="481" t="s">
        <v>747</v>
      </c>
      <c r="E44" s="523">
        <v>4529</v>
      </c>
      <c r="F44" s="341">
        <f>E44*(1-iDelta*3)</f>
        <v>4257.2599999999993</v>
      </c>
      <c r="G44" s="341">
        <f>E44*(1-iDelta*2)</f>
        <v>4347.84</v>
      </c>
      <c r="H44" s="342">
        <f>E44*(1-iDelta*1)</f>
        <v>4438.42</v>
      </c>
      <c r="I44" s="343">
        <f>E44*(1+iDelta*1)</f>
        <v>4619.58</v>
      </c>
      <c r="J44" s="341">
        <f>E44*(1+iDelta*2)</f>
        <v>4710.16</v>
      </c>
      <c r="K44" s="341">
        <f>E44*(1+iDelta*3)</f>
        <v>4800.7400000000007</v>
      </c>
    </row>
    <row r="45" spans="2:11" ht="30" customHeight="1" x14ac:dyDescent="0.25">
      <c r="B45" s="402">
        <v>44475</v>
      </c>
      <c r="C45" s="403">
        <v>0.4236111111111111</v>
      </c>
      <c r="D45" s="404" t="s">
        <v>711</v>
      </c>
      <c r="E45" s="405"/>
      <c r="F45" s="405"/>
      <c r="G45" s="405"/>
      <c r="H45" s="405"/>
      <c r="I45" s="405"/>
      <c r="J45" s="405"/>
      <c r="K45" s="405"/>
    </row>
    <row r="46" spans="2:11" ht="30" customHeight="1" x14ac:dyDescent="0.25">
      <c r="B46" s="402">
        <v>44475</v>
      </c>
      <c r="C46" s="403">
        <v>0.42430555555555555</v>
      </c>
      <c r="D46" s="404" t="s">
        <v>686</v>
      </c>
      <c r="E46" s="406">
        <v>6.854313236929882E-2</v>
      </c>
      <c r="F46" s="407">
        <v>2.33</v>
      </c>
      <c r="G46" s="408">
        <f>Table6[[#This Row],[Var1]]/Table6[[#This Row],[Var2]]</f>
        <v>2.9417653377381468E-2</v>
      </c>
      <c r="H46" s="409">
        <v>4529</v>
      </c>
      <c r="I46" s="409">
        <f>Table6[[#This Row],[Var1]]*Table6[[#This Row],[Var4]]</f>
        <v>310.43184650055434</v>
      </c>
      <c r="J46" s="365"/>
      <c r="K46" s="365"/>
    </row>
    <row r="47" spans="2:11" ht="30" customHeight="1" x14ac:dyDescent="0.25">
      <c r="B47" s="422">
        <v>44481</v>
      </c>
      <c r="C47" s="423">
        <v>0.28194444444444444</v>
      </c>
      <c r="D47" s="481" t="s">
        <v>747</v>
      </c>
      <c r="E47" s="521">
        <v>4304</v>
      </c>
      <c r="F47" s="341">
        <f>E47*(1-iDelta*3)</f>
        <v>4045.7599999999998</v>
      </c>
      <c r="G47" s="341">
        <f>E47*(1-iDelta*2)</f>
        <v>4131.84</v>
      </c>
      <c r="H47" s="342">
        <f>E47*(1-iDelta*1)</f>
        <v>4217.92</v>
      </c>
      <c r="I47" s="343">
        <f>E47*(1+iDelta*1)</f>
        <v>4390.08</v>
      </c>
      <c r="J47" s="341">
        <f>E47*(1+iDelta*2)</f>
        <v>4476.16</v>
      </c>
      <c r="K47" s="341">
        <f>E47*(1+iDelta*3)</f>
        <v>4562.24</v>
      </c>
    </row>
    <row r="48" spans="2:11" ht="30" customHeight="1" x14ac:dyDescent="0.25">
      <c r="B48" s="422">
        <v>44481</v>
      </c>
      <c r="C48" s="423">
        <v>0.28402777777777777</v>
      </c>
      <c r="D48" s="336" t="s">
        <v>684</v>
      </c>
      <c r="E48" s="521"/>
      <c r="F48" s="521"/>
      <c r="G48" s="521"/>
      <c r="H48" s="521"/>
      <c r="I48" s="521"/>
      <c r="J48" s="521"/>
      <c r="K48" s="521"/>
    </row>
    <row r="49" spans="2:11" ht="30" customHeight="1" x14ac:dyDescent="0.25">
      <c r="B49" s="422">
        <v>44481</v>
      </c>
      <c r="C49" s="423">
        <v>0.30138888888888887</v>
      </c>
      <c r="D49" s="404" t="s">
        <v>686</v>
      </c>
      <c r="E49" s="521">
        <v>0.11334671236059463</v>
      </c>
      <c r="F49" s="407">
        <v>2.33</v>
      </c>
      <c r="G49" s="408">
        <f>Table6[[#This Row],[Var1]]/Table6[[#This Row],[Var2]]</f>
        <v>4.8646657665491255E-2</v>
      </c>
      <c r="H49" s="409">
        <v>4304</v>
      </c>
      <c r="I49" s="409">
        <f>Table6[[#This Row],[Var1]]*Table6[[#This Row],[Var4]]</f>
        <v>487.84424999999925</v>
      </c>
      <c r="J49" s="521"/>
      <c r="K49" s="521"/>
    </row>
    <row r="50" spans="2:11" ht="30" customHeight="1" x14ac:dyDescent="0.25">
      <c r="B50" s="434">
        <v>44482</v>
      </c>
      <c r="C50" s="435">
        <v>0.82777777777777783</v>
      </c>
      <c r="D50" s="481" t="s">
        <v>747</v>
      </c>
      <c r="E50" s="436">
        <v>4473</v>
      </c>
      <c r="F50" s="341">
        <f>E50*(1-iDelta*3)</f>
        <v>4204.62</v>
      </c>
      <c r="G50" s="341">
        <f>E50*(1-iDelta*2)</f>
        <v>4294.08</v>
      </c>
      <c r="H50" s="342">
        <f>E50*(1-iDelta*1)</f>
        <v>4383.54</v>
      </c>
      <c r="I50" s="343">
        <f>E50*(1+iDelta*1)</f>
        <v>4562.46</v>
      </c>
      <c r="J50" s="341">
        <f>E50*(1+iDelta*2)</f>
        <v>4651.92</v>
      </c>
      <c r="K50" s="341">
        <f>E50*(1+iDelta*3)</f>
        <v>4741.38</v>
      </c>
    </row>
    <row r="51" spans="2:11" ht="30" customHeight="1" x14ac:dyDescent="0.25">
      <c r="B51" s="434">
        <v>44482</v>
      </c>
      <c r="C51" s="435">
        <v>0.8305555555555556</v>
      </c>
      <c r="D51" s="336" t="s">
        <v>684</v>
      </c>
      <c r="E51" s="424"/>
      <c r="F51" s="521"/>
      <c r="G51" s="521"/>
      <c r="H51" s="521"/>
      <c r="I51" s="521"/>
      <c r="J51" s="521"/>
      <c r="K51" s="521"/>
    </row>
    <row r="52" spans="2:11" ht="30" customHeight="1" x14ac:dyDescent="0.25">
      <c r="B52" s="437">
        <v>44483</v>
      </c>
      <c r="C52" s="438">
        <v>0.38263888888888892</v>
      </c>
      <c r="D52" s="481" t="s">
        <v>747</v>
      </c>
      <c r="E52" s="524">
        <v>4643.29</v>
      </c>
      <c r="F52" s="341">
        <f>E52*(1-iDelta*3)</f>
        <v>4364.6925999999994</v>
      </c>
      <c r="G52" s="341">
        <f>E52*(1-iDelta*2)</f>
        <v>4457.5583999999999</v>
      </c>
      <c r="H52" s="342">
        <f>E52*(1-iDelta*1)</f>
        <v>4550.4241999999995</v>
      </c>
      <c r="I52" s="343">
        <f>E52*(1+iDelta*1)</f>
        <v>4736.1558000000005</v>
      </c>
      <c r="J52" s="341">
        <f>E52*(1+iDelta*2)</f>
        <v>4829.0216</v>
      </c>
      <c r="K52" s="341">
        <f>E52*(1+iDelta*3)</f>
        <v>4921.8874000000005</v>
      </c>
    </row>
    <row r="53" spans="2:11" ht="30" customHeight="1" x14ac:dyDescent="0.25">
      <c r="B53" s="437">
        <v>44483</v>
      </c>
      <c r="C53" s="438">
        <v>0.3833333333333333</v>
      </c>
      <c r="D53" s="439" t="s">
        <v>684</v>
      </c>
      <c r="E53" s="440"/>
      <c r="F53" s="440"/>
      <c r="G53" s="440"/>
      <c r="H53" s="440"/>
      <c r="I53" s="440"/>
      <c r="J53" s="440"/>
      <c r="K53" s="440"/>
    </row>
    <row r="54" spans="2:11" ht="30" customHeight="1" x14ac:dyDescent="0.25">
      <c r="B54" s="437">
        <v>44483</v>
      </c>
      <c r="C54" s="445">
        <v>0.83958333333333324</v>
      </c>
      <c r="D54" s="446" t="s">
        <v>717</v>
      </c>
      <c r="E54" s="447">
        <v>2008.29</v>
      </c>
      <c r="F54" s="447">
        <v>1.24</v>
      </c>
      <c r="G54" s="447">
        <v>4680</v>
      </c>
      <c r="H54" s="447">
        <f>Table6[[#This Row],[Var1]]*Table6[[#This Row],[Var2]]/Table6[[#This Row],[Var3]]</f>
        <v>0.53211102564102564</v>
      </c>
      <c r="I54" s="447"/>
      <c r="J54" s="447"/>
      <c r="K54" s="447"/>
    </row>
    <row r="55" spans="2:11" ht="30" customHeight="1" x14ac:dyDescent="0.25">
      <c r="B55" s="452">
        <v>44484</v>
      </c>
      <c r="C55" s="453">
        <v>0.91666666666666663</v>
      </c>
      <c r="D55" s="454" t="s">
        <v>718</v>
      </c>
      <c r="E55" s="455">
        <v>2009.38</v>
      </c>
      <c r="F55" s="528">
        <v>0.51375199999999999</v>
      </c>
      <c r="G55" s="528"/>
      <c r="H55" s="528"/>
      <c r="I55" s="528"/>
      <c r="J55" s="528"/>
      <c r="K55" s="528"/>
    </row>
    <row r="56" spans="2:11" ht="30" customHeight="1" x14ac:dyDescent="0.25">
      <c r="B56" s="452">
        <v>44485</v>
      </c>
      <c r="C56" s="453">
        <v>0.6430555555555556</v>
      </c>
      <c r="D56" s="454" t="s">
        <v>719</v>
      </c>
      <c r="E56" s="455">
        <v>1.0771488870000001</v>
      </c>
      <c r="F56" s="528">
        <v>4779.3500000000004</v>
      </c>
      <c r="G56" s="455"/>
      <c r="H56" s="455"/>
      <c r="I56" s="455"/>
      <c r="J56" s="455"/>
      <c r="K56" s="455"/>
    </row>
    <row r="57" spans="2:11" ht="30" customHeight="1" x14ac:dyDescent="0.25">
      <c r="B57" s="452">
        <v>44485</v>
      </c>
      <c r="C57" s="453">
        <v>0.64444444444444449</v>
      </c>
      <c r="D57" s="481" t="s">
        <v>747</v>
      </c>
      <c r="E57" s="455">
        <v>4779.3500000000004</v>
      </c>
      <c r="F57" s="341">
        <f>E57*(1-iDelta*3)</f>
        <v>4492.5889999999999</v>
      </c>
      <c r="G57" s="341">
        <f>E57*(1-iDelta*2)</f>
        <v>4588.1760000000004</v>
      </c>
      <c r="H57" s="342">
        <f>E57*(1-iDelta*1)</f>
        <v>4683.7629999999999</v>
      </c>
      <c r="I57" s="343">
        <f>E57*(1+iDelta*1)</f>
        <v>4874.9370000000008</v>
      </c>
      <c r="J57" s="341">
        <f>E57*(1+iDelta*2)</f>
        <v>4970.5240000000003</v>
      </c>
      <c r="K57" s="341">
        <f>E57*(1+iDelta*3)</f>
        <v>5066.1110000000008</v>
      </c>
    </row>
    <row r="58" spans="2:11" ht="30" customHeight="1" x14ac:dyDescent="0.25">
      <c r="B58" s="452">
        <v>44485</v>
      </c>
      <c r="C58" s="453">
        <v>0.64513888888888882</v>
      </c>
      <c r="D58" s="439" t="s">
        <v>684</v>
      </c>
      <c r="E58" s="455"/>
      <c r="F58" s="528"/>
      <c r="G58" s="528"/>
      <c r="H58" s="528"/>
      <c r="I58" s="528"/>
      <c r="J58" s="528"/>
      <c r="K58" s="528"/>
    </row>
    <row r="59" spans="2:11" ht="30" customHeight="1" x14ac:dyDescent="0.25">
      <c r="B59" s="457">
        <v>44486</v>
      </c>
      <c r="C59" s="458">
        <v>0.73055555555555562</v>
      </c>
      <c r="D59" s="481" t="s">
        <v>747</v>
      </c>
      <c r="E59" s="459">
        <v>4600</v>
      </c>
      <c r="F59" s="341">
        <f>E59*(1-iDelta*3)</f>
        <v>4324</v>
      </c>
      <c r="G59" s="341">
        <f>E59*(1-iDelta*2)</f>
        <v>4416</v>
      </c>
      <c r="H59" s="342">
        <f>E59*(1-iDelta*1)</f>
        <v>4508</v>
      </c>
      <c r="I59" s="343">
        <f>E59*(1+iDelta*1)</f>
        <v>4692</v>
      </c>
      <c r="J59" s="341">
        <f>E59*(1+iDelta*2)</f>
        <v>4784</v>
      </c>
      <c r="K59" s="341">
        <f>E59*(1+iDelta*3)</f>
        <v>4876</v>
      </c>
    </row>
    <row r="60" spans="2:11" ht="30" customHeight="1" x14ac:dyDescent="0.25">
      <c r="B60" s="457">
        <v>44486</v>
      </c>
      <c r="C60" s="458">
        <v>0.88750000000000007</v>
      </c>
      <c r="D60" s="481" t="s">
        <v>747</v>
      </c>
      <c r="E60" s="459">
        <v>4783</v>
      </c>
      <c r="F60" s="341">
        <f>E60*(1-iDelta*3)</f>
        <v>4496.0199999999995</v>
      </c>
      <c r="G60" s="341">
        <f>E60*(1-iDelta*2)</f>
        <v>4591.6799999999994</v>
      </c>
      <c r="H60" s="342">
        <f>E60*(1-iDelta*1)</f>
        <v>4687.34</v>
      </c>
      <c r="I60" s="343">
        <f>E60*(1+iDelta*1)</f>
        <v>4878.66</v>
      </c>
      <c r="J60" s="341">
        <f>E60*(1+iDelta*2)</f>
        <v>4974.3200000000006</v>
      </c>
      <c r="K60" s="341">
        <f>E60*(1+iDelta*3)</f>
        <v>5069.9800000000005</v>
      </c>
    </row>
    <row r="61" spans="2:11" ht="30" customHeight="1" x14ac:dyDescent="0.25">
      <c r="B61" s="479">
        <v>44488</v>
      </c>
      <c r="C61" s="480">
        <v>0.41111111111111115</v>
      </c>
      <c r="D61" s="481" t="s">
        <v>745</v>
      </c>
      <c r="E61" s="482">
        <v>41.1</v>
      </c>
      <c r="F61" s="340">
        <f>E61*(1-iBITO_Delta*3)</f>
        <v>31.236000000000001</v>
      </c>
      <c r="G61" s="340">
        <f>E61*(1-iBITO_Delta*2)</f>
        <v>34.524000000000001</v>
      </c>
      <c r="H61" s="483">
        <f>E61*(1-iBITO_Delta*1)</f>
        <v>37.812000000000005</v>
      </c>
      <c r="I61" s="484">
        <f>E61*(1+iBITO_Delta*1)</f>
        <v>44.388000000000005</v>
      </c>
      <c r="J61" s="340">
        <f>E61*(1+iBITO_Delta*2)</f>
        <v>47.675999999999995</v>
      </c>
      <c r="K61" s="340">
        <f>E61*(1+iBITO_Delta*3)</f>
        <v>50.963999999999999</v>
      </c>
    </row>
    <row r="62" spans="2:11" ht="30" customHeight="1" x14ac:dyDescent="0.25">
      <c r="B62" s="479">
        <v>44488</v>
      </c>
      <c r="C62" s="480">
        <v>0.47083333333333338</v>
      </c>
      <c r="D62" s="481" t="s">
        <v>746</v>
      </c>
      <c r="E62" s="525">
        <v>39.049999999999997</v>
      </c>
      <c r="F62" s="356">
        <v>246</v>
      </c>
      <c r="G62" s="511">
        <f>Table6[[#This Row],[Var1]]*Table6[[#This Row],[Var2]]</f>
        <v>9606.2999999999993</v>
      </c>
      <c r="H62" s="543">
        <v>43.16</v>
      </c>
      <c r="I62" s="503">
        <v>223</v>
      </c>
      <c r="J62" s="512">
        <f>Table6[[#This Row],[Var4]]*Table6[[#This Row],[Var5]]</f>
        <v>9624.6799999999985</v>
      </c>
      <c r="K62" s="482"/>
    </row>
    <row r="63" spans="2:11" ht="30" customHeight="1" x14ac:dyDescent="0.25">
      <c r="B63" s="507">
        <v>44489</v>
      </c>
      <c r="C63" s="508">
        <v>0.40625</v>
      </c>
      <c r="D63" s="509" t="s">
        <v>749</v>
      </c>
      <c r="E63" s="531">
        <v>43.16</v>
      </c>
      <c r="F63" s="527">
        <v>223</v>
      </c>
      <c r="G63" s="532">
        <f>Table6[[#This Row],[Var1]]*Table6[[#This Row],[Var2]]</f>
        <v>9624.6799999999985</v>
      </c>
      <c r="H63" s="527"/>
      <c r="I63" s="527"/>
      <c r="J63" s="527"/>
      <c r="K63" s="527"/>
    </row>
    <row r="64" spans="2:11" ht="30" customHeight="1" x14ac:dyDescent="0.25">
      <c r="B64" s="507">
        <v>44489</v>
      </c>
      <c r="C64" s="508">
        <v>0.40902777777777777</v>
      </c>
      <c r="D64" s="481" t="s">
        <v>745</v>
      </c>
      <c r="E64" s="510">
        <v>43.16</v>
      </c>
      <c r="F64" s="514">
        <f>E64*(1-iBITO_Delta*3)</f>
        <v>32.801600000000001</v>
      </c>
      <c r="G64" s="514">
        <f>E64*(1-iBITO_Delta*2)</f>
        <v>36.254399999999997</v>
      </c>
      <c r="H64" s="517">
        <f>E64*(1-iBITO_Delta*1)</f>
        <v>39.7072</v>
      </c>
      <c r="I64" s="519">
        <f>E64*(1+iBITO_Delta*1)</f>
        <v>46.6128</v>
      </c>
      <c r="J64" s="514">
        <f>E64*(1+iBITO_Delta*2)</f>
        <v>50.065599999999989</v>
      </c>
      <c r="K64" s="514">
        <f>E64*(1+iBITO_Delta*3)</f>
        <v>53.518399999999993</v>
      </c>
    </row>
    <row r="65" spans="2:11" ht="30" customHeight="1" x14ac:dyDescent="0.25">
      <c r="B65" s="507">
        <v>44489</v>
      </c>
      <c r="C65" s="508">
        <v>0.41111111111111115</v>
      </c>
      <c r="D65" s="481" t="s">
        <v>746</v>
      </c>
      <c r="E65" s="525">
        <v>41</v>
      </c>
      <c r="F65" s="356">
        <v>246</v>
      </c>
      <c r="G65" s="511">
        <f>Table6[[#This Row],[Var1]]*Table6[[#This Row],[Var2]]</f>
        <v>10086</v>
      </c>
      <c r="H65" s="543">
        <v>46.61</v>
      </c>
      <c r="I65" s="503">
        <v>223</v>
      </c>
      <c r="J65" s="512">
        <f>Table6[[#This Row],[Var4]]*Table6[[#This Row],[Var5]]</f>
        <v>10394.030000000001</v>
      </c>
      <c r="K65" s="510"/>
    </row>
    <row r="66" spans="2:11" ht="30" customHeight="1" x14ac:dyDescent="0.25">
      <c r="B66" s="507">
        <v>44489</v>
      </c>
      <c r="C66" s="508">
        <v>0.48819444444444443</v>
      </c>
      <c r="D66" s="481" t="s">
        <v>747</v>
      </c>
      <c r="E66" s="510">
        <v>5007.8</v>
      </c>
      <c r="F66" s="341">
        <f>E66*(1-iDelta*3)</f>
        <v>4707.3320000000003</v>
      </c>
      <c r="G66" s="341">
        <f>E66*(1-iDelta*2)</f>
        <v>4807.4880000000003</v>
      </c>
      <c r="H66" s="342">
        <f>E66*(1-iDelta*1)</f>
        <v>4907.6440000000002</v>
      </c>
      <c r="I66" s="343">
        <f>E66*(1+iDelta*1)</f>
        <v>5107.9560000000001</v>
      </c>
      <c r="J66" s="341">
        <f>E66*(1+iDelta*2)</f>
        <v>5208.1120000000001</v>
      </c>
      <c r="K66" s="341">
        <f>E66*(1+iDelta*3)</f>
        <v>5308.268</v>
      </c>
    </row>
    <row r="67" spans="2:11" ht="30" customHeight="1" x14ac:dyDescent="0.25">
      <c r="B67" s="507">
        <v>44489</v>
      </c>
      <c r="C67" s="508">
        <v>0.875</v>
      </c>
      <c r="D67" s="509" t="s">
        <v>756</v>
      </c>
      <c r="E67" s="510"/>
      <c r="F67" s="510"/>
      <c r="G67" s="510"/>
      <c r="H67" s="510"/>
      <c r="I67" s="510"/>
      <c r="J67" s="510"/>
      <c r="K67" s="510"/>
    </row>
    <row r="68" spans="2:11" ht="30" customHeight="1" x14ac:dyDescent="0.25">
      <c r="B68" s="538">
        <v>44490</v>
      </c>
      <c r="C68" s="539">
        <v>0.43402777777777773</v>
      </c>
      <c r="D68" s="540" t="s">
        <v>757</v>
      </c>
      <c r="E68" s="542">
        <v>41</v>
      </c>
      <c r="F68" s="541">
        <v>246</v>
      </c>
      <c r="G68" s="532">
        <f>Table6[[#This Row],[Var1]]*Table6[[#This Row],[Var2]]</f>
        <v>10086</v>
      </c>
      <c r="H68" s="541"/>
      <c r="I68" s="541"/>
      <c r="J68" s="541"/>
      <c r="K68" s="541"/>
    </row>
    <row r="69" spans="2:11" ht="30" customHeight="1" x14ac:dyDescent="0.25">
      <c r="B69" s="538">
        <v>44490</v>
      </c>
      <c r="C69" s="539">
        <v>0.4381944444444445</v>
      </c>
      <c r="D69" s="481" t="s">
        <v>745</v>
      </c>
      <c r="E69" s="541">
        <v>41</v>
      </c>
      <c r="F69" s="514">
        <f>E69*(1-iBITO_Delta*3)</f>
        <v>31.16</v>
      </c>
      <c r="G69" s="514">
        <f>E69*(1-iBITO_Delta*2)</f>
        <v>34.44</v>
      </c>
      <c r="H69" s="517">
        <f>E69*(1-iBITO_Delta*1)</f>
        <v>37.72</v>
      </c>
      <c r="I69" s="519">
        <f>E69*(1+iBITO_Delta*1)</f>
        <v>44.28</v>
      </c>
      <c r="J69" s="514">
        <f>E69*(1+iBITO_Delta*2)</f>
        <v>47.559999999999995</v>
      </c>
      <c r="K69" s="514">
        <f>E69*(1+iBITO_Delta*3)</f>
        <v>50.839999999999996</v>
      </c>
    </row>
    <row r="70" spans="2:11" ht="30" customHeight="1" x14ac:dyDescent="0.25">
      <c r="B70" s="538">
        <v>44490</v>
      </c>
      <c r="C70" s="539">
        <v>0.44027777777777777</v>
      </c>
      <c r="D70" s="481" t="s">
        <v>746</v>
      </c>
      <c r="E70" s="525">
        <v>37.72</v>
      </c>
      <c r="F70" s="356">
        <v>238</v>
      </c>
      <c r="G70" s="511">
        <f>Table6[[#This Row],[Var1]]*Table6[[#This Row],[Var2]]</f>
        <v>8977.36</v>
      </c>
      <c r="H70" s="543">
        <v>44.28</v>
      </c>
      <c r="I70" s="503">
        <v>238</v>
      </c>
      <c r="J70" s="512">
        <f>Table6[[#This Row],[Var4]]*Table6[[#This Row],[Var5]]</f>
        <v>10538.64</v>
      </c>
      <c r="K70" s="541"/>
    </row>
    <row r="71" spans="2:11" ht="30" customHeight="1" x14ac:dyDescent="0.25">
      <c r="B71" s="555">
        <v>44495</v>
      </c>
      <c r="C71" s="556">
        <v>0.625</v>
      </c>
      <c r="D71" s="481" t="s">
        <v>747</v>
      </c>
      <c r="E71" s="557">
        <v>5216</v>
      </c>
      <c r="F71" s="341">
        <f>E71*(1-iDelta*3)</f>
        <v>4903.04</v>
      </c>
      <c r="G71" s="341">
        <f>E71*(1-iDelta*2)</f>
        <v>5007.3599999999997</v>
      </c>
      <c r="H71" s="342">
        <f>E71*(1-iDelta*1)</f>
        <v>5111.68</v>
      </c>
      <c r="I71" s="343">
        <f>E71*(1+iDelta*1)</f>
        <v>5320.32</v>
      </c>
      <c r="J71" s="341">
        <f>E71*(1+iDelta*2)</f>
        <v>5424.64</v>
      </c>
      <c r="K71" s="341">
        <f>E71*(1+iDelta*3)</f>
        <v>5528.96</v>
      </c>
    </row>
    <row r="72" spans="2:11" ht="30" customHeight="1" x14ac:dyDescent="0.25">
      <c r="B72" s="555">
        <v>44495</v>
      </c>
      <c r="C72" s="556">
        <v>0.63124999999999998</v>
      </c>
      <c r="D72" s="509" t="s">
        <v>756</v>
      </c>
      <c r="E72" s="557"/>
      <c r="F72" s="557"/>
      <c r="G72" s="557"/>
      <c r="H72" s="557"/>
      <c r="I72" s="557"/>
      <c r="J72" s="557"/>
      <c r="K72" s="557"/>
    </row>
    <row r="73" spans="2:11" ht="30" customHeight="1" x14ac:dyDescent="0.25">
      <c r="B73" s="555">
        <v>44495</v>
      </c>
      <c r="C73" s="560">
        <v>0.77986111111111101</v>
      </c>
      <c r="D73" s="481" t="s">
        <v>747</v>
      </c>
      <c r="E73" s="561">
        <v>5106</v>
      </c>
      <c r="F73" s="562">
        <f>E73*(1-iDelta*3)</f>
        <v>4799.6399999999994</v>
      </c>
      <c r="G73" s="562">
        <f>E73*(1-iDelta*2)</f>
        <v>4901.76</v>
      </c>
      <c r="H73" s="563">
        <f>E73*(1-iDelta*1)</f>
        <v>5003.88</v>
      </c>
      <c r="I73" s="564">
        <f>E73*(1+iDelta*1)</f>
        <v>5208.12</v>
      </c>
      <c r="J73" s="562">
        <f>E73*(1+iDelta*2)</f>
        <v>5310.24</v>
      </c>
      <c r="K73" s="562">
        <f>E73*(1+iDelta*3)</f>
        <v>5412.3600000000006</v>
      </c>
    </row>
    <row r="74" spans="2:11" ht="30" customHeight="1" x14ac:dyDescent="0.25">
      <c r="B74" s="559">
        <v>44495</v>
      </c>
      <c r="C74" s="560">
        <v>0.78055555555555556</v>
      </c>
      <c r="D74" s="509" t="s">
        <v>756</v>
      </c>
      <c r="E74" s="510"/>
      <c r="F74" s="510"/>
      <c r="G74" s="510"/>
      <c r="H74" s="510"/>
      <c r="I74" s="510"/>
      <c r="J74" s="510"/>
      <c r="K74" s="510"/>
    </row>
    <row r="75" spans="2:11" ht="30" customHeight="1" x14ac:dyDescent="0.25">
      <c r="B75" s="570">
        <v>44496</v>
      </c>
      <c r="C75" s="571">
        <v>0.42499999999999999</v>
      </c>
      <c r="D75" s="481" t="s">
        <v>746</v>
      </c>
      <c r="E75" s="525">
        <v>34.96</v>
      </c>
      <c r="F75" s="356">
        <v>246</v>
      </c>
      <c r="G75" s="511">
        <f>Table6[[#This Row],[Var1]]*Table6[[#This Row],[Var2]]</f>
        <v>8600.16</v>
      </c>
      <c r="H75" s="543">
        <v>41.04</v>
      </c>
      <c r="I75" s="503">
        <v>223</v>
      </c>
      <c r="J75" s="512">
        <f>Table6[[#This Row],[Var4]]*Table6[[#This Row],[Var5]]</f>
        <v>9151.92</v>
      </c>
      <c r="K75" s="573"/>
    </row>
    <row r="76" spans="2:11" ht="30" customHeight="1" x14ac:dyDescent="0.25">
      <c r="B76" s="570">
        <v>44496</v>
      </c>
      <c r="C76" s="571">
        <v>0.4381944444444445</v>
      </c>
      <c r="D76" s="481" t="s">
        <v>745</v>
      </c>
      <c r="E76" s="573">
        <v>38</v>
      </c>
      <c r="F76" s="574">
        <f>E76*(1-iBITO_Delta*3)</f>
        <v>28.88</v>
      </c>
      <c r="G76" s="574">
        <f>E76*(1-iBITO_Delta*2)</f>
        <v>31.919999999999998</v>
      </c>
      <c r="H76" s="356">
        <f>E76*(1-iBITO_Delta*1)</f>
        <v>34.96</v>
      </c>
      <c r="I76" s="357">
        <f>E76*(1+iBITO_Delta*1)</f>
        <v>41.040000000000006</v>
      </c>
      <c r="J76" s="574">
        <f>E76*(1+iBITO_Delta*2)</f>
        <v>44.08</v>
      </c>
      <c r="K76" s="574">
        <f>E76*(1+iBITO_Delta*3)</f>
        <v>47.12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2351-D96C-41EF-ACB7-FD555AD5E2CF}">
  <sheetPr>
    <tabColor rgb="FF002060"/>
  </sheetPr>
  <dimension ref="C1:M19"/>
  <sheetViews>
    <sheetView showGridLines="0" tabSelected="1" workbookViewId="0">
      <selection activeCell="L23" sqref="L23"/>
    </sheetView>
  </sheetViews>
  <sheetFormatPr defaultColWidth="8.85546875" defaultRowHeight="31.9" customHeight="1" x14ac:dyDescent="0.25"/>
  <cols>
    <col min="1" max="1" width="1.140625" style="576" customWidth="1"/>
    <col min="2" max="2" width="1.42578125" style="576" customWidth="1"/>
    <col min="3" max="3" width="14.7109375" style="576" customWidth="1"/>
    <col min="4" max="4" width="1.42578125" style="576" customWidth="1"/>
    <col min="5" max="5" width="14.7109375" style="576" customWidth="1"/>
    <col min="6" max="6" width="1.42578125" style="576" customWidth="1"/>
    <col min="7" max="7" width="14.7109375" style="576" customWidth="1"/>
    <col min="8" max="8" width="1.5703125" style="576" customWidth="1"/>
    <col min="9" max="9" width="14.7109375" style="576" customWidth="1"/>
    <col min="10" max="10" width="1.42578125" style="576" customWidth="1"/>
    <col min="11" max="16" width="14.7109375" style="576" customWidth="1"/>
    <col min="17" max="17" width="10.7109375" style="576" customWidth="1"/>
    <col min="18" max="16384" width="8.85546875" style="576"/>
  </cols>
  <sheetData>
    <row r="1" spans="3:13" ht="6" customHeight="1" x14ac:dyDescent="0.25"/>
    <row r="2" spans="3:13" ht="31.9" customHeight="1" x14ac:dyDescent="0.25">
      <c r="C2" s="577" t="s">
        <v>24</v>
      </c>
      <c r="K2" s="583" t="s">
        <v>776</v>
      </c>
      <c r="L2" s="583" t="s">
        <v>777</v>
      </c>
      <c r="M2" s="583" t="s">
        <v>778</v>
      </c>
    </row>
    <row r="3" spans="3:13" ht="6" customHeight="1" x14ac:dyDescent="0.25"/>
    <row r="4" spans="3:13" ht="37.5" customHeight="1" x14ac:dyDescent="0.3">
      <c r="C4" s="578">
        <f>_xlfn.XLOOKUP("ETH",tbCryptoBalances[Symbol],tbCryptoBalances[Curr. Price])</f>
        <v>5269.9160000000002</v>
      </c>
      <c r="D4" s="579"/>
      <c r="E4" s="566">
        <f>G4*(1-iETH_Delta)</f>
        <v>5111.9543999999996</v>
      </c>
      <c r="F4" s="579"/>
      <c r="G4" s="582">
        <v>5216.28</v>
      </c>
      <c r="H4" s="579"/>
      <c r="I4" s="565">
        <f>G4*(1+iETH_Delta)</f>
        <v>5320.6055999999999</v>
      </c>
      <c r="K4" s="584">
        <v>0.25</v>
      </c>
      <c r="L4" s="584">
        <v>0.2</v>
      </c>
      <c r="M4" s="585">
        <v>0.02</v>
      </c>
    </row>
    <row r="5" spans="3:13" ht="6" customHeight="1" x14ac:dyDescent="0.25"/>
    <row r="6" spans="3:13" ht="11.25" customHeight="1" x14ac:dyDescent="0.25">
      <c r="E6" s="594">
        <f>C4</f>
        <v>5269.9160000000002</v>
      </c>
      <c r="F6" s="594"/>
      <c r="G6" s="594"/>
      <c r="H6" s="594"/>
      <c r="I6" s="594"/>
    </row>
    <row r="7" spans="3:13" ht="6" customHeight="1" x14ac:dyDescent="0.25"/>
    <row r="8" spans="3:13" ht="31.9" customHeight="1" x14ac:dyDescent="0.25">
      <c r="C8" s="580" t="s">
        <v>732</v>
      </c>
      <c r="K8" s="583" t="s">
        <v>776</v>
      </c>
      <c r="L8" s="583" t="s">
        <v>777</v>
      </c>
      <c r="M8" s="583" t="s">
        <v>778</v>
      </c>
    </row>
    <row r="9" spans="3:13" ht="6" customHeight="1" x14ac:dyDescent="0.25"/>
    <row r="10" spans="3:13" ht="31.9" customHeight="1" x14ac:dyDescent="0.3">
      <c r="C10" s="578">
        <f>_xlfn.XLOOKUP("BITO",tbCryptoBalances[Symbol],tbCryptoBalances[Curr. Price])</f>
        <v>39.57</v>
      </c>
      <c r="D10" s="579"/>
      <c r="E10" s="566">
        <f>G10*(1-iBITO_Delta)</f>
        <v>34.96</v>
      </c>
      <c r="F10" s="579"/>
      <c r="G10" s="582">
        <v>38</v>
      </c>
      <c r="H10" s="579"/>
      <c r="I10" s="565">
        <f>G10*(1+iBITO_Delta)</f>
        <v>41.040000000000006</v>
      </c>
      <c r="K10" s="584">
        <v>250</v>
      </c>
      <c r="L10" s="584">
        <v>230</v>
      </c>
      <c r="M10" s="585">
        <v>0.08</v>
      </c>
    </row>
    <row r="11" spans="3:13" ht="7.5" customHeight="1" x14ac:dyDescent="0.25"/>
    <row r="12" spans="3:13" ht="11.25" customHeight="1" x14ac:dyDescent="0.25">
      <c r="E12" s="594">
        <f>C10</f>
        <v>39.57</v>
      </c>
      <c r="F12" s="594"/>
      <c r="G12" s="594"/>
      <c r="H12" s="594"/>
      <c r="I12" s="594"/>
    </row>
    <row r="13" spans="3:13" ht="6" customHeight="1" x14ac:dyDescent="0.25"/>
    <row r="14" spans="3:13" ht="31.9" customHeight="1" x14ac:dyDescent="0.25">
      <c r="C14" s="580" t="s">
        <v>763</v>
      </c>
      <c r="K14" s="583" t="s">
        <v>776</v>
      </c>
      <c r="L14" s="583" t="s">
        <v>777</v>
      </c>
      <c r="M14" s="583" t="s">
        <v>778</v>
      </c>
    </row>
    <row r="15" spans="3:13" ht="6" customHeight="1" x14ac:dyDescent="0.25"/>
    <row r="16" spans="3:13" ht="31.9" customHeight="1" x14ac:dyDescent="0.3">
      <c r="C16" s="578">
        <f>_xlfn.XLOOKUP("BTCX",tbCryptoBalances[Symbol],tbCryptoBalances[Curr. Price])</f>
        <v>11.47</v>
      </c>
      <c r="D16" s="579"/>
      <c r="E16" s="566">
        <f>G16*(1-iBTCX_Delta)</f>
        <v>9.9</v>
      </c>
      <c r="F16" s="579"/>
      <c r="G16" s="582">
        <v>11</v>
      </c>
      <c r="H16" s="579"/>
      <c r="I16" s="565">
        <f>G16*(1+iBTCX_Delta)</f>
        <v>12.100000000000001</v>
      </c>
      <c r="K16" s="584" t="s">
        <v>782</v>
      </c>
      <c r="L16" s="592">
        <v>1200</v>
      </c>
      <c r="M16" s="585">
        <v>0.1</v>
      </c>
    </row>
    <row r="17" spans="5:9" ht="7.5" customHeight="1" x14ac:dyDescent="0.25"/>
    <row r="18" spans="5:9" ht="11.25" customHeight="1" x14ac:dyDescent="0.25">
      <c r="E18" s="594">
        <f>C16</f>
        <v>11.47</v>
      </c>
      <c r="F18" s="594"/>
      <c r="G18" s="594"/>
      <c r="H18" s="594"/>
      <c r="I18" s="594"/>
    </row>
    <row r="19" spans="5:9" ht="31.9" customHeight="1" x14ac:dyDescent="0.25">
      <c r="G19" s="581"/>
    </row>
  </sheetData>
  <mergeCells count="3">
    <mergeCell ref="E12:I12"/>
    <mergeCell ref="E6:I6"/>
    <mergeCell ref="E18:I18"/>
  </mergeCells>
  <conditionalFormatting sqref="E12:I12">
    <cfRule type="dataBar" priority="12">
      <dataBar showValue="0">
        <cfvo type="num" val="$E$10"/>
        <cfvo type="num" val="$I$10"/>
        <color rgb="FF638EC6"/>
      </dataBar>
      <extLst>
        <ext xmlns:x14="http://schemas.microsoft.com/office/spreadsheetml/2009/9/main" uri="{B025F937-C7B1-47D3-B67F-A62EFF666E3E}">
          <x14:id>{8F06E746-F648-4592-8EA6-A49E005BFBE0}</x14:id>
        </ext>
      </extLst>
    </cfRule>
  </conditionalFormatting>
  <conditionalFormatting sqref="E6:I6">
    <cfRule type="dataBar" priority="11">
      <dataBar showValue="0">
        <cfvo type="num" val="$E$4"/>
        <cfvo type="num" val="$I$4"/>
        <color rgb="FF638EC6"/>
      </dataBar>
      <extLst>
        <ext xmlns:x14="http://schemas.microsoft.com/office/spreadsheetml/2009/9/main" uri="{B025F937-C7B1-47D3-B67F-A62EFF666E3E}">
          <x14:id>{D49E5BE6-BA5B-4E8D-988B-87A58E870563}</x14:id>
        </ext>
      </extLst>
    </cfRule>
  </conditionalFormatting>
  <conditionalFormatting sqref="D12">
    <cfRule type="dataBar" priority="10">
      <dataBar showValue="0">
        <cfvo type="num" val="$E$10"/>
        <cfvo type="num" val="$I$10"/>
        <color rgb="FF638EC6"/>
      </dataBar>
      <extLst>
        <ext xmlns:x14="http://schemas.microsoft.com/office/spreadsheetml/2009/9/main" uri="{B025F937-C7B1-47D3-B67F-A62EFF666E3E}">
          <x14:id>{466E4746-23E0-4AC8-B243-97D506443D17}</x14:id>
        </ext>
      </extLst>
    </cfRule>
  </conditionalFormatting>
  <conditionalFormatting sqref="D6">
    <cfRule type="dataBar" priority="9">
      <dataBar showValue="0">
        <cfvo type="num" val="$E$4"/>
        <cfvo type="num" val="$I$4"/>
        <color rgb="FF638EC6"/>
      </dataBar>
      <extLst>
        <ext xmlns:x14="http://schemas.microsoft.com/office/spreadsheetml/2009/9/main" uri="{B025F937-C7B1-47D3-B67F-A62EFF666E3E}">
          <x14:id>{1FBED181-EC07-4734-AE53-8AADB2B0D251}</x14:id>
        </ext>
      </extLst>
    </cfRule>
  </conditionalFormatting>
  <conditionalFormatting sqref="E18:I18">
    <cfRule type="dataBar" priority="8">
      <dataBar showValue="0">
        <cfvo type="num" val="$E$16"/>
        <cfvo type="num" val="$I$16"/>
        <color rgb="FF638EC6"/>
      </dataBar>
      <extLst>
        <ext xmlns:x14="http://schemas.microsoft.com/office/spreadsheetml/2009/9/main" uri="{B025F937-C7B1-47D3-B67F-A62EFF666E3E}">
          <x14:id>{9735A3D9-7AA1-4E77-95F9-8A60D52AF751}</x14:id>
        </ext>
      </extLst>
    </cfRule>
  </conditionalFormatting>
  <conditionalFormatting sqref="D18">
    <cfRule type="dataBar" priority="7">
      <dataBar showValue="0">
        <cfvo type="num" val="$E$10"/>
        <cfvo type="num" val="$I$10"/>
        <color rgb="FF638EC6"/>
      </dataBar>
      <extLst>
        <ext xmlns:x14="http://schemas.microsoft.com/office/spreadsheetml/2009/9/main" uri="{B025F937-C7B1-47D3-B67F-A62EFF666E3E}">
          <x14:id>{71605E6D-E462-4282-B060-767E34BDC3E2}</x14:id>
        </ext>
      </extLst>
    </cfRule>
  </conditionalFormatting>
  <conditionalFormatting sqref="C4">
    <cfRule type="expression" dxfId="44" priority="5">
      <formula>$C$4&lt;$E$4</formula>
    </cfRule>
    <cfRule type="expression" dxfId="43" priority="6">
      <formula>$C$4&gt;$I$4</formula>
    </cfRule>
  </conditionalFormatting>
  <conditionalFormatting sqref="C10">
    <cfRule type="expression" dxfId="42" priority="3">
      <formula>$C$10&lt;$E$10</formula>
    </cfRule>
    <cfRule type="expression" dxfId="41" priority="4">
      <formula>$C$10&gt;$I$10</formula>
    </cfRule>
  </conditionalFormatting>
  <conditionalFormatting sqref="C16">
    <cfRule type="expression" dxfId="40" priority="1">
      <formula>$C$16&lt;$E$16</formula>
    </cfRule>
    <cfRule type="expression" dxfId="39" priority="2">
      <formula>$C$16&gt;$I$16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06E746-F648-4592-8EA6-A49E005BFBE0}">
            <x14:dataBar minLength="0" maxLength="100" gradient="0">
              <x14:cfvo type="num">
                <xm:f>$E$10</xm:f>
              </x14:cfvo>
              <x14:cfvo type="num">
                <xm:f>$I$10</xm:f>
              </x14:cfvo>
              <x14:negativeFillColor rgb="FFFF0000"/>
              <x14:axisColor rgb="FF000000"/>
            </x14:dataBar>
          </x14:cfRule>
          <xm:sqref>E12:I12</xm:sqref>
        </x14:conditionalFormatting>
        <x14:conditionalFormatting xmlns:xm="http://schemas.microsoft.com/office/excel/2006/main">
          <x14:cfRule type="dataBar" id="{D49E5BE6-BA5B-4E8D-988B-87A58E870563}">
            <x14:dataBar minLength="0" maxLength="100" gradient="0">
              <x14:cfvo type="num">
                <xm:f>$E$4</xm:f>
              </x14:cfvo>
              <x14:cfvo type="num">
                <xm:f>$I$4</xm:f>
              </x14:cfvo>
              <x14:negativeFillColor rgb="FFFF0000"/>
              <x14:axisColor rgb="FF000000"/>
            </x14:dataBar>
          </x14:cfRule>
          <xm:sqref>E6:I6</xm:sqref>
        </x14:conditionalFormatting>
        <x14:conditionalFormatting xmlns:xm="http://schemas.microsoft.com/office/excel/2006/main">
          <x14:cfRule type="dataBar" id="{466E4746-23E0-4AC8-B243-97D506443D17}">
            <x14:dataBar minLength="0" maxLength="100" gradient="0">
              <x14:cfvo type="num">
                <xm:f>$E$10</xm:f>
              </x14:cfvo>
              <x14:cfvo type="num">
                <xm:f>$I$10</xm:f>
              </x14:cfvo>
              <x14:negativeFillColor rgb="FFFF0000"/>
              <x14:axisColor rgb="FF000000"/>
            </x14:dataBar>
          </x14:cfRule>
          <xm:sqref>D12</xm:sqref>
        </x14:conditionalFormatting>
        <x14:conditionalFormatting xmlns:xm="http://schemas.microsoft.com/office/excel/2006/main">
          <x14:cfRule type="dataBar" id="{1FBED181-EC07-4734-AE53-8AADB2B0D251}">
            <x14:dataBar minLength="0" maxLength="100" gradient="0">
              <x14:cfvo type="num">
                <xm:f>$E$4</xm:f>
              </x14:cfvo>
              <x14:cfvo type="num">
                <xm:f>$I$4</xm:f>
              </x14:cfvo>
              <x14:negativeFillColor rgb="FFFF0000"/>
              <x14:axisColor rgb="FF000000"/>
            </x14:dataBar>
          </x14:cfRule>
          <xm:sqref>D6</xm:sqref>
        </x14:conditionalFormatting>
        <x14:conditionalFormatting xmlns:xm="http://schemas.microsoft.com/office/excel/2006/main">
          <x14:cfRule type="dataBar" id="{9735A3D9-7AA1-4E77-95F9-8A60D52AF751}">
            <x14:dataBar minLength="0" maxLength="100" gradient="0">
              <x14:cfvo type="num">
                <xm:f>$E$16</xm:f>
              </x14:cfvo>
              <x14:cfvo type="num">
                <xm:f>$I$16</xm:f>
              </x14:cfvo>
              <x14:negativeFillColor rgb="FFFF0000"/>
              <x14:axisColor rgb="FF000000"/>
            </x14:dataBar>
          </x14:cfRule>
          <xm:sqref>E18:I18</xm:sqref>
        </x14:conditionalFormatting>
        <x14:conditionalFormatting xmlns:xm="http://schemas.microsoft.com/office/excel/2006/main">
          <x14:cfRule type="dataBar" id="{71605E6D-E462-4282-B060-767E34BDC3E2}">
            <x14:dataBar minLength="0" maxLength="100" gradient="0">
              <x14:cfvo type="num">
                <xm:f>$E$10</xm:f>
              </x14:cfvo>
              <x14:cfvo type="num">
                <xm:f>$I$10</xm:f>
              </x14:cfvo>
              <x14:negativeFillColor rgb="FFFF0000"/>
              <x14:axisColor rgb="FF000000"/>
            </x14:dataBar>
          </x14:cfRule>
          <xm:sqref>D18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982C-E70A-4A0B-8CCF-66A4E7318B9B}">
  <dimension ref="B1:L102"/>
  <sheetViews>
    <sheetView showGridLines="0" topLeftCell="A54" workbookViewId="0">
      <selection activeCell="C70" sqref="C70"/>
    </sheetView>
  </sheetViews>
  <sheetFormatPr defaultColWidth="8.85546875" defaultRowHeight="31.9" customHeight="1" x14ac:dyDescent="0.25"/>
  <cols>
    <col min="1" max="1" width="1.140625" style="40" customWidth="1"/>
    <col min="2" max="2" width="14.7109375" style="40" customWidth="1"/>
    <col min="3" max="3" width="13.5703125" style="40" customWidth="1"/>
    <col min="4" max="4" width="17.7109375" style="40" customWidth="1"/>
    <col min="5" max="5" width="16.7109375" style="40" customWidth="1"/>
    <col min="6" max="6" width="15.7109375" style="40" customWidth="1"/>
    <col min="7" max="10" width="11.7109375" style="40" customWidth="1"/>
    <col min="11" max="11" width="21.7109375" style="40" customWidth="1"/>
    <col min="12" max="14" width="10.7109375" style="40" customWidth="1"/>
    <col min="15" max="16384" width="8.85546875" style="40"/>
  </cols>
  <sheetData>
    <row r="1" spans="2:7" ht="6" customHeight="1" x14ac:dyDescent="0.25"/>
    <row r="2" spans="2:7" ht="31.9" customHeight="1" x14ac:dyDescent="0.25">
      <c r="B2" s="132" t="s">
        <v>9</v>
      </c>
      <c r="C2" s="43"/>
      <c r="D2" s="39"/>
      <c r="E2" s="39"/>
      <c r="F2" s="39"/>
      <c r="G2" s="39"/>
    </row>
    <row r="3" spans="2:7" ht="31.9" customHeight="1" x14ac:dyDescent="0.25">
      <c r="B3" s="20" t="s">
        <v>51</v>
      </c>
      <c r="C3" s="18" t="s">
        <v>10</v>
      </c>
      <c r="D3" s="18" t="s">
        <v>11</v>
      </c>
      <c r="G3" s="39"/>
    </row>
    <row r="4" spans="2:7" ht="31.9" customHeight="1" x14ac:dyDescent="0.25">
      <c r="B4" s="60" t="s">
        <v>385</v>
      </c>
      <c r="C4" s="44">
        <v>5.0000000000000001E-3</v>
      </c>
      <c r="D4" s="45">
        <f>_xlfn.XLOOKUP(tbPriceCalculator[[#This Row],[Symbol]],qryAssets[Symbol],qryAssets[Price])*tbPriceCalculator[[#This Row],[Amount]]</f>
        <v>18.9721975</v>
      </c>
      <c r="G4" s="39"/>
    </row>
    <row r="5" spans="2:7" ht="31.9" customHeight="1" x14ac:dyDescent="0.25">
      <c r="B5" s="43"/>
      <c r="C5" s="43"/>
      <c r="D5" s="39"/>
      <c r="E5" s="39"/>
      <c r="F5" s="39"/>
      <c r="G5" s="39"/>
    </row>
    <row r="6" spans="2:7" ht="31.9" customHeight="1" x14ac:dyDescent="0.25">
      <c r="B6" s="132" t="s">
        <v>31</v>
      </c>
      <c r="D6" s="39"/>
      <c r="E6" s="39"/>
      <c r="F6" s="39"/>
      <c r="G6" s="39"/>
    </row>
    <row r="7" spans="2:7" ht="31.9" customHeight="1" x14ac:dyDescent="0.25">
      <c r="B7" s="39" t="s">
        <v>32</v>
      </c>
      <c r="C7" s="39" t="s">
        <v>33</v>
      </c>
      <c r="D7" s="39" t="s">
        <v>34</v>
      </c>
      <c r="E7" s="39" t="s">
        <v>35</v>
      </c>
    </row>
    <row r="8" spans="2:7" ht="31.9" customHeight="1" x14ac:dyDescent="0.25">
      <c r="B8" s="46">
        <v>300</v>
      </c>
      <c r="C8" s="46">
        <v>288</v>
      </c>
      <c r="D8" s="47">
        <f>B8-C8</f>
        <v>12</v>
      </c>
      <c r="E8" s="48">
        <f>D8/B8</f>
        <v>0.04</v>
      </c>
    </row>
    <row r="9" spans="2:7" ht="31.9" customHeight="1" x14ac:dyDescent="0.25">
      <c r="D9" s="39"/>
      <c r="E9" s="39"/>
      <c r="F9" s="39"/>
      <c r="G9" s="39"/>
    </row>
    <row r="10" spans="2:7" ht="31.9" customHeight="1" x14ac:dyDescent="0.25">
      <c r="B10" s="131" t="s">
        <v>429</v>
      </c>
      <c r="D10" s="39"/>
      <c r="E10" s="39"/>
      <c r="F10" s="39"/>
      <c r="G10" s="39"/>
    </row>
    <row r="11" spans="2:7" ht="31.9" customHeight="1" x14ac:dyDescent="0.25">
      <c r="B11" s="71" t="s">
        <v>38</v>
      </c>
      <c r="C11" s="71" t="s">
        <v>0</v>
      </c>
      <c r="D11" s="72" t="s">
        <v>431</v>
      </c>
      <c r="E11" s="72" t="s">
        <v>15</v>
      </c>
      <c r="F11" s="39"/>
      <c r="G11" s="39"/>
    </row>
    <row r="12" spans="2:7" ht="31.9" customHeight="1" x14ac:dyDescent="0.25">
      <c r="B12" s="71" t="s">
        <v>432</v>
      </c>
      <c r="C12" s="71" t="s">
        <v>418</v>
      </c>
      <c r="D12" s="39">
        <v>0.45</v>
      </c>
      <c r="E12" s="73" t="s">
        <v>433</v>
      </c>
      <c r="F12" s="39"/>
      <c r="G12" s="39"/>
    </row>
    <row r="13" spans="2:7" ht="31.9" customHeight="1" x14ac:dyDescent="0.25">
      <c r="B13" s="71" t="s">
        <v>434</v>
      </c>
      <c r="C13" s="71" t="s">
        <v>418</v>
      </c>
      <c r="D13" s="39">
        <v>2.5</v>
      </c>
      <c r="E13" s="73" t="s">
        <v>435</v>
      </c>
      <c r="F13" s="39"/>
      <c r="G13" s="39"/>
    </row>
    <row r="14" spans="2:7" ht="31.9" customHeight="1" x14ac:dyDescent="0.25">
      <c r="B14" s="71" t="s">
        <v>436</v>
      </c>
      <c r="C14" s="71" t="s">
        <v>418</v>
      </c>
      <c r="D14" s="39">
        <v>3000</v>
      </c>
      <c r="E14" s="74"/>
      <c r="F14" s="39"/>
      <c r="G14" s="39"/>
    </row>
    <row r="15" spans="2:7" ht="31.9" customHeight="1" x14ac:dyDescent="0.25">
      <c r="B15" s="71" t="s">
        <v>436</v>
      </c>
      <c r="C15" s="71" t="s">
        <v>24</v>
      </c>
      <c r="D15" s="39">
        <v>7.2021172699999996</v>
      </c>
      <c r="E15" s="74"/>
      <c r="F15" s="39"/>
      <c r="G15" s="39"/>
    </row>
    <row r="16" spans="2:7" ht="31.9" customHeight="1" x14ac:dyDescent="0.25">
      <c r="B16" s="71" t="s">
        <v>430</v>
      </c>
      <c r="C16" s="71" t="s">
        <v>24</v>
      </c>
      <c r="D16" s="39">
        <v>0.14247898000000001</v>
      </c>
      <c r="E16" s="74"/>
      <c r="F16" s="39"/>
      <c r="G16" s="39"/>
    </row>
    <row r="17" spans="2:7" ht="31.9" customHeight="1" x14ac:dyDescent="0.25">
      <c r="B17" s="71" t="s">
        <v>430</v>
      </c>
      <c r="C17" s="71" t="s">
        <v>437</v>
      </c>
      <c r="D17" s="39">
        <v>200.34896914000001</v>
      </c>
      <c r="E17" s="74"/>
      <c r="F17" s="39"/>
      <c r="G17" s="39"/>
    </row>
    <row r="18" spans="2:7" ht="31.9" customHeight="1" x14ac:dyDescent="0.25">
      <c r="B18" s="71" t="s">
        <v>430</v>
      </c>
      <c r="C18" s="71" t="s">
        <v>438</v>
      </c>
      <c r="D18" s="39">
        <v>2.174048E-2</v>
      </c>
      <c r="E18" s="74"/>
      <c r="F18" s="39"/>
      <c r="G18" s="39"/>
    </row>
    <row r="19" spans="2:7" ht="31.9" customHeight="1" x14ac:dyDescent="0.25">
      <c r="B19" s="71" t="s">
        <v>430</v>
      </c>
      <c r="C19" s="71" t="s">
        <v>27</v>
      </c>
      <c r="D19" s="39">
        <v>22.7827372</v>
      </c>
      <c r="E19" s="74"/>
      <c r="F19" s="39"/>
      <c r="G19" s="39"/>
    </row>
    <row r="20" spans="2:7" ht="31.9" customHeight="1" x14ac:dyDescent="0.25">
      <c r="B20" s="71" t="s">
        <v>430</v>
      </c>
      <c r="C20" s="71" t="s">
        <v>439</v>
      </c>
      <c r="D20" s="39">
        <v>3.93547344</v>
      </c>
      <c r="E20" s="74"/>
      <c r="F20" s="39"/>
      <c r="G20" s="39"/>
    </row>
    <row r="21" spans="2:7" ht="31.9" customHeight="1" x14ac:dyDescent="0.25">
      <c r="B21" s="71" t="s">
        <v>430</v>
      </c>
      <c r="C21" s="71" t="s">
        <v>440</v>
      </c>
      <c r="D21" s="39">
        <v>0.12769216999999999</v>
      </c>
      <c r="E21" s="74"/>
      <c r="F21" s="39"/>
      <c r="G21" s="39"/>
    </row>
    <row r="22" spans="2:7" ht="31.9" customHeight="1" x14ac:dyDescent="0.25">
      <c r="B22" s="71" t="s">
        <v>430</v>
      </c>
      <c r="C22" s="79" t="s">
        <v>26</v>
      </c>
      <c r="D22" s="81">
        <v>12.813408089999999</v>
      </c>
      <c r="E22" s="82"/>
      <c r="F22" s="39"/>
      <c r="G22" s="39"/>
    </row>
    <row r="23" spans="2:7" ht="31.9" customHeight="1" x14ac:dyDescent="0.25">
      <c r="B23" s="79" t="s">
        <v>445</v>
      </c>
      <c r="C23" s="79" t="s">
        <v>22</v>
      </c>
      <c r="D23" s="81">
        <v>87.258659390000005</v>
      </c>
      <c r="E23" s="82"/>
      <c r="F23" s="39"/>
      <c r="G23" s="39"/>
    </row>
    <row r="24" spans="2:7" ht="31.9" customHeight="1" x14ac:dyDescent="0.25">
      <c r="B24" s="79" t="s">
        <v>445</v>
      </c>
      <c r="C24" s="79" t="s">
        <v>26</v>
      </c>
      <c r="D24" s="81">
        <v>50.865945830000001</v>
      </c>
      <c r="E24" s="82"/>
      <c r="F24" s="39"/>
      <c r="G24" s="39"/>
    </row>
    <row r="25" spans="2:7" ht="31.9" customHeight="1" x14ac:dyDescent="0.25">
      <c r="B25" s="79" t="s">
        <v>445</v>
      </c>
      <c r="C25" s="79" t="s">
        <v>20</v>
      </c>
      <c r="D25" s="81">
        <v>35.935628000000001</v>
      </c>
      <c r="E25" s="82"/>
      <c r="F25" s="39"/>
      <c r="G25" s="39"/>
    </row>
    <row r="26" spans="2:7" ht="31.9" customHeight="1" x14ac:dyDescent="0.25">
      <c r="B26" s="71"/>
      <c r="C26" s="79"/>
      <c r="D26" s="81"/>
      <c r="E26" s="82"/>
      <c r="F26" s="39"/>
      <c r="G26" s="39"/>
    </row>
    <row r="27" spans="2:7" ht="31.9" customHeight="1" x14ac:dyDescent="0.25">
      <c r="B27" s="131" t="s">
        <v>489</v>
      </c>
      <c r="C27" s="79"/>
      <c r="D27" s="81"/>
      <c r="E27" s="82"/>
      <c r="F27" s="39"/>
      <c r="G27" s="39"/>
    </row>
    <row r="28" spans="2:7" ht="31.9" customHeight="1" x14ac:dyDescent="0.25">
      <c r="B28" s="124" t="s">
        <v>50</v>
      </c>
      <c r="C28" s="124" t="s">
        <v>482</v>
      </c>
      <c r="D28" s="125" t="s">
        <v>483</v>
      </c>
      <c r="E28" s="126" t="s">
        <v>484</v>
      </c>
      <c r="F28" s="127" t="s">
        <v>485</v>
      </c>
      <c r="G28" s="39"/>
    </row>
    <row r="29" spans="2:7" ht="31.9" customHeight="1" x14ac:dyDescent="0.25">
      <c r="B29" s="40" t="s">
        <v>447</v>
      </c>
      <c r="C29" s="128">
        <v>44358</v>
      </c>
      <c r="D29" s="129">
        <f ca="1">(TODAY()-C29)/30</f>
        <v>4.6333333333333337</v>
      </c>
      <c r="E29" s="130">
        <v>1.0800000000000001E-2</v>
      </c>
      <c r="F29" s="130">
        <f>E29*12</f>
        <v>0.12959999999999999</v>
      </c>
    </row>
    <row r="30" spans="2:7" ht="31.9" customHeight="1" x14ac:dyDescent="0.25">
      <c r="B30" s="40" t="s">
        <v>474</v>
      </c>
      <c r="C30" s="128">
        <v>44372</v>
      </c>
      <c r="D30" s="129">
        <f ca="1">(TODAY()-C30)/30</f>
        <v>4.166666666666667</v>
      </c>
      <c r="E30" s="130">
        <v>1.01E-2</v>
      </c>
      <c r="F30" s="130">
        <f>E30*12</f>
        <v>0.1212</v>
      </c>
    </row>
    <row r="31" spans="2:7" ht="31.9" customHeight="1" x14ac:dyDescent="0.25">
      <c r="B31" s="123" t="s">
        <v>486</v>
      </c>
      <c r="C31" s="128">
        <v>44326</v>
      </c>
      <c r="D31" s="129">
        <f ca="1">(TODAY()-C31)/30</f>
        <v>5.7</v>
      </c>
      <c r="E31" s="130">
        <f>21.0503/3379.78</f>
        <v>6.2283048009042002E-3</v>
      </c>
      <c r="F31" s="130">
        <f>E31*12</f>
        <v>7.4739657610850399E-2</v>
      </c>
    </row>
    <row r="32" spans="2:7" ht="31.9" customHeight="1" x14ac:dyDescent="0.25">
      <c r="B32" s="123" t="s">
        <v>487</v>
      </c>
      <c r="C32" s="128">
        <v>44331</v>
      </c>
      <c r="D32" s="129">
        <f ca="1">(TODAY()-C32)/30</f>
        <v>5.5333333333333332</v>
      </c>
      <c r="E32" s="130">
        <f>0.4577/35.4786</f>
        <v>1.2900734527292509E-2</v>
      </c>
      <c r="F32" s="130">
        <f>E32*12</f>
        <v>0.15480881432751009</v>
      </c>
    </row>
    <row r="33" spans="2:7" ht="31.9" customHeight="1" x14ac:dyDescent="0.25">
      <c r="B33" s="123" t="s">
        <v>488</v>
      </c>
      <c r="C33" s="128">
        <v>44362</v>
      </c>
      <c r="D33" s="129">
        <f ca="1">(TODAY()-C33)/30</f>
        <v>4.5</v>
      </c>
      <c r="E33" s="130">
        <f>0.2827/86.44</f>
        <v>3.2704766311892645E-3</v>
      </c>
      <c r="F33" s="130">
        <f>E33*12</f>
        <v>3.9245719574271171E-2</v>
      </c>
    </row>
    <row r="35" spans="2:7" ht="31.9" customHeight="1" x14ac:dyDescent="0.25">
      <c r="B35" s="131" t="s">
        <v>516</v>
      </c>
    </row>
    <row r="36" spans="2:7" ht="31.9" customHeight="1" x14ac:dyDescent="0.25">
      <c r="B36" s="151" t="s">
        <v>518</v>
      </c>
      <c r="C36" s="151" t="s">
        <v>517</v>
      </c>
      <c r="D36" s="151" t="s">
        <v>2</v>
      </c>
    </row>
    <row r="37" spans="2:7" ht="31.9" customHeight="1" x14ac:dyDescent="0.25">
      <c r="B37" s="39">
        <v>62</v>
      </c>
      <c r="C37" s="152">
        <f>_xlfn.XLOOKUP("ETH",tbCryptoBalances[Symbol],tbCryptoBalances[Curr. Price])</f>
        <v>5269.9160000000002</v>
      </c>
      <c r="D37" s="153">
        <f>C37/1000000000*B37</f>
        <v>3.2673479200000005E-4</v>
      </c>
    </row>
    <row r="39" spans="2:7" ht="31.9" customHeight="1" x14ac:dyDescent="0.25">
      <c r="B39" s="131" t="s">
        <v>579</v>
      </c>
    </row>
    <row r="40" spans="2:7" ht="31.9" customHeight="1" x14ac:dyDescent="0.25">
      <c r="B40" s="40">
        <v>3.73</v>
      </c>
      <c r="C40" s="40">
        <v>3.05</v>
      </c>
      <c r="D40" s="213">
        <f>(B40-C40)/B40</f>
        <v>0.18230563002680969</v>
      </c>
    </row>
    <row r="42" spans="2:7" ht="31.9" customHeight="1" x14ac:dyDescent="0.25">
      <c r="B42" s="131" t="s">
        <v>580</v>
      </c>
    </row>
    <row r="43" spans="2:7" ht="31.9" customHeight="1" x14ac:dyDescent="0.25">
      <c r="B43" s="215" t="s">
        <v>3</v>
      </c>
      <c r="C43" s="217" t="s">
        <v>10</v>
      </c>
      <c r="D43" s="220" t="s">
        <v>583</v>
      </c>
      <c r="E43" s="217" t="s">
        <v>581</v>
      </c>
      <c r="F43" s="304" t="s">
        <v>636</v>
      </c>
      <c r="G43" s="271" t="s">
        <v>615</v>
      </c>
    </row>
    <row r="44" spans="2:7" ht="31.9" customHeight="1" x14ac:dyDescent="0.25">
      <c r="B44" s="214">
        <v>44352</v>
      </c>
      <c r="C44" s="152">
        <v>1810.26767836</v>
      </c>
      <c r="D44" s="152">
        <v>3006.757737322514</v>
      </c>
      <c r="E44" s="152">
        <f t="shared" ref="E44:E49" si="0">C44-D44</f>
        <v>-1196.490058962514</v>
      </c>
      <c r="F44" s="152">
        <f>tbCapitalGains[[#This Row],[Gains]]/2</f>
        <v>-598.24502948125701</v>
      </c>
      <c r="G44" s="283" t="s">
        <v>618</v>
      </c>
    </row>
    <row r="45" spans="2:7" ht="31.9" customHeight="1" x14ac:dyDescent="0.25">
      <c r="B45" s="214">
        <v>44414</v>
      </c>
      <c r="C45" s="152">
        <v>32974.560000000005</v>
      </c>
      <c r="D45" s="152">
        <v>29389.71</v>
      </c>
      <c r="E45" s="152">
        <f t="shared" si="0"/>
        <v>3584.8500000000058</v>
      </c>
      <c r="F45" s="152">
        <f>tbCapitalGains[[#This Row],[Gains]]/2</f>
        <v>1792.4250000000029</v>
      </c>
      <c r="G45" s="283" t="s">
        <v>620</v>
      </c>
    </row>
    <row r="46" spans="2:7" ht="31.9" customHeight="1" x14ac:dyDescent="0.25">
      <c r="B46" s="214">
        <v>44414</v>
      </c>
      <c r="C46" s="152">
        <v>7607</v>
      </c>
      <c r="D46" s="152">
        <v>5451.7</v>
      </c>
      <c r="E46" s="152">
        <f t="shared" si="0"/>
        <v>2155.3000000000002</v>
      </c>
      <c r="F46" s="152">
        <f>tbCapitalGains[[#This Row],[Gains]]/2</f>
        <v>1077.6500000000001</v>
      </c>
      <c r="G46" s="283" t="s">
        <v>619</v>
      </c>
    </row>
    <row r="47" spans="2:7" ht="31.9" customHeight="1" x14ac:dyDescent="0.25">
      <c r="B47" s="214">
        <v>44431</v>
      </c>
      <c r="C47" s="152">
        <v>16878.403878000001</v>
      </c>
      <c r="D47" s="152">
        <v>8762.68</v>
      </c>
      <c r="E47" s="152">
        <f t="shared" si="0"/>
        <v>8115.7238780000007</v>
      </c>
      <c r="F47" s="152">
        <f>tbCapitalGains[[#This Row],[Gains]]/2</f>
        <v>4057.8619390000003</v>
      </c>
      <c r="G47" s="276" t="s">
        <v>616</v>
      </c>
    </row>
    <row r="48" spans="2:7" ht="31.9" customHeight="1" x14ac:dyDescent="0.25">
      <c r="B48" s="286">
        <v>44449</v>
      </c>
      <c r="C48" s="287">
        <v>1394.0520019999999</v>
      </c>
      <c r="D48" s="287">
        <v>546.78096100000005</v>
      </c>
      <c r="E48" s="152">
        <f t="shared" si="0"/>
        <v>847.27104099999985</v>
      </c>
      <c r="F48" s="152">
        <f>tbCapitalGains[[#This Row],[Gains]]/2</f>
        <v>423.63552049999993</v>
      </c>
      <c r="G48" s="321" t="s">
        <v>673</v>
      </c>
    </row>
    <row r="49" spans="2:9" ht="31.9" customHeight="1" x14ac:dyDescent="0.25">
      <c r="B49" s="319">
        <v>44461</v>
      </c>
      <c r="C49" s="320">
        <v>1849</v>
      </c>
      <c r="D49" s="320">
        <v>2039</v>
      </c>
      <c r="E49" s="320">
        <f t="shared" si="0"/>
        <v>-190</v>
      </c>
      <c r="F49" s="320">
        <f>tbCapitalGains[[#This Row],[Gains]]/2</f>
        <v>-95</v>
      </c>
      <c r="G49" s="321" t="s">
        <v>656</v>
      </c>
    </row>
    <row r="50" spans="2:9" ht="31.9" customHeight="1" x14ac:dyDescent="0.25">
      <c r="B50" s="316" t="s">
        <v>2</v>
      </c>
      <c r="C50" s="315"/>
      <c r="D50" s="315"/>
      <c r="E50" s="320">
        <f>SUBTOTAL(109,tbCapitalGains[Gains])</f>
        <v>13316.654860037492</v>
      </c>
      <c r="F50" s="320"/>
      <c r="G50" s="316"/>
    </row>
    <row r="52" spans="2:9" ht="31.9" customHeight="1" x14ac:dyDescent="0.25">
      <c r="B52" s="131" t="s">
        <v>608</v>
      </c>
    </row>
    <row r="53" spans="2:9" ht="31.9" customHeight="1" x14ac:dyDescent="0.25">
      <c r="B53" s="271" t="s">
        <v>609</v>
      </c>
      <c r="C53" s="271" t="s">
        <v>610</v>
      </c>
      <c r="D53" s="271" t="s">
        <v>611</v>
      </c>
      <c r="E53" s="271" t="s">
        <v>612</v>
      </c>
      <c r="F53" s="271" t="s">
        <v>613</v>
      </c>
      <c r="G53" s="271" t="s">
        <v>614</v>
      </c>
    </row>
    <row r="54" spans="2:9" ht="31.9" customHeight="1" x14ac:dyDescent="0.25">
      <c r="B54" s="39">
        <v>798</v>
      </c>
      <c r="C54" s="39">
        <v>198</v>
      </c>
      <c r="D54" s="275">
        <v>193.5</v>
      </c>
      <c r="E54" s="275">
        <v>159</v>
      </c>
      <c r="F54" s="300">
        <f>D54*C54/E54</f>
        <v>240.96226415094338</v>
      </c>
      <c r="G54" s="300">
        <f>B54-C54+F54</f>
        <v>840.96226415094338</v>
      </c>
    </row>
    <row r="56" spans="2:9" ht="31.9" customHeight="1" x14ac:dyDescent="0.25">
      <c r="B56" s="131" t="s">
        <v>751</v>
      </c>
    </row>
    <row r="57" spans="2:9" ht="31.9" customHeight="1" x14ac:dyDescent="0.25">
      <c r="B57" s="461" t="s">
        <v>724</v>
      </c>
      <c r="C57" s="441">
        <v>12</v>
      </c>
      <c r="E57" s="404" t="s">
        <v>713</v>
      </c>
      <c r="F57" s="39">
        <v>2.33</v>
      </c>
      <c r="H57" s="567" t="s">
        <v>769</v>
      </c>
      <c r="I57" s="275">
        <f>C58*C59</f>
        <v>5933.925416</v>
      </c>
    </row>
    <row r="58" spans="2:9" ht="31.9" customHeight="1" x14ac:dyDescent="0.25">
      <c r="B58" s="336" t="s">
        <v>675</v>
      </c>
      <c r="C58" s="275">
        <f>_xlfn.XLOOKUP("ETH",tbCryptoBalances[Symbol],tbCryptoBalances[Curr. Price])</f>
        <v>5269.9160000000002</v>
      </c>
      <c r="E58" s="399" t="s">
        <v>712</v>
      </c>
      <c r="F58" s="275">
        <f>iETHStarting*3961.22</f>
        <v>9229.6425999999992</v>
      </c>
      <c r="H58" s="567" t="s">
        <v>770</v>
      </c>
      <c r="I58" s="275">
        <f>C61*C60</f>
        <v>13056.9981896235</v>
      </c>
    </row>
    <row r="59" spans="2:9" ht="31.9" customHeight="1" x14ac:dyDescent="0.25">
      <c r="B59" s="336" t="s">
        <v>676</v>
      </c>
      <c r="C59" s="337">
        <v>1.1259999999999999</v>
      </c>
      <c r="E59" s="364" t="s">
        <v>696</v>
      </c>
      <c r="F59" s="448">
        <f>Journal!E15+Journal!E34+Journal!H54+Journal!F55</f>
        <v>1.4878630256410257</v>
      </c>
    </row>
    <row r="60" spans="2:9" ht="31.9" customHeight="1" x14ac:dyDescent="0.25">
      <c r="B60" s="336" t="s">
        <v>677</v>
      </c>
      <c r="C60" s="275">
        <f>_xlfn.XLOOKUP("USDC",tbCryptoBalances[Symbol],tbCryptoBalances[Curr. Price])</f>
        <v>1.2348497000000001</v>
      </c>
      <c r="E60" s="364" t="s">
        <v>697</v>
      </c>
      <c r="F60" s="338">
        <f>iCurrentValueETH-iETHStarting-iETHAdded</f>
        <v>-0.21421476907991499</v>
      </c>
    </row>
    <row r="61" spans="2:9" ht="31.9" customHeight="1" x14ac:dyDescent="0.25">
      <c r="B61" s="336" t="s">
        <v>678</v>
      </c>
      <c r="C61" s="337">
        <v>10573.754999999999</v>
      </c>
      <c r="E61" s="364" t="s">
        <v>698</v>
      </c>
      <c r="F61" s="130">
        <f>iGrowthETH/iETHStarting</f>
        <v>-9.1937669133010727E-2</v>
      </c>
    </row>
    <row r="62" spans="2:9" ht="31.9" customHeight="1" x14ac:dyDescent="0.25">
      <c r="B62" s="336" t="s">
        <v>679</v>
      </c>
      <c r="C62" s="275">
        <f>C59*C58+C61*C60</f>
        <v>18990.923605623502</v>
      </c>
      <c r="E62" s="428" t="s">
        <v>715</v>
      </c>
      <c r="F62" s="429">
        <v>44462</v>
      </c>
    </row>
    <row r="63" spans="2:9" ht="31.9" customHeight="1" x14ac:dyDescent="0.25">
      <c r="B63" s="336" t="s">
        <v>680</v>
      </c>
      <c r="C63" s="338">
        <f>C62/C58</f>
        <v>3.6036482565611108</v>
      </c>
      <c r="E63" s="428" t="s">
        <v>716</v>
      </c>
      <c r="F63" s="366">
        <f ca="1">TODAY()-F62</f>
        <v>35</v>
      </c>
    </row>
    <row r="64" spans="2:9" ht="31.9" customHeight="1" x14ac:dyDescent="0.25">
      <c r="B64" s="368" t="s">
        <v>699</v>
      </c>
      <c r="C64" s="369">
        <f>iETH_Delta</f>
        <v>0.02</v>
      </c>
      <c r="E64" s="460" t="s">
        <v>722</v>
      </c>
      <c r="F64" s="430">
        <f ca="1">F61/F63*365</f>
        <v>-0.95877854952996899</v>
      </c>
    </row>
    <row r="65" spans="2:12" ht="31.9" customHeight="1" x14ac:dyDescent="0.25">
      <c r="B65" s="353"/>
      <c r="C65" s="275"/>
    </row>
    <row r="66" spans="2:12" ht="31.9" customHeight="1" x14ac:dyDescent="0.25">
      <c r="B66" s="131" t="s">
        <v>720</v>
      </c>
    </row>
    <row r="67" spans="2:12" ht="31.9" customHeight="1" x14ac:dyDescent="0.25">
      <c r="B67" s="461" t="s">
        <v>724</v>
      </c>
      <c r="C67" s="39">
        <v>4</v>
      </c>
      <c r="E67" s="460" t="s">
        <v>721</v>
      </c>
      <c r="F67" s="39">
        <f>246+223</f>
        <v>469</v>
      </c>
      <c r="H67" s="596" t="s">
        <v>783</v>
      </c>
      <c r="I67" s="275">
        <f>C68*C69</f>
        <v>28886.1</v>
      </c>
    </row>
    <row r="68" spans="2:12" ht="31.9" customHeight="1" x14ac:dyDescent="0.25">
      <c r="B68" s="460" t="s">
        <v>723</v>
      </c>
      <c r="C68" s="600">
        <f>_xlfn.XLOOKUP("BITO",tbCryptoBalances[Symbol],tbCryptoBalances[Curr. Price])</f>
        <v>39.57</v>
      </c>
      <c r="E68" s="460" t="s">
        <v>712</v>
      </c>
      <c r="F68" s="462">
        <v>38554.68</v>
      </c>
      <c r="H68" s="596" t="s">
        <v>784</v>
      </c>
      <c r="I68" s="275">
        <f>C70</f>
        <v>9749.9699999999993</v>
      </c>
    </row>
    <row r="69" spans="2:12" ht="31.9" customHeight="1" x14ac:dyDescent="0.25">
      <c r="B69" s="460" t="s">
        <v>726</v>
      </c>
      <c r="C69" s="441">
        <f>_xlfn.XLOOKUP("BITO",tbCryptoBalances[Symbol],tbCryptoBalances[Qty])</f>
        <v>730</v>
      </c>
      <c r="E69" s="461" t="s">
        <v>729</v>
      </c>
      <c r="F69" s="39">
        <v>0</v>
      </c>
    </row>
    <row r="70" spans="2:12" ht="31.9" customHeight="1" x14ac:dyDescent="0.25">
      <c r="B70" s="460" t="s">
        <v>727</v>
      </c>
      <c r="C70" s="47">
        <v>9749.9699999999993</v>
      </c>
      <c r="E70" s="460" t="s">
        <v>730</v>
      </c>
      <c r="F70" s="46">
        <f>C71-F68</f>
        <v>81.389999999999418</v>
      </c>
    </row>
    <row r="71" spans="2:12" ht="31.9" customHeight="1" x14ac:dyDescent="0.25">
      <c r="B71" s="460" t="s">
        <v>679</v>
      </c>
      <c r="C71" s="46">
        <f>C68*C69+C70</f>
        <v>38636.07</v>
      </c>
      <c r="E71" s="460" t="s">
        <v>698</v>
      </c>
      <c r="F71" s="530">
        <f>F70/F68</f>
        <v>2.1110277662789423E-3</v>
      </c>
    </row>
    <row r="72" spans="2:12" ht="31.9" customHeight="1" x14ac:dyDescent="0.25">
      <c r="B72" s="461" t="s">
        <v>728</v>
      </c>
      <c r="C72" s="300">
        <f>C71/C67/C68</f>
        <v>244.09950720242608</v>
      </c>
      <c r="E72" s="460" t="s">
        <v>715</v>
      </c>
      <c r="F72" s="429">
        <v>44488</v>
      </c>
    </row>
    <row r="73" spans="2:12" ht="31.9" customHeight="1" x14ac:dyDescent="0.25">
      <c r="B73" s="460" t="s">
        <v>725</v>
      </c>
      <c r="C73" s="462">
        <f>C71/4</f>
        <v>9659.0174999999999</v>
      </c>
      <c r="E73" s="460" t="s">
        <v>716</v>
      </c>
      <c r="F73" s="366">
        <f ca="1">TODAY()-F72</f>
        <v>9</v>
      </c>
    </row>
    <row r="74" spans="2:12" ht="31.9" customHeight="1" x14ac:dyDescent="0.25">
      <c r="B74" s="460" t="s">
        <v>699</v>
      </c>
      <c r="C74" s="463" cm="1">
        <f t="array" ref="C74">iBITO_Delta</f>
        <v>0.08</v>
      </c>
      <c r="E74" s="460" t="s">
        <v>722</v>
      </c>
      <c r="F74" s="463">
        <f ca="1">F71/F73*365</f>
        <v>8.5613903854645998E-2</v>
      </c>
    </row>
    <row r="76" spans="2:12" ht="31.9" customHeight="1" x14ac:dyDescent="0.25">
      <c r="B76" s="469" t="s">
        <v>733</v>
      </c>
      <c r="C76" s="469"/>
      <c r="D76" s="466"/>
      <c r="E76" s="466"/>
      <c r="F76" s="466"/>
      <c r="G76" s="466"/>
      <c r="H76" s="466"/>
      <c r="I76" s="466"/>
      <c r="J76" s="470"/>
      <c r="K76" s="471"/>
      <c r="L76" s="471"/>
    </row>
    <row r="77" spans="2:12" ht="31.9" customHeight="1" x14ac:dyDescent="0.25">
      <c r="B77" s="469"/>
      <c r="C77" s="472"/>
      <c r="D77" s="466"/>
      <c r="E77" s="466"/>
      <c r="F77" s="466"/>
      <c r="G77" s="466"/>
      <c r="H77" s="466"/>
      <c r="I77" s="466"/>
      <c r="J77" s="465"/>
      <c r="K77" s="473"/>
      <c r="L77" s="474"/>
    </row>
    <row r="78" spans="2:12" ht="31.9" customHeight="1" x14ac:dyDescent="0.25">
      <c r="B78" s="498" t="s">
        <v>734</v>
      </c>
      <c r="C78" s="499" t="s">
        <v>735</v>
      </c>
      <c r="D78" s="500" t="s">
        <v>736</v>
      </c>
      <c r="E78" s="475"/>
      <c r="F78" s="498" t="s">
        <v>734</v>
      </c>
      <c r="G78" s="501" t="s">
        <v>737</v>
      </c>
      <c r="H78" s="500" t="s">
        <v>738</v>
      </c>
      <c r="I78" s="475"/>
      <c r="J78" s="498" t="s">
        <v>736</v>
      </c>
      <c r="K78" s="499" t="s">
        <v>739</v>
      </c>
      <c r="L78" s="500" t="s">
        <v>740</v>
      </c>
    </row>
    <row r="79" spans="2:12" ht="31.9" customHeight="1" x14ac:dyDescent="0.25">
      <c r="B79" s="488">
        <v>5007</v>
      </c>
      <c r="C79" s="489">
        <v>5316</v>
      </c>
      <c r="D79" s="490">
        <f>(C79-B79)/B79</f>
        <v>6.1713600958657876E-2</v>
      </c>
      <c r="E79" s="475"/>
      <c r="F79" s="485">
        <v>282</v>
      </c>
      <c r="G79" s="486">
        <v>-0.01</v>
      </c>
      <c r="H79" s="487">
        <f>F79*(1+G79)</f>
        <v>279.18</v>
      </c>
      <c r="I79" s="475"/>
      <c r="J79" s="494">
        <v>4.9399999999999999E-2</v>
      </c>
      <c r="K79" s="495">
        <v>1</v>
      </c>
      <c r="L79" s="496">
        <f>J79/K79*365</f>
        <v>18.030999999999999</v>
      </c>
    </row>
    <row r="80" spans="2:12" ht="31.9" customHeight="1" x14ac:dyDescent="0.25">
      <c r="B80" s="476"/>
      <c r="C80" s="476"/>
      <c r="D80" s="61"/>
      <c r="E80" s="61"/>
      <c r="F80" s="477"/>
      <c r="G80" s="477"/>
      <c r="H80" s="477"/>
      <c r="I80" s="477"/>
      <c r="J80" s="477"/>
      <c r="K80" s="477"/>
      <c r="L80" s="477"/>
    </row>
    <row r="81" spans="2:12" ht="31.9" customHeight="1" x14ac:dyDescent="0.25">
      <c r="B81" s="498" t="s">
        <v>741</v>
      </c>
      <c r="C81" s="502" t="s">
        <v>10</v>
      </c>
      <c r="D81" s="499" t="s">
        <v>742</v>
      </c>
      <c r="E81" s="500" t="s">
        <v>743</v>
      </c>
      <c r="F81" s="498" t="s">
        <v>741</v>
      </c>
      <c r="G81" s="502" t="s">
        <v>10</v>
      </c>
      <c r="H81" s="499" t="s">
        <v>742</v>
      </c>
      <c r="I81" s="500" t="s">
        <v>743</v>
      </c>
      <c r="J81" s="478"/>
      <c r="K81" s="475"/>
      <c r="L81" s="475"/>
    </row>
    <row r="82" spans="2:12" ht="31.9" customHeight="1" x14ac:dyDescent="0.25">
      <c r="B82" s="488">
        <v>11</v>
      </c>
      <c r="C82" s="491">
        <v>45900</v>
      </c>
      <c r="D82" s="492">
        <f>ROUNDDOWN(C82/B82,0)</f>
        <v>4172</v>
      </c>
      <c r="E82" s="493">
        <f>IF(B82&gt;30,PhoneTradeFee+D82*0.08,IF(B82&gt;20,PhoneTradeFee+D82*0.07,IF(B82&gt;10,PhoneTradeFee+D82*0.06,IF(B82&gt;5,PhoneTradeFee+D82*0.05,IF(B82&gt;2,PhoneTradeFee+D82*0.04,IF(B82&gt;1,PhoneTradeFee+D82*0.03,IF(B82&gt;0.24,PhoneTradeFee+D82*0.02,-1)))))))</f>
        <v>250.76999999999998</v>
      </c>
      <c r="F82" s="497">
        <v>10.9</v>
      </c>
      <c r="G82" s="491">
        <v>235000</v>
      </c>
      <c r="H82" s="492">
        <f>ROUNDDOWN(G82/F82,0)</f>
        <v>21559</v>
      </c>
      <c r="I82" s="493">
        <f>IF(F82&gt;30,PhoneTradeFee+H82*0.08,IF(F82&gt;20,PhoneTradeFee+H82*0.07,IF(F82&gt;10,PhoneTradeFee+H82*0.06,IF(F82&gt;5,PhoneTradeFee+H82*0.05,IF(F82&gt;2,PhoneTradeFee+H82*0.04,IF(F82&gt;1,PhoneTradeFee+H82*0.03,IF(F82&gt;0.24,PhoneTradeFee+H82*0.02,-1)))))))</f>
        <v>1293.99</v>
      </c>
      <c r="J82" s="478"/>
      <c r="K82" s="475"/>
      <c r="L82" s="475"/>
    </row>
    <row r="84" spans="2:12" ht="31.9" customHeight="1" x14ac:dyDescent="0.25">
      <c r="B84" s="131" t="s">
        <v>755</v>
      </c>
    </row>
    <row r="85" spans="2:12" ht="31.9" customHeight="1" x14ac:dyDescent="0.25">
      <c r="B85" s="535" t="s">
        <v>50</v>
      </c>
      <c r="C85" s="536" t="s">
        <v>51</v>
      </c>
      <c r="D85" s="536" t="s">
        <v>573</v>
      </c>
      <c r="E85" s="536" t="s">
        <v>574</v>
      </c>
      <c r="F85" s="536" t="s">
        <v>575</v>
      </c>
    </row>
    <row r="86" spans="2:12" ht="31.9" customHeight="1" x14ac:dyDescent="0.25">
      <c r="B86" s="40" t="s">
        <v>513</v>
      </c>
      <c r="C86" s="39" t="s">
        <v>24</v>
      </c>
      <c r="D86" s="129">
        <f>SUMIFS(tbTransactions[Qty],tbTransactions[Symbol],tbStakingRewards[[#This Row],[Symbol]],tbTransactions[Sub-Type],"Staking interest")+SUMIFS(tbTransactions[Qty],tbTransactions[Symbol],tbStakingRewards[[#This Row],[Symbol]],tbTransactions[Sub-Type],"Borrow interest")</f>
        <v>0.119344754</v>
      </c>
      <c r="E86" s="130">
        <f>tbStakingRewards[[#This Row],[Gain (Coins)]]/(_xlfn.XLOOKUP(tbStakingRewards[[#This Row],[Symbol]],tbCryptoBalances[Symbol],tbCryptoBalances[Qty])-tbStakingRewards[[#This Row],[Gain (Coins)]])</f>
        <v>6.7840986450060717E-3</v>
      </c>
      <c r="F86" s="275">
        <f>tbStakingRewards[[#This Row],[Gain (Coins)]]*_xlfn.XLOOKUP(tbStakingRewards[[#This Row],[Symbol]],tbCryptoBalances[Symbol],tbCryptoBalances[Curr. Price])</f>
        <v>628.93682862066396</v>
      </c>
    </row>
    <row r="87" spans="2:12" ht="31.9" customHeight="1" x14ac:dyDescent="0.25">
      <c r="B87" s="40" t="s">
        <v>508</v>
      </c>
      <c r="C87" s="39" t="s">
        <v>19</v>
      </c>
      <c r="D87" s="129">
        <f>SUMIFS(tbTransactions[Qty],tbTransactions[Symbol],tbStakingRewards[[#This Row],[Symbol]],tbTransactions[Sub-Type],"Staking interest")+SUMIFS(tbTransactions[Qty],tbTransactions[Symbol],tbStakingRewards[[#This Row],[Symbol]],tbTransactions[Sub-Type],"Borrow interest")</f>
        <v>57.498680999999991</v>
      </c>
      <c r="E87" s="130">
        <f>tbStakingRewards[[#This Row],[Gain (Coins)]]/(_xlfn.XLOOKUP(tbStakingRewards[[#This Row],[Symbol]],tbCryptoBalances[Symbol],tbCryptoBalances[Qty])-tbStakingRewards[[#This Row],[Gain (Coins)]])</f>
        <v>3.0225015224254546E-2</v>
      </c>
      <c r="F87" s="275">
        <f>tbStakingRewards[[#This Row],[Gain (Coins)]]*_xlfn.XLOOKUP(tbStakingRewards[[#This Row],[Symbol]],tbCryptoBalances[Symbol],tbCryptoBalances[Curr. Price])</f>
        <v>141.72154145649898</v>
      </c>
    </row>
    <row r="88" spans="2:12" ht="31.9" customHeight="1" x14ac:dyDescent="0.25">
      <c r="B88" s="40" t="s">
        <v>511</v>
      </c>
      <c r="C88" s="39" t="s">
        <v>22</v>
      </c>
      <c r="D88" s="129">
        <f>SUMIFS(tbTransactions[Qty],tbTransactions[Symbol],tbStakingRewards[[#This Row],[Symbol]],tbTransactions[Sub-Type],"Staking interest")+SUMIFS(tbTransactions[Qty],tbTransactions[Symbol],tbStakingRewards[[#This Row],[Symbol]],tbTransactions[Sub-Type],"Borrow interest")</f>
        <v>3.238828711</v>
      </c>
      <c r="E88" s="130">
        <f>tbStakingRewards[[#This Row],[Gain (Coins)]]/(_xlfn.XLOOKUP(tbStakingRewards[[#This Row],[Symbol]],tbCryptoBalances[Symbol],tbCryptoBalances[Qty])-tbStakingRewards[[#This Row],[Gain (Coins)]])</f>
        <v>3.7117562127115297E-2</v>
      </c>
      <c r="F88" s="275">
        <f>tbStakingRewards[[#This Row],[Gain (Coins)]]*_xlfn.XLOOKUP(tbStakingRewards[[#This Row],[Symbol]],tbCryptoBalances[Symbol],tbCryptoBalances[Curr. Price])</f>
        <v>168.25715153645001</v>
      </c>
    </row>
    <row r="89" spans="2:12" ht="31.9" customHeight="1" x14ac:dyDescent="0.25">
      <c r="B89" s="40" t="s">
        <v>510</v>
      </c>
      <c r="C89" s="39" t="s">
        <v>20</v>
      </c>
      <c r="D89" s="129">
        <f>SUMIFS(tbTransactions[Qty],tbTransactions[Symbol],tbStakingRewards[[#This Row],[Symbol]],tbTransactions[Sub-Type],"Staking interest")+SUMIFS(tbTransactions[Qty],tbTransactions[Symbol],tbStakingRewards[[#This Row],[Symbol]],tbTransactions[Sub-Type],"Borrow interest")</f>
        <v>1.6528079999999936</v>
      </c>
      <c r="E89" s="130">
        <f>tbStakingRewards[[#This Row],[Gain (Coins)]]/(_xlfn.XLOOKUP(tbStakingRewards[[#This Row],[Symbol]],tbCryptoBalances[Symbol],tbCryptoBalances[Qty])-tbStakingRewards[[#This Row],[Gain (Coins)]])</f>
        <v>2.4441572008407301E-2</v>
      </c>
      <c r="F89" s="275">
        <f>tbStakingRewards[[#This Row],[Gain (Coins)]]*_xlfn.XLOOKUP(tbStakingRewards[[#This Row],[Symbol]],tbCryptoBalances[Symbol],tbCryptoBalances[Curr. Price])</f>
        <v>77.847256799999698</v>
      </c>
    </row>
    <row r="90" spans="2:12" ht="31.9" customHeight="1" x14ac:dyDescent="0.25">
      <c r="B90" s="40" t="s">
        <v>456</v>
      </c>
      <c r="C90" s="39" t="s">
        <v>455</v>
      </c>
      <c r="D90" s="129">
        <f>SUMIFS(tbTransactions[Qty],tbTransactions[Symbol],tbStakingRewards[[#This Row],[Symbol]],tbTransactions[Sub-Type],"Staking interest")+SUMIFS(tbTransactions[Qty],tbTransactions[Symbol],tbStakingRewards[[#This Row],[Symbol]],tbTransactions[Sub-Type],"Borrow interest")</f>
        <v>143</v>
      </c>
      <c r="E90" s="130">
        <f>tbStakingRewards[[#This Row],[Gain (Coins)]]/(_xlfn.XLOOKUP(tbStakingRewards[[#This Row],[Symbol]],tbCryptoBalances[Symbol],tbCryptoBalances[Qty])-tbStakingRewards[[#This Row],[Gain (Coins)]])</f>
        <v>7.9366047055363705E-3</v>
      </c>
      <c r="F90" s="275">
        <f>tbStakingRewards[[#This Row],[Gain (Coins)]]*_xlfn.XLOOKUP(tbStakingRewards[[#This Row],[Symbol]],tbCryptoBalances[Symbol],tbCryptoBalances[Curr. Price])</f>
        <v>7.8078000000000003</v>
      </c>
    </row>
    <row r="91" spans="2:12" ht="31.9" customHeight="1" x14ac:dyDescent="0.25">
      <c r="B91" s="549" t="s">
        <v>2</v>
      </c>
      <c r="C91" s="550"/>
      <c r="D91" s="550"/>
      <c r="E91" s="550"/>
      <c r="F91" s="551">
        <f>SUBTOTAL(109,tbStakingRewards[Gain $])</f>
        <v>1024.5705784136128</v>
      </c>
    </row>
    <row r="93" spans="2:12" ht="31.9" customHeight="1" x14ac:dyDescent="0.25">
      <c r="B93" s="131" t="s">
        <v>774</v>
      </c>
    </row>
    <row r="94" spans="2:12" ht="31.9" customHeight="1" x14ac:dyDescent="0.25">
      <c r="B94" s="89" t="s">
        <v>451</v>
      </c>
      <c r="C94" s="8">
        <f>SUMIFS(tbTransactions[Total],tbTransactions[Sub-Type],"Deposit Fiat")*-1</f>
        <v>84481.964050680021</v>
      </c>
    </row>
    <row r="95" spans="2:12" ht="31.9" customHeight="1" x14ac:dyDescent="0.25">
      <c r="B95" s="89" t="s">
        <v>452</v>
      </c>
      <c r="C95" s="97">
        <f>SUMIFS(tbCryptoBalances[Current Value],tbCryptoBalances[Asset Type],"Crypto")</f>
        <v>120713.14554078027</v>
      </c>
    </row>
    <row r="96" spans="2:12" ht="31.9" customHeight="1" x14ac:dyDescent="0.25">
      <c r="B96" s="90" t="s">
        <v>453</v>
      </c>
      <c r="C96" s="98">
        <f>(C95-C94)</f>
        <v>36231.181490100251</v>
      </c>
    </row>
    <row r="97" spans="2:3" ht="31.9" customHeight="1" x14ac:dyDescent="0.25">
      <c r="B97" s="90" t="s">
        <v>46</v>
      </c>
      <c r="C97" s="99">
        <f>C96/C94</f>
        <v>0.42886291644883479</v>
      </c>
    </row>
    <row r="98" spans="2:3" ht="31.9" customHeight="1" x14ac:dyDescent="0.25">
      <c r="B98" s="230" t="s">
        <v>589</v>
      </c>
      <c r="C98" s="97">
        <v>123031.44651461946</v>
      </c>
    </row>
    <row r="99" spans="2:3" ht="31.9" customHeight="1" x14ac:dyDescent="0.25">
      <c r="B99" s="230" t="s">
        <v>590</v>
      </c>
      <c r="C99" s="231">
        <f>1-((C98-C95)/C98)</f>
        <v>0.98115684209594567</v>
      </c>
    </row>
    <row r="100" spans="2:3" ht="31.9" customHeight="1" x14ac:dyDescent="0.25">
      <c r="B100" s="504" t="s">
        <v>752</v>
      </c>
      <c r="C100" s="537">
        <v>44306</v>
      </c>
    </row>
    <row r="101" spans="2:3" ht="31.9" customHeight="1" x14ac:dyDescent="0.25">
      <c r="B101" s="504" t="s">
        <v>753</v>
      </c>
      <c r="C101" s="533">
        <f ca="1">TODAY()-C100</f>
        <v>191</v>
      </c>
    </row>
    <row r="102" spans="2:3" ht="31.9" customHeight="1" x14ac:dyDescent="0.25">
      <c r="B102" s="504" t="s">
        <v>754</v>
      </c>
      <c r="C102" s="534">
        <f ca="1">C97/C101*365</f>
        <v>0.81955478797813974</v>
      </c>
    </row>
  </sheetData>
  <conditionalFormatting sqref="C98">
    <cfRule type="expression" dxfId="38" priority="2">
      <formula>$C$95&gt;$C$98</formula>
    </cfRule>
  </conditionalFormatting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DEE7-DD14-4F7D-AF8C-C5D7C6F2BF4B}">
  <dimension ref="A1:DK359"/>
  <sheetViews>
    <sheetView showGridLines="0" topLeftCell="A334" workbookViewId="0">
      <selection activeCell="F350" sqref="F350"/>
    </sheetView>
  </sheetViews>
  <sheetFormatPr defaultColWidth="8.85546875" defaultRowHeight="30" customHeight="1" x14ac:dyDescent="0.25"/>
  <cols>
    <col min="1" max="1" width="9.5703125" style="52" bestFit="1" customWidth="1"/>
    <col min="2" max="116" width="12" style="52" bestFit="1" customWidth="1"/>
    <col min="117" max="16384" width="8.85546875" style="52"/>
  </cols>
  <sheetData>
    <row r="1" spans="1:115" ht="30" customHeight="1" x14ac:dyDescent="0.25">
      <c r="A1" s="52" t="s">
        <v>51</v>
      </c>
      <c r="B1" s="59" t="s">
        <v>410</v>
      </c>
      <c r="C1" s="68" t="s">
        <v>422</v>
      </c>
      <c r="D1" s="68" t="s">
        <v>423</v>
      </c>
      <c r="E1" s="70" t="s">
        <v>426</v>
      </c>
      <c r="F1" s="70" t="s">
        <v>427</v>
      </c>
      <c r="G1" s="70" t="s">
        <v>428</v>
      </c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</row>
    <row r="2" spans="1:115" ht="30" customHeight="1" x14ac:dyDescent="0.25">
      <c r="A2" s="53" t="s">
        <v>53</v>
      </c>
      <c r="B2" s="54">
        <v>18.040000915527344</v>
      </c>
      <c r="C2" s="67">
        <v>16.420000000000002</v>
      </c>
      <c r="D2" s="67">
        <v>16.420000000000002</v>
      </c>
      <c r="E2" s="67">
        <v>16.420000000000002</v>
      </c>
      <c r="F2" s="67">
        <v>16.420000000000002</v>
      </c>
      <c r="G2" s="67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</row>
    <row r="3" spans="1:115" ht="30" customHeight="1" x14ac:dyDescent="0.25">
      <c r="A3" s="53" t="s">
        <v>92</v>
      </c>
      <c r="B3" s="54">
        <v>191.13999938964844</v>
      </c>
      <c r="C3" s="67">
        <v>192.76</v>
      </c>
      <c r="D3" s="67">
        <v>192.76</v>
      </c>
      <c r="E3" s="67">
        <v>192.76</v>
      </c>
      <c r="F3" s="67">
        <v>193.01</v>
      </c>
      <c r="G3" s="67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</row>
    <row r="4" spans="1:115" ht="30" customHeight="1" x14ac:dyDescent="0.25">
      <c r="A4" s="53" t="s">
        <v>93</v>
      </c>
      <c r="B4" s="54">
        <v>3.7899999618530273</v>
      </c>
      <c r="C4" s="67">
        <v>3.87</v>
      </c>
      <c r="D4" s="67">
        <v>3.87</v>
      </c>
      <c r="E4" s="67">
        <v>3.87</v>
      </c>
      <c r="F4" s="67">
        <v>3.9</v>
      </c>
      <c r="G4" s="67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</row>
    <row r="5" spans="1:115" ht="30" customHeight="1" x14ac:dyDescent="0.25">
      <c r="A5" s="53" t="s">
        <v>94</v>
      </c>
      <c r="B5" s="54">
        <v>49.360000610351563</v>
      </c>
      <c r="C5" s="67">
        <v>49.66</v>
      </c>
      <c r="D5" s="67">
        <v>49.66</v>
      </c>
      <c r="E5" s="67">
        <v>49.66</v>
      </c>
      <c r="F5" s="67">
        <v>48.56</v>
      </c>
      <c r="G5" s="67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</row>
    <row r="6" spans="1:115" ht="30" customHeight="1" x14ac:dyDescent="0.25">
      <c r="A6" s="53" t="s">
        <v>95</v>
      </c>
      <c r="B6" s="54">
        <v>13.949999809265137</v>
      </c>
      <c r="C6" s="67">
        <v>13.8</v>
      </c>
      <c r="D6" s="67">
        <v>13.8</v>
      </c>
      <c r="E6" s="67">
        <v>13.8</v>
      </c>
      <c r="F6" s="67">
        <v>13.87</v>
      </c>
      <c r="G6" s="67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</row>
    <row r="7" spans="1:115" ht="30" customHeight="1" x14ac:dyDescent="0.25">
      <c r="A7" s="53" t="s">
        <v>378</v>
      </c>
      <c r="B7" s="54">
        <v>2.044471263885498</v>
      </c>
      <c r="C7" s="67">
        <v>2.1109254000000002</v>
      </c>
      <c r="D7" s="67">
        <v>2.0054289999999999</v>
      </c>
      <c r="E7" s="67">
        <v>2.0370377999999998</v>
      </c>
      <c r="F7" s="67">
        <v>1.895705</v>
      </c>
      <c r="G7" s="67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</row>
    <row r="8" spans="1:115" ht="30" customHeight="1" x14ac:dyDescent="0.25">
      <c r="A8" s="53" t="s">
        <v>96</v>
      </c>
      <c r="B8" s="54">
        <v>52.930000305175781</v>
      </c>
      <c r="C8" s="67">
        <v>52.66</v>
      </c>
      <c r="D8" s="67">
        <v>52.66</v>
      </c>
      <c r="E8" s="67">
        <v>52.66</v>
      </c>
      <c r="F8" s="67">
        <v>50.76</v>
      </c>
      <c r="G8" s="67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</row>
    <row r="9" spans="1:115" ht="30" customHeight="1" x14ac:dyDescent="0.25">
      <c r="A9" s="53" t="s">
        <v>97</v>
      </c>
      <c r="B9" s="54">
        <v>31.780000686645508</v>
      </c>
      <c r="C9" s="67">
        <v>31.87</v>
      </c>
      <c r="D9" s="67">
        <v>31.87</v>
      </c>
      <c r="E9" s="67">
        <v>31.87</v>
      </c>
      <c r="F9" s="67">
        <v>32.36</v>
      </c>
      <c r="G9" s="67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</row>
    <row r="10" spans="1:115" ht="30" customHeight="1" x14ac:dyDescent="0.25">
      <c r="A10" s="53" t="s">
        <v>98</v>
      </c>
      <c r="B10" s="54">
        <v>48.520000457763672</v>
      </c>
      <c r="C10" s="67">
        <v>48.44</v>
      </c>
      <c r="D10" s="67">
        <v>48.44</v>
      </c>
      <c r="E10" s="67">
        <v>48.44</v>
      </c>
      <c r="F10" s="67">
        <v>48.81</v>
      </c>
      <c r="G10" s="67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</row>
    <row r="11" spans="1:115" ht="30" customHeight="1" x14ac:dyDescent="0.25">
      <c r="A11" s="53" t="s">
        <v>99</v>
      </c>
      <c r="B11" s="54">
        <v>53.540000915527344</v>
      </c>
      <c r="C11" s="67">
        <v>53.42</v>
      </c>
      <c r="D11" s="67">
        <v>53.42</v>
      </c>
      <c r="E11" s="67">
        <v>53.42</v>
      </c>
      <c r="F11" s="67">
        <v>53.07</v>
      </c>
      <c r="G11" s="67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</row>
    <row r="12" spans="1:115" ht="30" customHeight="1" x14ac:dyDescent="0.25">
      <c r="A12" s="53" t="s">
        <v>379</v>
      </c>
      <c r="B12" s="54">
        <v>1.2895845174789429</v>
      </c>
      <c r="C12" s="67">
        <v>1.2708473</v>
      </c>
      <c r="D12" s="67">
        <v>1.1785718000000001</v>
      </c>
      <c r="E12" s="67">
        <v>1.247611</v>
      </c>
      <c r="F12" s="67">
        <v>1.1595435000000001</v>
      </c>
      <c r="G12" s="67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</row>
    <row r="13" spans="1:115" ht="30" customHeight="1" x14ac:dyDescent="0.25">
      <c r="A13" s="53" t="s">
        <v>100</v>
      </c>
      <c r="B13" s="54">
        <v>175.77999877929688</v>
      </c>
      <c r="C13" s="67">
        <v>177.12</v>
      </c>
      <c r="D13" s="67">
        <v>177.12</v>
      </c>
      <c r="E13" s="67">
        <v>177.12</v>
      </c>
      <c r="F13" s="67">
        <v>176.28</v>
      </c>
      <c r="G13" s="67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</row>
    <row r="14" spans="1:115" ht="30" customHeight="1" x14ac:dyDescent="0.25">
      <c r="A14" s="53" t="s">
        <v>55</v>
      </c>
      <c r="B14" s="54">
        <v>51.340000152587891</v>
      </c>
      <c r="C14" s="67">
        <v>47.91</v>
      </c>
      <c r="D14" s="67">
        <v>47.91</v>
      </c>
      <c r="E14" s="67">
        <v>47.91</v>
      </c>
      <c r="F14" s="67">
        <v>55</v>
      </c>
      <c r="G14" s="67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</row>
    <row r="15" spans="1:115" ht="30" customHeight="1" x14ac:dyDescent="0.25">
      <c r="A15" s="53" t="s">
        <v>101</v>
      </c>
      <c r="B15" s="54">
        <v>35.759998321533203</v>
      </c>
      <c r="C15" s="67">
        <v>36.93</v>
      </c>
      <c r="D15" s="67">
        <v>36.93</v>
      </c>
      <c r="E15" s="67">
        <v>36.93</v>
      </c>
      <c r="F15" s="67">
        <v>39.479999999999997</v>
      </c>
      <c r="G15" s="67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</row>
    <row r="16" spans="1:115" ht="30" customHeight="1" x14ac:dyDescent="0.25">
      <c r="A16" s="53" t="s">
        <v>102</v>
      </c>
      <c r="B16" s="54">
        <v>55.200000762939453</v>
      </c>
      <c r="C16" s="67">
        <v>55.91</v>
      </c>
      <c r="D16" s="67">
        <v>55.91</v>
      </c>
      <c r="E16" s="67">
        <v>55.91</v>
      </c>
      <c r="F16" s="67">
        <v>57.44</v>
      </c>
      <c r="G16" s="67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</row>
    <row r="17" spans="1:115" ht="30" customHeight="1" x14ac:dyDescent="0.25">
      <c r="A17" s="53" t="s">
        <v>103</v>
      </c>
      <c r="B17" s="54">
        <v>40.779998779296875</v>
      </c>
      <c r="C17" s="67">
        <v>39.520000000000003</v>
      </c>
      <c r="D17" s="67">
        <v>39.520000000000003</v>
      </c>
      <c r="E17" s="67">
        <v>39.520000000000003</v>
      </c>
      <c r="F17" s="67">
        <v>40.159999999999997</v>
      </c>
      <c r="G17" s="67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</row>
    <row r="18" spans="1:115" ht="30" customHeight="1" x14ac:dyDescent="0.25">
      <c r="A18" s="53" t="s">
        <v>104</v>
      </c>
      <c r="B18" s="54">
        <v>395.6400146484375</v>
      </c>
      <c r="C18" s="67">
        <v>393.2</v>
      </c>
      <c r="D18" s="67">
        <v>393.2</v>
      </c>
      <c r="E18" s="67">
        <v>393.2</v>
      </c>
      <c r="F18" s="67">
        <v>389.1</v>
      </c>
      <c r="G18" s="67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</row>
    <row r="19" spans="1:115" ht="30" customHeight="1" x14ac:dyDescent="0.25">
      <c r="A19" s="53" t="s">
        <v>105</v>
      </c>
      <c r="B19" s="54">
        <v>5.0999999046325684</v>
      </c>
      <c r="C19" s="67">
        <v>5.13</v>
      </c>
      <c r="D19" s="67">
        <v>5.13</v>
      </c>
      <c r="E19" s="67">
        <v>5.13</v>
      </c>
      <c r="F19" s="67">
        <v>5.21</v>
      </c>
      <c r="G19" s="67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</row>
    <row r="20" spans="1:115" ht="30" customHeight="1" x14ac:dyDescent="0.25">
      <c r="A20" s="53" t="s">
        <v>106</v>
      </c>
      <c r="B20" s="54">
        <v>76.870002746582031</v>
      </c>
      <c r="C20" s="67">
        <v>69.83</v>
      </c>
      <c r="D20" s="67">
        <v>69.83</v>
      </c>
      <c r="E20" s="67">
        <v>69.83</v>
      </c>
      <c r="F20" s="67">
        <v>63</v>
      </c>
      <c r="G20" s="67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</row>
    <row r="21" spans="1:115" ht="30" customHeight="1" x14ac:dyDescent="0.25">
      <c r="A21" s="53" t="s">
        <v>107</v>
      </c>
      <c r="B21" s="54">
        <v>37.090000152587891</v>
      </c>
      <c r="C21" s="67">
        <v>37.340000000000003</v>
      </c>
      <c r="D21" s="67">
        <v>37.340000000000003</v>
      </c>
      <c r="E21" s="67">
        <v>37.340000000000003</v>
      </c>
      <c r="F21" s="67">
        <v>37.4</v>
      </c>
      <c r="G21" s="67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</row>
    <row r="22" spans="1:115" ht="30" customHeight="1" x14ac:dyDescent="0.25">
      <c r="A22" s="53" t="s">
        <v>108</v>
      </c>
      <c r="B22" s="54">
        <v>32.490001678466797</v>
      </c>
      <c r="C22" s="67">
        <v>32.57</v>
      </c>
      <c r="D22" s="67">
        <v>32.57</v>
      </c>
      <c r="E22" s="67">
        <v>32.57</v>
      </c>
      <c r="F22" s="67">
        <v>31.68</v>
      </c>
      <c r="G22" s="67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</row>
    <row r="23" spans="1:115" ht="30" customHeight="1" x14ac:dyDescent="0.25">
      <c r="A23" s="53" t="s">
        <v>56</v>
      </c>
      <c r="B23" s="54">
        <v>0.77999997138977051</v>
      </c>
      <c r="C23" s="67">
        <v>0.8</v>
      </c>
      <c r="D23" s="67">
        <v>0.8</v>
      </c>
      <c r="E23" s="67">
        <v>0.8</v>
      </c>
      <c r="F23" s="67">
        <v>0.79</v>
      </c>
      <c r="G23" s="67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</row>
    <row r="24" spans="1:115" ht="30" customHeight="1" x14ac:dyDescent="0.25">
      <c r="A24" s="53" t="s">
        <v>109</v>
      </c>
      <c r="B24" s="54">
        <v>9.6599998474121094</v>
      </c>
      <c r="C24" s="67">
        <v>9.66</v>
      </c>
      <c r="D24" s="67">
        <v>9.66</v>
      </c>
      <c r="E24" s="67">
        <v>9.66</v>
      </c>
      <c r="F24" s="67">
        <v>9.6630000000000003</v>
      </c>
      <c r="G24" s="67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</row>
    <row r="25" spans="1:115" ht="30" customHeight="1" x14ac:dyDescent="0.25">
      <c r="A25" s="53" t="s">
        <v>110</v>
      </c>
      <c r="B25" s="54">
        <v>23.799999237060547</v>
      </c>
      <c r="C25" s="67">
        <v>23.86</v>
      </c>
      <c r="D25" s="67">
        <v>23.86</v>
      </c>
      <c r="E25" s="67">
        <v>23.86</v>
      </c>
      <c r="F25" s="67">
        <v>24.29</v>
      </c>
      <c r="G25" s="67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</row>
    <row r="26" spans="1:115" ht="30" customHeight="1" x14ac:dyDescent="0.25">
      <c r="A26" s="53" t="s">
        <v>111</v>
      </c>
      <c r="B26" s="54">
        <v>33.720001220703125</v>
      </c>
      <c r="C26" s="67">
        <v>33.78</v>
      </c>
      <c r="D26" s="67">
        <v>33.78</v>
      </c>
      <c r="E26" s="67">
        <v>33.78</v>
      </c>
      <c r="F26" s="67">
        <v>34.15</v>
      </c>
      <c r="G26" s="67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</row>
    <row r="27" spans="1:115" ht="30" customHeight="1" x14ac:dyDescent="0.25">
      <c r="A27" s="53" t="s">
        <v>112</v>
      </c>
      <c r="B27" s="54">
        <v>464.79998779296875</v>
      </c>
      <c r="C27" s="67">
        <v>475</v>
      </c>
      <c r="D27" s="67">
        <v>475</v>
      </c>
      <c r="E27" s="67">
        <v>475</v>
      </c>
      <c r="F27" s="67">
        <v>463.78</v>
      </c>
      <c r="G27" s="67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</row>
    <row r="28" spans="1:115" ht="30" customHeight="1" x14ac:dyDescent="0.25">
      <c r="A28" s="53" t="s">
        <v>7</v>
      </c>
      <c r="B28" s="54">
        <v>250.32000732421875</v>
      </c>
      <c r="C28" s="67">
        <v>249.92</v>
      </c>
      <c r="D28" s="67">
        <v>249.92</v>
      </c>
      <c r="E28" s="67">
        <v>249.92</v>
      </c>
      <c r="F28" s="67">
        <v>252.66</v>
      </c>
      <c r="G28" s="67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</row>
    <row r="29" spans="1:115" ht="30" customHeight="1" x14ac:dyDescent="0.25">
      <c r="A29" s="53" t="s">
        <v>113</v>
      </c>
      <c r="B29" s="54">
        <v>21.709999084472656</v>
      </c>
      <c r="C29" s="67">
        <v>23.4</v>
      </c>
      <c r="D29" s="67">
        <v>23.4</v>
      </c>
      <c r="E29" s="67">
        <v>23.4</v>
      </c>
      <c r="F29" s="67">
        <v>23.95</v>
      </c>
      <c r="G29" s="67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</row>
    <row r="30" spans="1:115" ht="30" customHeight="1" x14ac:dyDescent="0.25">
      <c r="A30" s="53" t="s">
        <v>372</v>
      </c>
      <c r="B30" s="54">
        <v>15.880000114440918</v>
      </c>
      <c r="C30" s="67">
        <v>13.86</v>
      </c>
      <c r="D30" s="67">
        <v>13.86</v>
      </c>
      <c r="E30" s="67">
        <v>13.86</v>
      </c>
      <c r="F30" s="67">
        <v>15.77</v>
      </c>
      <c r="G30" s="67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</row>
    <row r="31" spans="1:115" ht="30" customHeight="1" x14ac:dyDescent="0.25">
      <c r="A31" s="53" t="s">
        <v>377</v>
      </c>
      <c r="B31" s="54">
        <v>31.899999618530273</v>
      </c>
      <c r="C31" s="67">
        <v>31.71</v>
      </c>
      <c r="D31" s="67">
        <v>31.71</v>
      </c>
      <c r="E31" s="67">
        <v>31.71</v>
      </c>
      <c r="F31" s="67">
        <v>33.979999999999997</v>
      </c>
      <c r="G31" s="67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</row>
    <row r="32" spans="1:115" ht="30" customHeight="1" x14ac:dyDescent="0.25">
      <c r="A32" s="53" t="s">
        <v>114</v>
      </c>
      <c r="B32" s="54">
        <v>74.680000305175781</v>
      </c>
      <c r="C32" s="67">
        <v>74.38</v>
      </c>
      <c r="D32" s="67">
        <v>74.38</v>
      </c>
      <c r="E32" s="67">
        <v>74.38</v>
      </c>
      <c r="F32" s="67">
        <v>74.599999999999994</v>
      </c>
      <c r="G32" s="67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</row>
    <row r="33" spans="1:115" ht="30" customHeight="1" x14ac:dyDescent="0.25">
      <c r="A33" s="53" t="s">
        <v>115</v>
      </c>
      <c r="B33" s="54">
        <v>115.55999755859375</v>
      </c>
      <c r="C33" s="67">
        <v>115.99</v>
      </c>
      <c r="D33" s="67">
        <v>115.99</v>
      </c>
      <c r="E33" s="67">
        <v>115.99</v>
      </c>
      <c r="F33" s="67">
        <v>117.1</v>
      </c>
      <c r="G33" s="67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</row>
    <row r="34" spans="1:115" ht="30" customHeight="1" x14ac:dyDescent="0.25">
      <c r="A34" s="53" t="s">
        <v>116</v>
      </c>
      <c r="B34" s="54">
        <v>65.150001525878906</v>
      </c>
      <c r="C34" s="67">
        <v>64.08</v>
      </c>
      <c r="D34" s="67">
        <v>64.08</v>
      </c>
      <c r="E34" s="67">
        <v>64.08</v>
      </c>
      <c r="F34" s="67">
        <v>64.16</v>
      </c>
      <c r="G34" s="67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</row>
    <row r="35" spans="1:115" ht="30" customHeight="1" x14ac:dyDescent="0.25">
      <c r="A35" s="53" t="s">
        <v>380</v>
      </c>
      <c r="B35" s="54">
        <v>830.978515625</v>
      </c>
      <c r="C35" s="67">
        <v>827.09400000000005</v>
      </c>
      <c r="D35" s="67">
        <v>784.22559999999999</v>
      </c>
      <c r="E35" s="67">
        <v>800.62580000000003</v>
      </c>
      <c r="F35" s="67">
        <v>718.76995999999997</v>
      </c>
      <c r="G35" s="67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</row>
    <row r="36" spans="1:115" ht="30" customHeight="1" x14ac:dyDescent="0.25">
      <c r="A36" s="53" t="s">
        <v>117</v>
      </c>
      <c r="B36" s="54">
        <v>272.54998779296875</v>
      </c>
      <c r="C36" s="67">
        <v>286.14</v>
      </c>
      <c r="D36" s="67">
        <v>286.14</v>
      </c>
      <c r="E36" s="67">
        <v>286.14</v>
      </c>
      <c r="F36" s="67">
        <v>395.85</v>
      </c>
      <c r="G36" s="67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</row>
    <row r="37" spans="1:115" ht="30" customHeight="1" x14ac:dyDescent="0.25">
      <c r="A37" s="53" t="s">
        <v>118</v>
      </c>
      <c r="B37" s="54">
        <v>6.940000057220459</v>
      </c>
      <c r="C37" s="67">
        <v>6.79</v>
      </c>
      <c r="D37" s="67">
        <v>6.79</v>
      </c>
      <c r="E37" s="67">
        <v>6.79</v>
      </c>
      <c r="F37" s="67">
        <v>6.8</v>
      </c>
      <c r="G37" s="67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</row>
    <row r="38" spans="1:115" ht="30" customHeight="1" x14ac:dyDescent="0.25">
      <c r="A38" s="58" t="s">
        <v>119</v>
      </c>
      <c r="B38" s="57">
        <v>192.64999389648438</v>
      </c>
      <c r="C38" s="67">
        <v>195.62</v>
      </c>
      <c r="D38" s="67">
        <v>195.62</v>
      </c>
      <c r="E38" s="67">
        <v>195.62</v>
      </c>
      <c r="F38" s="67">
        <v>196.38</v>
      </c>
      <c r="G38" s="6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</row>
    <row r="39" spans="1:115" ht="30" customHeight="1" x14ac:dyDescent="0.25">
      <c r="A39" s="58" t="s">
        <v>120</v>
      </c>
      <c r="B39" s="57">
        <v>42.25</v>
      </c>
      <c r="C39" s="67">
        <v>42.7</v>
      </c>
      <c r="D39" s="67">
        <v>42.7</v>
      </c>
      <c r="E39" s="67">
        <v>42.7</v>
      </c>
      <c r="F39" s="67">
        <v>41.93</v>
      </c>
      <c r="G39" s="6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</row>
    <row r="40" spans="1:115" ht="30" customHeight="1" x14ac:dyDescent="0.25">
      <c r="A40" s="58" t="s">
        <v>121</v>
      </c>
      <c r="B40" s="57">
        <v>881.010009765625</v>
      </c>
      <c r="C40" s="67">
        <v>886.85</v>
      </c>
      <c r="D40" s="67">
        <v>886.85</v>
      </c>
      <c r="E40" s="67">
        <v>886.85</v>
      </c>
      <c r="F40" s="67">
        <v>884.96</v>
      </c>
      <c r="G40" s="6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</row>
    <row r="41" spans="1:115" ht="30" customHeight="1" x14ac:dyDescent="0.25">
      <c r="A41" s="58" t="s">
        <v>122</v>
      </c>
      <c r="B41" s="57">
        <v>38</v>
      </c>
      <c r="C41" s="67">
        <v>38.4</v>
      </c>
      <c r="D41" s="67">
        <v>38.4</v>
      </c>
      <c r="E41" s="67">
        <v>38.4</v>
      </c>
      <c r="F41" s="67">
        <v>39.11</v>
      </c>
      <c r="G41" s="6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</row>
    <row r="42" spans="1:115" ht="30" customHeight="1" x14ac:dyDescent="0.25">
      <c r="A42" s="58" t="s">
        <v>381</v>
      </c>
      <c r="B42" s="57">
        <v>484.33291625976563</v>
      </c>
      <c r="C42" s="67">
        <v>493.32499999999999</v>
      </c>
      <c r="D42" s="67">
        <v>470.79919999999998</v>
      </c>
      <c r="E42" s="67">
        <v>479.94524999999999</v>
      </c>
      <c r="F42" s="67">
        <v>435.27980000000002</v>
      </c>
      <c r="G42" s="6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</row>
    <row r="43" spans="1:115" ht="30" customHeight="1" x14ac:dyDescent="0.25">
      <c r="A43" s="58" t="s">
        <v>57</v>
      </c>
      <c r="B43" s="57">
        <v>85.050003051757813</v>
      </c>
      <c r="C43" s="67">
        <v>85.39</v>
      </c>
      <c r="D43" s="67">
        <v>85.39</v>
      </c>
      <c r="E43" s="67">
        <v>85.39</v>
      </c>
      <c r="F43" s="67">
        <v>85.33</v>
      </c>
      <c r="G43" s="6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</row>
    <row r="44" spans="1:115" ht="30" customHeight="1" x14ac:dyDescent="0.25">
      <c r="A44" s="58" t="s">
        <v>123</v>
      </c>
      <c r="B44" s="57">
        <v>75.610000610351563</v>
      </c>
      <c r="C44" s="67">
        <v>73.02</v>
      </c>
      <c r="D44" s="67">
        <v>73.02</v>
      </c>
      <c r="E44" s="67">
        <v>73.02</v>
      </c>
      <c r="F44" s="67">
        <v>73.3</v>
      </c>
      <c r="G44" s="6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</row>
    <row r="45" spans="1:115" ht="30" customHeight="1" x14ac:dyDescent="0.25">
      <c r="A45" s="58" t="s">
        <v>382</v>
      </c>
      <c r="B45" s="57">
        <v>45908.48046875</v>
      </c>
      <c r="C45" s="67">
        <v>45534.483999999997</v>
      </c>
      <c r="D45" s="67">
        <v>42969.71</v>
      </c>
      <c r="E45" s="67">
        <v>43851.15</v>
      </c>
      <c r="F45" s="67">
        <v>40703.203000000001</v>
      </c>
      <c r="G45" s="6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</row>
    <row r="46" spans="1:115" ht="30" customHeight="1" x14ac:dyDescent="0.25">
      <c r="A46" s="58" t="s">
        <v>124</v>
      </c>
      <c r="B46" s="57">
        <v>39.080001831054688</v>
      </c>
      <c r="C46" s="67">
        <v>39.049999999999997</v>
      </c>
      <c r="D46" s="67">
        <v>39.049999999999997</v>
      </c>
      <c r="E46" s="67">
        <v>39.049999999999997</v>
      </c>
      <c r="F46" s="67">
        <v>39.93</v>
      </c>
      <c r="G46" s="6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57"/>
      <c r="DC46" s="57"/>
      <c r="DD46" s="57"/>
      <c r="DE46" s="57"/>
      <c r="DF46" s="57"/>
      <c r="DG46" s="57"/>
      <c r="DH46" s="57"/>
      <c r="DI46" s="57"/>
      <c r="DJ46" s="57"/>
      <c r="DK46" s="57"/>
    </row>
    <row r="47" spans="1:115" ht="30" customHeight="1" x14ac:dyDescent="0.25">
      <c r="A47" s="58" t="s">
        <v>125</v>
      </c>
      <c r="B47" s="57">
        <v>7.820000171661377</v>
      </c>
      <c r="C47" s="67">
        <v>8.3000000000000007</v>
      </c>
      <c r="D47" s="67">
        <v>8.3000000000000007</v>
      </c>
      <c r="E47" s="67">
        <v>8.3000000000000007</v>
      </c>
      <c r="F47" s="67">
        <v>7.63</v>
      </c>
      <c r="G47" s="6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</row>
    <row r="48" spans="1:115" ht="30" customHeight="1" x14ac:dyDescent="0.25">
      <c r="A48" s="58" t="s">
        <v>126</v>
      </c>
      <c r="B48" s="57">
        <v>76.339996337890625</v>
      </c>
      <c r="C48" s="67">
        <v>76.790000000000006</v>
      </c>
      <c r="D48" s="67">
        <v>76.790000000000006</v>
      </c>
      <c r="E48" s="67">
        <v>76.790000000000006</v>
      </c>
      <c r="F48" s="67">
        <v>78.19</v>
      </c>
      <c r="G48" s="6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57"/>
      <c r="DC48" s="57"/>
      <c r="DD48" s="57"/>
      <c r="DE48" s="57"/>
      <c r="DF48" s="57"/>
      <c r="DG48" s="57"/>
      <c r="DH48" s="57"/>
      <c r="DI48" s="57"/>
      <c r="DJ48" s="57"/>
      <c r="DK48" s="57"/>
    </row>
    <row r="49" spans="1:115" ht="30" customHeight="1" x14ac:dyDescent="0.25">
      <c r="A49" s="58" t="s">
        <v>127</v>
      </c>
      <c r="B49" s="57">
        <v>120.12000274658203</v>
      </c>
      <c r="C49" s="67">
        <v>120.27</v>
      </c>
      <c r="D49" s="67">
        <v>120.27</v>
      </c>
      <c r="E49" s="67">
        <v>120.27</v>
      </c>
      <c r="F49" s="67">
        <v>123.15</v>
      </c>
      <c r="G49" s="6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</row>
    <row r="50" spans="1:115" ht="30" customHeight="1" x14ac:dyDescent="0.25">
      <c r="A50" s="58" t="s">
        <v>128</v>
      </c>
      <c r="B50" s="57">
        <v>23.059999465942383</v>
      </c>
      <c r="C50" s="67">
        <v>23.49</v>
      </c>
      <c r="D50" s="67">
        <v>23.49</v>
      </c>
      <c r="E50" s="67">
        <v>23.49</v>
      </c>
      <c r="F50" s="67">
        <v>23.55</v>
      </c>
      <c r="G50" s="6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7"/>
      <c r="DH50" s="57"/>
      <c r="DI50" s="57"/>
      <c r="DJ50" s="57"/>
      <c r="DK50" s="57"/>
    </row>
    <row r="51" spans="1:115" ht="30" customHeight="1" x14ac:dyDescent="0.25">
      <c r="A51" s="58" t="s">
        <v>129</v>
      </c>
      <c r="B51" s="57">
        <v>56.349998474121094</v>
      </c>
      <c r="C51" s="67">
        <v>56.56</v>
      </c>
      <c r="D51" s="67">
        <v>56.56</v>
      </c>
      <c r="E51" s="67">
        <v>56.56</v>
      </c>
      <c r="F51" s="67">
        <v>58.9</v>
      </c>
      <c r="G51" s="6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</row>
    <row r="52" spans="1:115" ht="30" customHeight="1" x14ac:dyDescent="0.25">
      <c r="A52" s="58" t="s">
        <v>130</v>
      </c>
      <c r="B52" s="57">
        <v>19.559999465942383</v>
      </c>
      <c r="C52" s="67">
        <v>19.21</v>
      </c>
      <c r="D52" s="67">
        <v>19.21</v>
      </c>
      <c r="E52" s="67">
        <v>19.21</v>
      </c>
      <c r="F52" s="67">
        <v>19.45</v>
      </c>
      <c r="G52" s="6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57"/>
      <c r="DB52" s="57"/>
      <c r="DC52" s="57"/>
      <c r="DD52" s="57"/>
      <c r="DE52" s="57"/>
      <c r="DF52" s="57"/>
      <c r="DG52" s="57"/>
      <c r="DH52" s="57"/>
      <c r="DI52" s="57"/>
      <c r="DJ52" s="57"/>
      <c r="DK52" s="57"/>
    </row>
    <row r="53" spans="1:115" ht="30" customHeight="1" x14ac:dyDescent="0.25">
      <c r="A53" s="58" t="s">
        <v>131</v>
      </c>
      <c r="B53" s="57">
        <v>20.979999542236328</v>
      </c>
      <c r="C53" s="67">
        <v>21.42</v>
      </c>
      <c r="D53" s="67">
        <v>21.42</v>
      </c>
      <c r="E53" s="67">
        <v>21.42</v>
      </c>
      <c r="F53" s="67">
        <v>21.59</v>
      </c>
      <c r="G53" s="6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57"/>
      <c r="DH53" s="57"/>
      <c r="DI53" s="57"/>
      <c r="DJ53" s="57"/>
      <c r="DK53" s="57"/>
    </row>
    <row r="54" spans="1:115" ht="30" customHeight="1" x14ac:dyDescent="0.25">
      <c r="A54" s="58" t="s">
        <v>132</v>
      </c>
      <c r="B54" s="57">
        <v>100.59999847412109</v>
      </c>
      <c r="C54" s="67">
        <v>100.44</v>
      </c>
      <c r="D54" s="67">
        <v>100.44</v>
      </c>
      <c r="E54" s="67">
        <v>100.44</v>
      </c>
      <c r="F54" s="67">
        <v>99.59</v>
      </c>
      <c r="G54" s="6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  <c r="DC54" s="57"/>
      <c r="DD54" s="57"/>
      <c r="DE54" s="57"/>
      <c r="DF54" s="57"/>
      <c r="DG54" s="57"/>
      <c r="DH54" s="57"/>
      <c r="DI54" s="57"/>
      <c r="DJ54" s="57"/>
      <c r="DK54" s="57"/>
    </row>
    <row r="55" spans="1:115" ht="30" customHeight="1" x14ac:dyDescent="0.25">
      <c r="A55" s="58" t="s">
        <v>133</v>
      </c>
      <c r="B55" s="57">
        <v>12.829999923706055</v>
      </c>
      <c r="C55" s="67">
        <v>12.86</v>
      </c>
      <c r="D55" s="67">
        <v>12.86</v>
      </c>
      <c r="E55" s="67">
        <v>12.86</v>
      </c>
      <c r="F55" s="67">
        <v>12.65</v>
      </c>
      <c r="G55" s="6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57"/>
      <c r="DB55" s="57"/>
      <c r="DC55" s="57"/>
      <c r="DD55" s="57"/>
      <c r="DE55" s="57"/>
      <c r="DF55" s="57"/>
      <c r="DG55" s="57"/>
      <c r="DH55" s="57"/>
      <c r="DI55" s="57"/>
      <c r="DJ55" s="57"/>
      <c r="DK55" s="57"/>
    </row>
    <row r="56" spans="1:115" ht="30" customHeight="1" x14ac:dyDescent="0.25">
      <c r="A56" s="58" t="s">
        <v>71</v>
      </c>
      <c r="B56" s="57">
        <v>18.404499053955078</v>
      </c>
      <c r="C56" s="67">
        <v>18.54</v>
      </c>
      <c r="D56" s="67">
        <v>18.54</v>
      </c>
      <c r="E56" s="67">
        <v>18.54</v>
      </c>
      <c r="F56" s="67">
        <v>18.57</v>
      </c>
      <c r="G56" s="6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57"/>
      <c r="CY56" s="57"/>
      <c r="CZ56" s="57"/>
      <c r="DA56" s="57"/>
      <c r="DB56" s="57"/>
      <c r="DC56" s="57"/>
      <c r="DD56" s="57"/>
      <c r="DE56" s="57"/>
      <c r="DF56" s="57"/>
      <c r="DG56" s="57"/>
      <c r="DH56" s="57"/>
      <c r="DI56" s="57"/>
      <c r="DJ56" s="57"/>
      <c r="DK56" s="57"/>
    </row>
    <row r="57" spans="1:115" ht="30" customHeight="1" x14ac:dyDescent="0.25">
      <c r="A57" s="58" t="s">
        <v>134</v>
      </c>
      <c r="B57" s="57">
        <v>43.049999237060547</v>
      </c>
      <c r="C57" s="67">
        <v>43.32</v>
      </c>
      <c r="D57" s="67">
        <v>43.32</v>
      </c>
      <c r="E57" s="67">
        <v>43.32</v>
      </c>
      <c r="F57" s="67">
        <v>43.49</v>
      </c>
      <c r="G57" s="6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  <c r="CZ57" s="57"/>
      <c r="DA57" s="57"/>
      <c r="DB57" s="57"/>
      <c r="DC57" s="57"/>
      <c r="DD57" s="57"/>
      <c r="DE57" s="57"/>
      <c r="DF57" s="57"/>
      <c r="DG57" s="57"/>
      <c r="DH57" s="57"/>
      <c r="DI57" s="57"/>
      <c r="DJ57" s="57"/>
      <c r="DK57" s="57"/>
    </row>
    <row r="58" spans="1:115" ht="30" customHeight="1" x14ac:dyDescent="0.25">
      <c r="A58" s="58" t="s">
        <v>397</v>
      </c>
      <c r="B58" s="57">
        <v>15.439999580383301</v>
      </c>
      <c r="C58" s="67">
        <v>15.58</v>
      </c>
      <c r="D58" s="67">
        <v>15.58</v>
      </c>
      <c r="E58" s="67">
        <v>15.58</v>
      </c>
      <c r="F58" s="67">
        <v>15.64</v>
      </c>
      <c r="G58" s="6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57"/>
      <c r="DB58" s="57"/>
      <c r="DC58" s="57"/>
      <c r="DD58" s="57"/>
      <c r="DE58" s="57"/>
      <c r="DF58" s="57"/>
      <c r="DG58" s="57"/>
      <c r="DH58" s="57"/>
      <c r="DI58" s="57"/>
      <c r="DJ58" s="57"/>
      <c r="DK58" s="57"/>
    </row>
    <row r="59" spans="1:115" ht="30" customHeight="1" x14ac:dyDescent="0.25">
      <c r="A59" s="58" t="s">
        <v>135</v>
      </c>
      <c r="B59" s="57">
        <v>30.899999618530273</v>
      </c>
      <c r="C59" s="67">
        <v>30.82</v>
      </c>
      <c r="D59" s="67">
        <v>30.82</v>
      </c>
      <c r="E59" s="67">
        <v>30.82</v>
      </c>
      <c r="F59" s="67">
        <v>32.479999999999997</v>
      </c>
      <c r="G59" s="6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</row>
    <row r="60" spans="1:115" ht="30" customHeight="1" x14ac:dyDescent="0.25">
      <c r="A60" s="58" t="s">
        <v>136</v>
      </c>
      <c r="B60" s="57">
        <v>83.949996948242188</v>
      </c>
      <c r="C60" s="67">
        <v>83.97</v>
      </c>
      <c r="D60" s="67">
        <v>83.97</v>
      </c>
      <c r="E60" s="67">
        <v>83.97</v>
      </c>
      <c r="F60" s="67">
        <v>83.9</v>
      </c>
      <c r="G60" s="6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  <c r="DC60" s="57"/>
      <c r="DD60" s="57"/>
      <c r="DE60" s="57"/>
      <c r="DF60" s="57"/>
      <c r="DG60" s="57"/>
      <c r="DH60" s="57"/>
      <c r="DI60" s="57"/>
      <c r="DJ60" s="57"/>
      <c r="DK60" s="57"/>
    </row>
    <row r="61" spans="1:115" ht="30" customHeight="1" x14ac:dyDescent="0.25">
      <c r="A61" s="58" t="s">
        <v>137</v>
      </c>
      <c r="B61" s="57">
        <v>45.880001068115234</v>
      </c>
      <c r="C61" s="67">
        <v>47.56</v>
      </c>
      <c r="D61" s="67">
        <v>47.56</v>
      </c>
      <c r="E61" s="67">
        <v>47.56</v>
      </c>
      <c r="F61" s="67">
        <v>47.89</v>
      </c>
      <c r="G61" s="6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  <c r="DF61" s="57"/>
      <c r="DG61" s="57"/>
      <c r="DH61" s="57"/>
      <c r="DI61" s="57"/>
      <c r="DJ61" s="57"/>
      <c r="DK61" s="57"/>
    </row>
    <row r="62" spans="1:115" ht="30" customHeight="1" x14ac:dyDescent="0.25">
      <c r="A62" s="58" t="s">
        <v>138</v>
      </c>
      <c r="B62" s="57">
        <v>6.3299999237060547</v>
      </c>
      <c r="C62" s="67">
        <v>6.38</v>
      </c>
      <c r="D62" s="67">
        <v>6.38</v>
      </c>
      <c r="E62" s="67">
        <v>6.38</v>
      </c>
      <c r="F62" s="67">
        <v>6.15</v>
      </c>
      <c r="G62" s="6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</row>
    <row r="63" spans="1:115" ht="30" customHeight="1" x14ac:dyDescent="0.25">
      <c r="A63" s="58" t="s">
        <v>139</v>
      </c>
      <c r="B63" s="57">
        <v>9.119999885559082</v>
      </c>
      <c r="C63" s="67">
        <v>9.31</v>
      </c>
      <c r="D63" s="67">
        <v>9.31</v>
      </c>
      <c r="E63" s="67">
        <v>9.31</v>
      </c>
      <c r="F63" s="67">
        <v>10.36</v>
      </c>
      <c r="G63" s="6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  <c r="DF63" s="57"/>
      <c r="DG63" s="57"/>
      <c r="DH63" s="57"/>
      <c r="DI63" s="57"/>
      <c r="DJ63" s="57"/>
      <c r="DK63" s="57"/>
    </row>
    <row r="64" spans="1:115" ht="30" customHeight="1" x14ac:dyDescent="0.25">
      <c r="A64" s="58" t="s">
        <v>140</v>
      </c>
      <c r="B64" s="57">
        <v>7.0100002288818359</v>
      </c>
      <c r="C64" s="67">
        <v>7.32</v>
      </c>
      <c r="D64" s="67">
        <v>7.32</v>
      </c>
      <c r="E64" s="67">
        <v>7.32</v>
      </c>
      <c r="F64" s="67">
        <v>7.55</v>
      </c>
      <c r="G64" s="6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</row>
    <row r="65" spans="1:115" ht="30" customHeight="1" x14ac:dyDescent="0.25">
      <c r="A65" s="58" t="s">
        <v>141</v>
      </c>
      <c r="B65" s="57">
        <v>1.1599999666213989</v>
      </c>
      <c r="C65" s="67">
        <v>1.24</v>
      </c>
      <c r="D65" s="67">
        <v>1.24</v>
      </c>
      <c r="E65" s="67">
        <v>1.24</v>
      </c>
      <c r="F65" s="67">
        <v>1.21</v>
      </c>
      <c r="G65" s="6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</row>
    <row r="66" spans="1:115" ht="30" customHeight="1" x14ac:dyDescent="0.25">
      <c r="A66" s="58" t="s">
        <v>142</v>
      </c>
      <c r="B66" s="57">
        <v>178.72000122070313</v>
      </c>
      <c r="C66" s="67">
        <v>179.01</v>
      </c>
      <c r="D66" s="67">
        <v>179.01</v>
      </c>
      <c r="E66" s="67">
        <v>179.01</v>
      </c>
      <c r="F66" s="67">
        <v>178.64</v>
      </c>
      <c r="G66" s="6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57"/>
      <c r="CQ66" s="57"/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  <c r="DF66" s="57"/>
      <c r="DG66" s="57"/>
      <c r="DH66" s="57"/>
      <c r="DI66" s="57"/>
      <c r="DJ66" s="57"/>
      <c r="DK66" s="57"/>
    </row>
    <row r="67" spans="1:115" ht="30" customHeight="1" x14ac:dyDescent="0.25">
      <c r="A67" s="58" t="s">
        <v>143</v>
      </c>
      <c r="B67" s="57">
        <v>56.389999389648438</v>
      </c>
      <c r="C67" s="67">
        <v>57</v>
      </c>
      <c r="D67" s="67">
        <v>57</v>
      </c>
      <c r="E67" s="67">
        <v>57</v>
      </c>
      <c r="F67" s="67">
        <v>56.92</v>
      </c>
      <c r="G67" s="6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  <c r="CS67" s="57"/>
      <c r="CT67" s="57"/>
      <c r="CU67" s="57"/>
      <c r="CV67" s="57"/>
      <c r="CW67" s="57"/>
      <c r="CX67" s="57"/>
      <c r="CY67" s="57"/>
      <c r="CZ67" s="57"/>
      <c r="DA67" s="57"/>
      <c r="DB67" s="57"/>
      <c r="DC67" s="57"/>
      <c r="DD67" s="57"/>
      <c r="DE67" s="57"/>
      <c r="DF67" s="57"/>
      <c r="DG67" s="57"/>
      <c r="DH67" s="57"/>
      <c r="DI67" s="57"/>
      <c r="DJ67" s="57"/>
      <c r="DK67" s="57"/>
    </row>
    <row r="68" spans="1:115" ht="30" customHeight="1" x14ac:dyDescent="0.25">
      <c r="A68" s="58" t="s">
        <v>144</v>
      </c>
      <c r="B68" s="57">
        <v>68.279998779296875</v>
      </c>
      <c r="C68" s="67">
        <v>68.33</v>
      </c>
      <c r="D68" s="67">
        <v>68.33</v>
      </c>
      <c r="E68" s="67">
        <v>68.33</v>
      </c>
      <c r="F68" s="67">
        <v>67.260000000000005</v>
      </c>
      <c r="G68" s="6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  <c r="CS68" s="57"/>
      <c r="CT68" s="57"/>
      <c r="CU68" s="57"/>
      <c r="CV68" s="57"/>
      <c r="CW68" s="57"/>
      <c r="CX68" s="57"/>
      <c r="CY68" s="57"/>
      <c r="CZ68" s="57"/>
      <c r="DA68" s="57"/>
      <c r="DB68" s="57"/>
      <c r="DC68" s="57"/>
      <c r="DD68" s="57"/>
      <c r="DE68" s="57"/>
      <c r="DF68" s="57"/>
      <c r="DG68" s="57"/>
      <c r="DH68" s="57"/>
      <c r="DI68" s="57"/>
      <c r="DJ68" s="57"/>
      <c r="DK68" s="57"/>
    </row>
    <row r="69" spans="1:115" ht="30" customHeight="1" x14ac:dyDescent="0.25">
      <c r="A69" s="58" t="s">
        <v>145</v>
      </c>
      <c r="B69" s="57">
        <v>24.75</v>
      </c>
      <c r="C69" s="67">
        <v>24.52</v>
      </c>
      <c r="D69" s="67">
        <v>24.52</v>
      </c>
      <c r="E69" s="67">
        <v>24.52</v>
      </c>
      <c r="F69" s="67">
        <v>24.71</v>
      </c>
      <c r="G69" s="6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M69" s="57"/>
      <c r="CN69" s="57"/>
      <c r="CO69" s="57"/>
      <c r="CP69" s="57"/>
      <c r="CQ69" s="57"/>
      <c r="CR69" s="57"/>
      <c r="CS69" s="57"/>
      <c r="CT69" s="57"/>
      <c r="CU69" s="57"/>
      <c r="CV69" s="57"/>
      <c r="CW69" s="57"/>
      <c r="CX69" s="57"/>
      <c r="CY69" s="57"/>
      <c r="CZ69" s="57"/>
      <c r="DA69" s="57"/>
      <c r="DB69" s="57"/>
      <c r="DC69" s="57"/>
      <c r="DD69" s="57"/>
      <c r="DE69" s="57"/>
      <c r="DF69" s="57"/>
      <c r="DG69" s="57"/>
      <c r="DH69" s="57"/>
      <c r="DI69" s="57"/>
      <c r="DJ69" s="57"/>
      <c r="DK69" s="57"/>
    </row>
    <row r="70" spans="1:115" ht="30" customHeight="1" x14ac:dyDescent="0.25">
      <c r="A70" s="58" t="s">
        <v>146</v>
      </c>
      <c r="B70" s="57">
        <v>72.410003662109375</v>
      </c>
      <c r="C70" s="67">
        <v>71.44</v>
      </c>
      <c r="D70" s="67">
        <v>71.44</v>
      </c>
      <c r="E70" s="67">
        <v>71.44</v>
      </c>
      <c r="F70" s="67">
        <v>71.28</v>
      </c>
      <c r="G70" s="6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57"/>
      <c r="CY70" s="57"/>
      <c r="CZ70" s="57"/>
      <c r="DA70" s="57"/>
      <c r="DB70" s="57"/>
      <c r="DC70" s="57"/>
      <c r="DD70" s="57"/>
      <c r="DE70" s="57"/>
      <c r="DF70" s="57"/>
      <c r="DG70" s="57"/>
      <c r="DH70" s="57"/>
      <c r="DI70" s="57"/>
      <c r="DJ70" s="57"/>
      <c r="DK70" s="57"/>
    </row>
    <row r="71" spans="1:115" ht="30" customHeight="1" x14ac:dyDescent="0.25">
      <c r="A71" s="58" t="s">
        <v>147</v>
      </c>
      <c r="B71" s="57">
        <v>17.670000076293945</v>
      </c>
      <c r="C71" s="67">
        <v>17.86</v>
      </c>
      <c r="D71" s="67">
        <v>17.86</v>
      </c>
      <c r="E71" s="67">
        <v>17.86</v>
      </c>
      <c r="F71" s="67">
        <v>18.07</v>
      </c>
      <c r="G71" s="6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  <c r="CS71" s="57"/>
      <c r="CT71" s="57"/>
      <c r="CU71" s="57"/>
      <c r="CV71" s="57"/>
      <c r="CW71" s="57"/>
      <c r="CX71" s="57"/>
      <c r="CY71" s="57"/>
      <c r="CZ71" s="57"/>
      <c r="DA71" s="57"/>
      <c r="DB71" s="57"/>
      <c r="DC71" s="57"/>
      <c r="DD71" s="57"/>
      <c r="DE71" s="57"/>
      <c r="DF71" s="57"/>
      <c r="DG71" s="57"/>
      <c r="DH71" s="57"/>
      <c r="DI71" s="57"/>
      <c r="DJ71" s="57"/>
      <c r="DK71" s="57"/>
    </row>
    <row r="72" spans="1:115" ht="30" customHeight="1" x14ac:dyDescent="0.25">
      <c r="A72" s="58" t="s">
        <v>148</v>
      </c>
      <c r="B72" s="57">
        <v>9.2200002670288086</v>
      </c>
      <c r="C72" s="67">
        <v>8.39</v>
      </c>
      <c r="D72" s="67">
        <v>8.39</v>
      </c>
      <c r="E72" s="67">
        <v>8.39</v>
      </c>
      <c r="F72" s="67">
        <v>8.08</v>
      </c>
      <c r="G72" s="6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M72" s="57"/>
      <c r="CN72" s="57"/>
      <c r="CO72" s="57"/>
      <c r="CP72" s="57"/>
      <c r="CQ72" s="57"/>
      <c r="CR72" s="57"/>
      <c r="CS72" s="57"/>
      <c r="CT72" s="57"/>
      <c r="CU72" s="57"/>
      <c r="CV72" s="57"/>
      <c r="CW72" s="57"/>
      <c r="CX72" s="57"/>
      <c r="CY72" s="57"/>
      <c r="CZ72" s="57"/>
      <c r="DA72" s="57"/>
      <c r="DB72" s="57"/>
      <c r="DC72" s="57"/>
      <c r="DD72" s="57"/>
      <c r="DE72" s="57"/>
      <c r="DF72" s="57"/>
      <c r="DG72" s="57"/>
      <c r="DH72" s="57"/>
      <c r="DI72" s="57"/>
      <c r="DJ72" s="57"/>
      <c r="DK72" s="57"/>
    </row>
    <row r="73" spans="1:115" ht="30" customHeight="1" x14ac:dyDescent="0.25">
      <c r="A73" s="58" t="s">
        <v>149</v>
      </c>
      <c r="B73" s="57">
        <v>166.28999328613281</v>
      </c>
      <c r="C73" s="67">
        <v>166.26</v>
      </c>
      <c r="D73" s="67">
        <v>166.26</v>
      </c>
      <c r="E73" s="67">
        <v>166.26</v>
      </c>
      <c r="F73" s="67">
        <v>163.55000000000001</v>
      </c>
      <c r="G73" s="6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  <c r="DC73" s="57"/>
      <c r="DD73" s="57"/>
      <c r="DE73" s="57"/>
      <c r="DF73" s="57"/>
      <c r="DG73" s="57"/>
      <c r="DH73" s="57"/>
      <c r="DI73" s="57"/>
      <c r="DJ73" s="57"/>
      <c r="DK73" s="57"/>
    </row>
    <row r="74" spans="1:115" ht="30" customHeight="1" x14ac:dyDescent="0.25">
      <c r="A74" s="58" t="s">
        <v>150</v>
      </c>
      <c r="B74" s="57">
        <v>432.6300048828125</v>
      </c>
      <c r="C74" s="67">
        <v>429.23</v>
      </c>
      <c r="D74" s="67">
        <v>429.23</v>
      </c>
      <c r="E74" s="67">
        <v>429.23</v>
      </c>
      <c r="F74" s="67">
        <v>448.06</v>
      </c>
      <c r="G74" s="6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  <c r="CJ74" s="57"/>
      <c r="CK74" s="57"/>
      <c r="CL74" s="57"/>
      <c r="CM74" s="57"/>
      <c r="CN74" s="57"/>
      <c r="CO74" s="57"/>
      <c r="CP74" s="57"/>
      <c r="CQ74" s="57"/>
      <c r="CR74" s="57"/>
      <c r="CS74" s="57"/>
      <c r="CT74" s="57"/>
      <c r="CU74" s="57"/>
      <c r="CV74" s="57"/>
      <c r="CW74" s="57"/>
      <c r="CX74" s="57"/>
      <c r="CY74" s="57"/>
      <c r="CZ74" s="57"/>
      <c r="DA74" s="57"/>
      <c r="DB74" s="57"/>
      <c r="DC74" s="57"/>
      <c r="DD74" s="57"/>
      <c r="DE74" s="57"/>
      <c r="DF74" s="57"/>
      <c r="DG74" s="57"/>
      <c r="DH74" s="57"/>
      <c r="DI74" s="57"/>
      <c r="DJ74" s="57"/>
      <c r="DK74" s="57"/>
    </row>
    <row r="75" spans="1:115" ht="30" customHeight="1" x14ac:dyDescent="0.25">
      <c r="A75" s="58" t="s">
        <v>151</v>
      </c>
      <c r="B75" s="57">
        <v>30.569999694824219</v>
      </c>
      <c r="C75" s="67">
        <v>29</v>
      </c>
      <c r="D75" s="67">
        <v>29</v>
      </c>
      <c r="E75" s="67">
        <v>29</v>
      </c>
      <c r="F75" s="67">
        <v>29.05</v>
      </c>
      <c r="G75" s="6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  <c r="CJ75" s="57"/>
      <c r="CK75" s="57"/>
      <c r="CL75" s="57"/>
      <c r="CM75" s="57"/>
      <c r="CN75" s="57"/>
      <c r="CO75" s="57"/>
      <c r="CP75" s="57"/>
      <c r="CQ75" s="57"/>
      <c r="CR75" s="57"/>
      <c r="CS75" s="57"/>
      <c r="CT75" s="57"/>
      <c r="CU75" s="57"/>
      <c r="CV75" s="57"/>
      <c r="CW75" s="57"/>
      <c r="CX75" s="57"/>
      <c r="CY75" s="57"/>
      <c r="CZ75" s="57"/>
      <c r="DA75" s="57"/>
      <c r="DB75" s="57"/>
      <c r="DC75" s="57"/>
      <c r="DD75" s="57"/>
      <c r="DE75" s="57"/>
      <c r="DF75" s="57"/>
      <c r="DG75" s="57"/>
      <c r="DH75" s="57"/>
      <c r="DI75" s="57"/>
      <c r="DJ75" s="57"/>
      <c r="DK75" s="57"/>
    </row>
    <row r="76" spans="1:115" ht="30" customHeight="1" x14ac:dyDescent="0.25">
      <c r="A76" s="58" t="s">
        <v>152</v>
      </c>
      <c r="B76" s="57">
        <v>46.459999084472656</v>
      </c>
      <c r="C76" s="67">
        <v>45.62</v>
      </c>
      <c r="D76" s="67">
        <v>45.62</v>
      </c>
      <c r="E76" s="67">
        <v>45.62</v>
      </c>
      <c r="F76" s="67">
        <v>46.03</v>
      </c>
      <c r="G76" s="6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7"/>
      <c r="CO76" s="57"/>
      <c r="CP76" s="57"/>
      <c r="CQ76" s="57"/>
      <c r="CR76" s="57"/>
      <c r="CS76" s="57"/>
      <c r="CT76" s="57"/>
      <c r="CU76" s="57"/>
      <c r="CV76" s="57"/>
      <c r="CW76" s="57"/>
      <c r="CX76" s="57"/>
      <c r="CY76" s="57"/>
      <c r="CZ76" s="57"/>
      <c r="DA76" s="57"/>
      <c r="DB76" s="57"/>
      <c r="DC76" s="57"/>
      <c r="DD76" s="57"/>
      <c r="DE76" s="57"/>
      <c r="DF76" s="57"/>
      <c r="DG76" s="57"/>
      <c r="DH76" s="57"/>
      <c r="DI76" s="57"/>
      <c r="DJ76" s="57"/>
      <c r="DK76" s="57"/>
    </row>
    <row r="77" spans="1:115" ht="30" customHeight="1" x14ac:dyDescent="0.25">
      <c r="A77" s="58" t="s">
        <v>153</v>
      </c>
      <c r="B77" s="57">
        <v>8.8100004196166992</v>
      </c>
      <c r="C77" s="67">
        <v>8.73</v>
      </c>
      <c r="D77" s="67">
        <v>8.73</v>
      </c>
      <c r="E77" s="67">
        <v>8.73</v>
      </c>
      <c r="F77" s="67">
        <v>9.01</v>
      </c>
      <c r="G77" s="6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57"/>
      <c r="CV77" s="57"/>
      <c r="CW77" s="57"/>
      <c r="CX77" s="57"/>
      <c r="CY77" s="57"/>
      <c r="CZ77" s="57"/>
      <c r="DA77" s="57"/>
      <c r="DB77" s="57"/>
      <c r="DC77" s="57"/>
      <c r="DD77" s="57"/>
      <c r="DE77" s="57"/>
      <c r="DF77" s="57"/>
      <c r="DG77" s="57"/>
      <c r="DH77" s="57"/>
      <c r="DI77" s="57"/>
      <c r="DJ77" s="57"/>
      <c r="DK77" s="57"/>
    </row>
    <row r="78" spans="1:115" ht="30" customHeight="1" x14ac:dyDescent="0.25">
      <c r="A78" s="58" t="s">
        <v>154</v>
      </c>
      <c r="B78" s="57">
        <v>29.5</v>
      </c>
      <c r="C78" s="67">
        <v>30.71</v>
      </c>
      <c r="D78" s="67">
        <v>30.71</v>
      </c>
      <c r="E78" s="67">
        <v>30.71</v>
      </c>
      <c r="F78" s="67">
        <v>32.68</v>
      </c>
      <c r="G78" s="6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M78" s="57"/>
      <c r="CN78" s="57"/>
      <c r="CO78" s="57"/>
      <c r="CP78" s="57"/>
      <c r="CQ78" s="57"/>
      <c r="CR78" s="57"/>
      <c r="CS78" s="57"/>
      <c r="CT78" s="57"/>
      <c r="CU78" s="57"/>
      <c r="CV78" s="57"/>
      <c r="CW78" s="57"/>
      <c r="CX78" s="57"/>
      <c r="CY78" s="57"/>
      <c r="CZ78" s="57"/>
      <c r="DA78" s="57"/>
      <c r="DB78" s="57"/>
      <c r="DC78" s="57"/>
      <c r="DD78" s="57"/>
      <c r="DE78" s="57"/>
      <c r="DF78" s="57"/>
      <c r="DG78" s="57"/>
      <c r="DH78" s="57"/>
      <c r="DI78" s="57"/>
      <c r="DJ78" s="57"/>
      <c r="DK78" s="57"/>
    </row>
    <row r="79" spans="1:115" ht="30" customHeight="1" x14ac:dyDescent="0.25">
      <c r="A79" s="58" t="s">
        <v>155</v>
      </c>
      <c r="B79" s="57">
        <v>230.83999633789063</v>
      </c>
      <c r="C79" s="67">
        <v>237.48</v>
      </c>
      <c r="D79" s="67">
        <v>237.48</v>
      </c>
      <c r="E79" s="67">
        <v>237.48</v>
      </c>
      <c r="F79" s="67">
        <v>238.14</v>
      </c>
      <c r="G79" s="6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  <c r="CS79" s="57"/>
      <c r="CT79" s="57"/>
      <c r="CU79" s="57"/>
      <c r="CV79" s="57"/>
      <c r="CW79" s="57"/>
      <c r="CX79" s="57"/>
      <c r="CY79" s="57"/>
      <c r="CZ79" s="57"/>
      <c r="DA79" s="57"/>
      <c r="DB79" s="57"/>
      <c r="DC79" s="57"/>
      <c r="DD79" s="57"/>
      <c r="DE79" s="57"/>
      <c r="DF79" s="57"/>
      <c r="DG79" s="57"/>
      <c r="DH79" s="57"/>
      <c r="DI79" s="57"/>
      <c r="DJ79" s="57"/>
      <c r="DK79" s="57"/>
    </row>
    <row r="80" spans="1:115" ht="30" customHeight="1" x14ac:dyDescent="0.25">
      <c r="A80" s="58" t="s">
        <v>156</v>
      </c>
      <c r="B80" s="57">
        <v>101.02999877929688</v>
      </c>
      <c r="C80" s="67">
        <v>103.02</v>
      </c>
      <c r="D80" s="67">
        <v>103.02</v>
      </c>
      <c r="E80" s="67">
        <v>103.02</v>
      </c>
      <c r="F80" s="67">
        <v>104.87</v>
      </c>
      <c r="G80" s="6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  <c r="CS80" s="57"/>
      <c r="CT80" s="57"/>
      <c r="CU80" s="57"/>
      <c r="CV80" s="57"/>
      <c r="CW80" s="57"/>
      <c r="CX80" s="57"/>
      <c r="CY80" s="57"/>
      <c r="CZ80" s="57"/>
      <c r="DA80" s="57"/>
      <c r="DB80" s="57"/>
      <c r="DC80" s="57"/>
      <c r="DD80" s="57"/>
      <c r="DE80" s="57"/>
      <c r="DF80" s="57"/>
      <c r="DG80" s="57"/>
      <c r="DH80" s="57"/>
      <c r="DI80" s="57"/>
      <c r="DJ80" s="57"/>
      <c r="DK80" s="57"/>
    </row>
    <row r="81" spans="1:115" ht="30" customHeight="1" x14ac:dyDescent="0.25">
      <c r="A81" s="58" t="s">
        <v>157</v>
      </c>
      <c r="B81" s="57">
        <v>39.229999542236328</v>
      </c>
      <c r="C81" s="67">
        <v>41.58</v>
      </c>
      <c r="D81" s="67">
        <v>41.58</v>
      </c>
      <c r="E81" s="67">
        <v>41.58</v>
      </c>
      <c r="F81" s="67">
        <v>44.13</v>
      </c>
      <c r="G81" s="6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57"/>
      <c r="CV81" s="57"/>
      <c r="CW81" s="57"/>
      <c r="CX81" s="57"/>
      <c r="CY81" s="57"/>
      <c r="CZ81" s="57"/>
      <c r="DA81" s="57"/>
      <c r="DB81" s="57"/>
      <c r="DC81" s="57"/>
      <c r="DD81" s="57"/>
      <c r="DE81" s="57"/>
      <c r="DF81" s="57"/>
      <c r="DG81" s="57"/>
      <c r="DH81" s="57"/>
      <c r="DI81" s="57"/>
      <c r="DJ81" s="57"/>
      <c r="DK81" s="57"/>
    </row>
    <row r="82" spans="1:115" ht="30" customHeight="1" x14ac:dyDescent="0.25">
      <c r="A82" s="58" t="s">
        <v>158</v>
      </c>
      <c r="B82" s="57">
        <v>18.040000915527344</v>
      </c>
      <c r="C82" s="67">
        <v>17.88</v>
      </c>
      <c r="D82" s="67">
        <v>17.88</v>
      </c>
      <c r="E82" s="67">
        <v>17.88</v>
      </c>
      <c r="F82" s="67">
        <v>18.95</v>
      </c>
      <c r="G82" s="6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  <c r="CS82" s="57"/>
      <c r="CT82" s="57"/>
      <c r="CU82" s="57"/>
      <c r="CV82" s="57"/>
      <c r="CW82" s="57"/>
      <c r="CX82" s="57"/>
      <c r="CY82" s="57"/>
      <c r="CZ82" s="57"/>
      <c r="DA82" s="57"/>
      <c r="DB82" s="57"/>
      <c r="DC82" s="57"/>
      <c r="DD82" s="57"/>
      <c r="DE82" s="57"/>
      <c r="DF82" s="57"/>
      <c r="DG82" s="57"/>
      <c r="DH82" s="57"/>
      <c r="DI82" s="57"/>
      <c r="DJ82" s="57"/>
      <c r="DK82" s="57"/>
    </row>
    <row r="83" spans="1:115" ht="30" customHeight="1" x14ac:dyDescent="0.25">
      <c r="A83" s="58" t="s">
        <v>159</v>
      </c>
      <c r="B83" s="57">
        <v>17.950000762939453</v>
      </c>
      <c r="C83" s="67">
        <v>17.71</v>
      </c>
      <c r="D83" s="67">
        <v>17.71</v>
      </c>
      <c r="E83" s="67">
        <v>17.71</v>
      </c>
      <c r="F83" s="67">
        <v>18.010000000000002</v>
      </c>
      <c r="G83" s="6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  <c r="CS83" s="57"/>
      <c r="CT83" s="57"/>
      <c r="CU83" s="57"/>
      <c r="CV83" s="57"/>
      <c r="CW83" s="57"/>
      <c r="CX83" s="57"/>
      <c r="CY83" s="57"/>
      <c r="CZ83" s="57"/>
      <c r="DA83" s="57"/>
      <c r="DB83" s="57"/>
      <c r="DC83" s="57"/>
      <c r="DD83" s="57"/>
      <c r="DE83" s="57"/>
      <c r="DF83" s="57"/>
      <c r="DG83" s="57"/>
      <c r="DH83" s="57"/>
      <c r="DI83" s="57"/>
      <c r="DJ83" s="57"/>
      <c r="DK83" s="57"/>
    </row>
    <row r="84" spans="1:115" ht="30" customHeight="1" x14ac:dyDescent="0.25">
      <c r="A84" s="58" t="s">
        <v>160</v>
      </c>
      <c r="B84" s="57">
        <v>9.1800003051757813</v>
      </c>
      <c r="C84" s="67">
        <v>9.42</v>
      </c>
      <c r="D84" s="67">
        <v>9.42</v>
      </c>
      <c r="E84" s="67">
        <v>9.42</v>
      </c>
      <c r="F84" s="67">
        <v>9.4700000000000006</v>
      </c>
      <c r="G84" s="6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7"/>
      <c r="CL84" s="57"/>
      <c r="CM84" s="57"/>
      <c r="CN84" s="57"/>
      <c r="CO84" s="57"/>
      <c r="CP84" s="57"/>
      <c r="CQ84" s="57"/>
      <c r="CR84" s="57"/>
      <c r="CS84" s="57"/>
      <c r="CT84" s="57"/>
      <c r="CU84" s="57"/>
      <c r="CV84" s="57"/>
      <c r="CW84" s="57"/>
      <c r="CX84" s="57"/>
      <c r="CY84" s="57"/>
      <c r="CZ84" s="57"/>
      <c r="DA84" s="57"/>
      <c r="DB84" s="57"/>
      <c r="DC84" s="57"/>
      <c r="DD84" s="57"/>
      <c r="DE84" s="57"/>
      <c r="DF84" s="57"/>
      <c r="DG84" s="57"/>
      <c r="DH84" s="57"/>
      <c r="DI84" s="57"/>
      <c r="DJ84" s="57"/>
      <c r="DK84" s="57"/>
    </row>
    <row r="85" spans="1:115" ht="30" customHeight="1" x14ac:dyDescent="0.25">
      <c r="A85" s="58" t="s">
        <v>161</v>
      </c>
      <c r="B85" s="57">
        <v>22.520000457763672</v>
      </c>
      <c r="C85" s="67">
        <v>23.02</v>
      </c>
      <c r="D85" s="67">
        <v>23.02</v>
      </c>
      <c r="E85" s="67">
        <v>23.02</v>
      </c>
      <c r="F85" s="67">
        <v>23.25</v>
      </c>
      <c r="G85" s="6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  <c r="CS85" s="57"/>
      <c r="CT85" s="57"/>
      <c r="CU85" s="57"/>
      <c r="CV85" s="57"/>
      <c r="CW85" s="57"/>
      <c r="CX85" s="57"/>
      <c r="CY85" s="57"/>
      <c r="CZ85" s="57"/>
      <c r="DA85" s="57"/>
      <c r="DB85" s="57"/>
      <c r="DC85" s="57"/>
      <c r="DD85" s="57"/>
      <c r="DE85" s="57"/>
      <c r="DF85" s="57"/>
      <c r="DG85" s="57"/>
      <c r="DH85" s="57"/>
      <c r="DI85" s="57"/>
      <c r="DJ85" s="57"/>
      <c r="DK85" s="57"/>
    </row>
    <row r="86" spans="1:115" ht="30" customHeight="1" x14ac:dyDescent="0.25">
      <c r="A86" s="58" t="s">
        <v>162</v>
      </c>
      <c r="B86" s="57">
        <v>87.05999755859375</v>
      </c>
      <c r="C86" s="67">
        <v>86.47</v>
      </c>
      <c r="D86" s="67">
        <v>86.47</v>
      </c>
      <c r="E86" s="67">
        <v>86.47</v>
      </c>
      <c r="F86" s="67">
        <v>86.33</v>
      </c>
      <c r="G86" s="6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  <c r="CJ86" s="57"/>
      <c r="CK86" s="57"/>
      <c r="CL86" s="57"/>
      <c r="CM86" s="57"/>
      <c r="CN86" s="57"/>
      <c r="CO86" s="57"/>
      <c r="CP86" s="57"/>
      <c r="CQ86" s="57"/>
      <c r="CR86" s="57"/>
      <c r="CS86" s="57"/>
      <c r="CT86" s="57"/>
      <c r="CU86" s="57"/>
      <c r="CV86" s="57"/>
      <c r="CW86" s="57"/>
      <c r="CX86" s="57"/>
      <c r="CY86" s="57"/>
      <c r="CZ86" s="57"/>
      <c r="DA86" s="57"/>
      <c r="DB86" s="57"/>
      <c r="DC86" s="57"/>
      <c r="DD86" s="57"/>
      <c r="DE86" s="57"/>
      <c r="DF86" s="57"/>
      <c r="DG86" s="57"/>
      <c r="DH86" s="57"/>
      <c r="DI86" s="57"/>
      <c r="DJ86" s="57"/>
      <c r="DK86" s="57"/>
    </row>
    <row r="87" spans="1:115" ht="30" customHeight="1" x14ac:dyDescent="0.25">
      <c r="A87" s="58" t="s">
        <v>163</v>
      </c>
      <c r="B87" s="57">
        <v>15.649999618530273</v>
      </c>
      <c r="C87" s="67">
        <v>15.75</v>
      </c>
      <c r="D87" s="67">
        <v>15.75</v>
      </c>
      <c r="E87" s="67">
        <v>15.75</v>
      </c>
      <c r="F87" s="67">
        <v>15.83</v>
      </c>
      <c r="G87" s="6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  <c r="CS87" s="57"/>
      <c r="CT87" s="57"/>
      <c r="CU87" s="57"/>
      <c r="CV87" s="57"/>
      <c r="CW87" s="57"/>
      <c r="CX87" s="57"/>
      <c r="CY87" s="57"/>
      <c r="CZ87" s="57"/>
      <c r="DA87" s="57"/>
      <c r="DB87" s="57"/>
      <c r="DC87" s="57"/>
      <c r="DD87" s="57"/>
      <c r="DE87" s="57"/>
      <c r="DF87" s="57"/>
      <c r="DG87" s="57"/>
      <c r="DH87" s="57"/>
      <c r="DI87" s="57"/>
      <c r="DJ87" s="57"/>
      <c r="DK87" s="57"/>
    </row>
    <row r="88" spans="1:115" ht="30" customHeight="1" x14ac:dyDescent="0.25">
      <c r="A88" s="58" t="s">
        <v>164</v>
      </c>
      <c r="B88" s="57">
        <v>109.56999969482422</v>
      </c>
      <c r="C88" s="67">
        <v>110.64</v>
      </c>
      <c r="D88" s="67">
        <v>110.64</v>
      </c>
      <c r="E88" s="67">
        <v>110.64</v>
      </c>
      <c r="F88" s="67">
        <v>110.6</v>
      </c>
      <c r="G88" s="6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7"/>
      <c r="CM88" s="57"/>
      <c r="CN88" s="57"/>
      <c r="CO88" s="57"/>
      <c r="CP88" s="57"/>
      <c r="CQ88" s="57"/>
      <c r="CR88" s="57"/>
      <c r="CS88" s="57"/>
      <c r="CT88" s="57"/>
      <c r="CU88" s="57"/>
      <c r="CV88" s="57"/>
      <c r="CW88" s="57"/>
      <c r="CX88" s="57"/>
      <c r="CY88" s="57"/>
      <c r="CZ88" s="57"/>
      <c r="DA88" s="57"/>
      <c r="DB88" s="57"/>
      <c r="DC88" s="57"/>
      <c r="DD88" s="57"/>
      <c r="DE88" s="57"/>
      <c r="DF88" s="57"/>
      <c r="DG88" s="57"/>
      <c r="DH88" s="57"/>
      <c r="DI88" s="57"/>
      <c r="DJ88" s="57"/>
      <c r="DK88" s="57"/>
    </row>
    <row r="89" spans="1:115" ht="30" customHeight="1" x14ac:dyDescent="0.25">
      <c r="A89" s="58" t="s">
        <v>165</v>
      </c>
      <c r="B89" s="57">
        <v>76.709999084472656</v>
      </c>
      <c r="C89" s="67">
        <v>76.52</v>
      </c>
      <c r="D89" s="67">
        <v>76.52</v>
      </c>
      <c r="E89" s="67">
        <v>76.52</v>
      </c>
      <c r="F89" s="67">
        <v>76.41</v>
      </c>
      <c r="G89" s="6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  <c r="CJ89" s="57"/>
      <c r="CK89" s="57"/>
      <c r="CL89" s="57"/>
      <c r="CM89" s="57"/>
      <c r="CN89" s="57"/>
      <c r="CO89" s="57"/>
      <c r="CP89" s="57"/>
      <c r="CQ89" s="57"/>
      <c r="CR89" s="57"/>
      <c r="CS89" s="57"/>
      <c r="CT89" s="57"/>
      <c r="CU89" s="57"/>
      <c r="CV89" s="57"/>
      <c r="CW89" s="57"/>
      <c r="CX89" s="57"/>
      <c r="CY89" s="57"/>
      <c r="CZ89" s="57"/>
      <c r="DA89" s="57"/>
      <c r="DB89" s="57"/>
      <c r="DC89" s="57"/>
      <c r="DD89" s="57"/>
      <c r="DE89" s="57"/>
      <c r="DF89" s="57"/>
      <c r="DG89" s="57"/>
      <c r="DH89" s="57"/>
      <c r="DI89" s="57"/>
      <c r="DJ89" s="57"/>
      <c r="DK89" s="57"/>
    </row>
    <row r="90" spans="1:115" ht="30" customHeight="1" x14ac:dyDescent="0.25">
      <c r="A90" s="58" t="s">
        <v>166</v>
      </c>
      <c r="B90" s="57">
        <v>28.010000228881836</v>
      </c>
      <c r="C90" s="67">
        <v>27.9</v>
      </c>
      <c r="D90" s="67">
        <v>27.9</v>
      </c>
      <c r="E90" s="67">
        <v>27.9</v>
      </c>
      <c r="F90" s="67">
        <v>27.17</v>
      </c>
      <c r="G90" s="6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M90" s="57"/>
      <c r="CN90" s="57"/>
      <c r="CO90" s="57"/>
      <c r="CP90" s="57"/>
      <c r="CQ90" s="57"/>
      <c r="CR90" s="57"/>
      <c r="CS90" s="57"/>
      <c r="CT90" s="57"/>
      <c r="CU90" s="57"/>
      <c r="CV90" s="57"/>
      <c r="CW90" s="57"/>
      <c r="CX90" s="57"/>
      <c r="CY90" s="57"/>
      <c r="CZ90" s="57"/>
      <c r="DA90" s="57"/>
      <c r="DB90" s="57"/>
      <c r="DC90" s="57"/>
      <c r="DD90" s="57"/>
      <c r="DE90" s="57"/>
      <c r="DF90" s="57"/>
      <c r="DG90" s="57"/>
      <c r="DH90" s="57"/>
      <c r="DI90" s="57"/>
      <c r="DJ90" s="57"/>
      <c r="DK90" s="57"/>
    </row>
    <row r="91" spans="1:115" ht="30" customHeight="1" x14ac:dyDescent="0.25">
      <c r="A91" s="58" t="s">
        <v>167</v>
      </c>
      <c r="B91" s="57">
        <v>96.866500854492188</v>
      </c>
      <c r="C91" s="67">
        <v>96.77</v>
      </c>
      <c r="D91" s="67">
        <v>96.77</v>
      </c>
      <c r="E91" s="67">
        <v>96.77</v>
      </c>
      <c r="F91" s="67">
        <v>97.84</v>
      </c>
      <c r="G91" s="6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  <c r="CS91" s="57"/>
      <c r="CT91" s="57"/>
      <c r="CU91" s="57"/>
      <c r="CV91" s="57"/>
      <c r="CW91" s="57"/>
      <c r="CX91" s="57"/>
      <c r="CY91" s="57"/>
      <c r="CZ91" s="57"/>
      <c r="DA91" s="57"/>
      <c r="DB91" s="57"/>
      <c r="DC91" s="57"/>
      <c r="DD91" s="57"/>
      <c r="DE91" s="57"/>
      <c r="DF91" s="57"/>
      <c r="DG91" s="57"/>
      <c r="DH91" s="57"/>
      <c r="DI91" s="57"/>
      <c r="DJ91" s="57"/>
      <c r="DK91" s="57"/>
    </row>
    <row r="92" spans="1:115" ht="30" customHeight="1" x14ac:dyDescent="0.25">
      <c r="A92" s="58" t="s">
        <v>168</v>
      </c>
      <c r="B92" s="57">
        <v>156.19999694824219</v>
      </c>
      <c r="C92" s="67">
        <v>160.47999999999999</v>
      </c>
      <c r="D92" s="67">
        <v>160.47999999999999</v>
      </c>
      <c r="E92" s="67">
        <v>160.47999999999999</v>
      </c>
      <c r="F92" s="67">
        <v>163.30000000000001</v>
      </c>
      <c r="G92" s="6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57"/>
      <c r="CS92" s="57"/>
      <c r="CT92" s="57"/>
      <c r="CU92" s="57"/>
      <c r="CV92" s="57"/>
      <c r="CW92" s="57"/>
      <c r="CX92" s="57"/>
      <c r="CY92" s="57"/>
      <c r="CZ92" s="57"/>
      <c r="DA92" s="57"/>
      <c r="DB92" s="57"/>
      <c r="DC92" s="57"/>
      <c r="DD92" s="57"/>
      <c r="DE92" s="57"/>
      <c r="DF92" s="57"/>
      <c r="DG92" s="57"/>
      <c r="DH92" s="57"/>
      <c r="DI92" s="57"/>
      <c r="DJ92" s="57"/>
      <c r="DK92" s="57"/>
    </row>
    <row r="93" spans="1:115" ht="30" customHeight="1" x14ac:dyDescent="0.25">
      <c r="A93" s="58" t="s">
        <v>169</v>
      </c>
      <c r="B93" s="57">
        <v>91.330001831054688</v>
      </c>
      <c r="C93" s="67">
        <v>92.58</v>
      </c>
      <c r="D93" s="67">
        <v>92.58</v>
      </c>
      <c r="E93" s="67">
        <v>92.58</v>
      </c>
      <c r="F93" s="67">
        <v>92.33</v>
      </c>
      <c r="G93" s="6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57"/>
      <c r="CP93" s="57"/>
      <c r="CQ93" s="57"/>
      <c r="CR93" s="57"/>
      <c r="CS93" s="57"/>
      <c r="CT93" s="57"/>
      <c r="CU93" s="57"/>
      <c r="CV93" s="57"/>
      <c r="CW93" s="57"/>
      <c r="CX93" s="57"/>
      <c r="CY93" s="57"/>
      <c r="CZ93" s="57"/>
      <c r="DA93" s="57"/>
      <c r="DB93" s="57"/>
      <c r="DC93" s="57"/>
      <c r="DD93" s="57"/>
      <c r="DE93" s="57"/>
      <c r="DF93" s="57"/>
      <c r="DG93" s="57"/>
      <c r="DH93" s="57"/>
      <c r="DI93" s="57"/>
      <c r="DJ93" s="57"/>
      <c r="DK93" s="57"/>
    </row>
    <row r="94" spans="1:115" ht="30" customHeight="1" x14ac:dyDescent="0.25">
      <c r="A94" s="58" t="s">
        <v>72</v>
      </c>
      <c r="B94" s="57">
        <v>346.01998901367188</v>
      </c>
      <c r="C94" s="67">
        <v>347.9</v>
      </c>
      <c r="D94" s="67">
        <v>347.9</v>
      </c>
      <c r="E94" s="67">
        <v>347.9</v>
      </c>
      <c r="F94" s="67">
        <v>346.59</v>
      </c>
      <c r="G94" s="6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7"/>
      <c r="CO94" s="57"/>
      <c r="CP94" s="57"/>
      <c r="CQ94" s="57"/>
      <c r="CR94" s="57"/>
      <c r="CS94" s="57"/>
      <c r="CT94" s="57"/>
      <c r="CU94" s="57"/>
      <c r="CV94" s="57"/>
      <c r="CW94" s="57"/>
      <c r="CX94" s="57"/>
      <c r="CY94" s="57"/>
      <c r="CZ94" s="57"/>
      <c r="DA94" s="57"/>
      <c r="DB94" s="57"/>
      <c r="DC94" s="57"/>
      <c r="DD94" s="57"/>
      <c r="DE94" s="57"/>
      <c r="DF94" s="57"/>
      <c r="DG94" s="57"/>
      <c r="DH94" s="57"/>
      <c r="DI94" s="57"/>
      <c r="DJ94" s="57"/>
      <c r="DK94" s="57"/>
    </row>
    <row r="95" spans="1:115" ht="30" customHeight="1" x14ac:dyDescent="0.25">
      <c r="A95" s="58" t="s">
        <v>170</v>
      </c>
      <c r="B95" s="57">
        <v>31.629999160766602</v>
      </c>
      <c r="C95" s="67">
        <v>31.55</v>
      </c>
      <c r="D95" s="67">
        <v>31.55</v>
      </c>
      <c r="E95" s="67">
        <v>31.55</v>
      </c>
      <c r="F95" s="67">
        <v>31.24</v>
      </c>
      <c r="G95" s="6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  <c r="CS95" s="57"/>
      <c r="CT95" s="57"/>
      <c r="CU95" s="57"/>
      <c r="CV95" s="57"/>
      <c r="CW95" s="57"/>
      <c r="CX95" s="57"/>
      <c r="CY95" s="57"/>
      <c r="CZ95" s="57"/>
      <c r="DA95" s="57"/>
      <c r="DB95" s="57"/>
      <c r="DC95" s="57"/>
      <c r="DD95" s="57"/>
      <c r="DE95" s="57"/>
      <c r="DF95" s="57"/>
      <c r="DG95" s="57"/>
      <c r="DH95" s="57"/>
      <c r="DI95" s="57"/>
      <c r="DJ95" s="57"/>
      <c r="DK95" s="57"/>
    </row>
    <row r="96" spans="1:115" ht="30" customHeight="1" x14ac:dyDescent="0.25">
      <c r="A96" s="58" t="s">
        <v>171</v>
      </c>
      <c r="B96" s="57">
        <v>24.670000076293945</v>
      </c>
      <c r="C96" s="67">
        <v>24.95</v>
      </c>
      <c r="D96" s="67">
        <v>24.95</v>
      </c>
      <c r="E96" s="67">
        <v>24.95</v>
      </c>
      <c r="F96" s="67">
        <v>24.64</v>
      </c>
      <c r="G96" s="6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M96" s="57"/>
      <c r="CN96" s="57"/>
      <c r="CO96" s="57"/>
      <c r="CP96" s="57"/>
      <c r="CQ96" s="57"/>
      <c r="CR96" s="57"/>
      <c r="CS96" s="57"/>
      <c r="CT96" s="57"/>
      <c r="CU96" s="57"/>
      <c r="CV96" s="57"/>
      <c r="CW96" s="57"/>
      <c r="CX96" s="57"/>
      <c r="CY96" s="57"/>
      <c r="CZ96" s="57"/>
      <c r="DA96" s="57"/>
      <c r="DB96" s="57"/>
      <c r="DC96" s="57"/>
      <c r="DD96" s="57"/>
      <c r="DE96" s="57"/>
      <c r="DF96" s="57"/>
      <c r="DG96" s="57"/>
      <c r="DH96" s="57"/>
      <c r="DI96" s="57"/>
      <c r="DJ96" s="57"/>
      <c r="DK96" s="57"/>
    </row>
    <row r="97" spans="1:115" ht="30" customHeight="1" x14ac:dyDescent="0.25">
      <c r="A97" s="58" t="s">
        <v>383</v>
      </c>
      <c r="B97" s="57">
        <v>0.45442661643028259</v>
      </c>
      <c r="C97" s="67">
        <v>0.46492243</v>
      </c>
      <c r="D97" s="67">
        <v>0.44672600000000001</v>
      </c>
      <c r="E97" s="67">
        <v>0.44850056999999999</v>
      </c>
      <c r="F97" s="67">
        <v>0.4014876</v>
      </c>
      <c r="G97" s="6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7"/>
      <c r="CX97" s="57"/>
      <c r="CY97" s="57"/>
      <c r="CZ97" s="57"/>
      <c r="DA97" s="57"/>
      <c r="DB97" s="57"/>
      <c r="DC97" s="57"/>
      <c r="DD97" s="57"/>
      <c r="DE97" s="57"/>
      <c r="DF97" s="57"/>
      <c r="DG97" s="57"/>
      <c r="DH97" s="57"/>
      <c r="DI97" s="57"/>
      <c r="DJ97" s="57"/>
      <c r="DK97" s="57"/>
    </row>
    <row r="98" spans="1:115" ht="30" customHeight="1" x14ac:dyDescent="0.25">
      <c r="A98" s="58" t="s">
        <v>172</v>
      </c>
      <c r="B98" s="57">
        <v>3.25</v>
      </c>
      <c r="C98" s="67">
        <v>3.27</v>
      </c>
      <c r="D98" s="67">
        <v>3.27</v>
      </c>
      <c r="E98" s="67">
        <v>3.27</v>
      </c>
      <c r="F98" s="67">
        <v>3.42</v>
      </c>
      <c r="G98" s="6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  <c r="DC98" s="57"/>
      <c r="DD98" s="57"/>
      <c r="DE98" s="57"/>
      <c r="DF98" s="57"/>
      <c r="DG98" s="57"/>
      <c r="DH98" s="57"/>
      <c r="DI98" s="57"/>
      <c r="DJ98" s="57"/>
      <c r="DK98" s="57"/>
    </row>
    <row r="99" spans="1:115" ht="30" customHeight="1" x14ac:dyDescent="0.25">
      <c r="A99" s="58" t="s">
        <v>173</v>
      </c>
      <c r="B99" s="57">
        <v>7.5300002098083496</v>
      </c>
      <c r="C99" s="67">
        <v>7.5</v>
      </c>
      <c r="D99" s="67">
        <v>7.5</v>
      </c>
      <c r="E99" s="67">
        <v>7.5</v>
      </c>
      <c r="F99" s="67">
        <v>7.5</v>
      </c>
      <c r="G99" s="6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  <c r="CS99" s="57"/>
      <c r="CT99" s="57"/>
      <c r="CU99" s="57"/>
      <c r="CV99" s="57"/>
      <c r="CW99" s="57"/>
      <c r="CX99" s="57"/>
      <c r="CY99" s="57"/>
      <c r="CZ99" s="57"/>
      <c r="DA99" s="57"/>
      <c r="DB99" s="57"/>
      <c r="DC99" s="57"/>
      <c r="DD99" s="57"/>
      <c r="DE99" s="57"/>
      <c r="DF99" s="57"/>
      <c r="DG99" s="57"/>
      <c r="DH99" s="57"/>
      <c r="DI99" s="57"/>
      <c r="DJ99" s="57"/>
      <c r="DK99" s="57"/>
    </row>
    <row r="100" spans="1:115" ht="30" customHeight="1" x14ac:dyDescent="0.25">
      <c r="A100" s="58" t="s">
        <v>174</v>
      </c>
      <c r="B100" s="57">
        <v>18.020000457763672</v>
      </c>
      <c r="C100" s="67">
        <v>18.14</v>
      </c>
      <c r="D100" s="67">
        <v>18.14</v>
      </c>
      <c r="E100" s="67">
        <v>18.14</v>
      </c>
      <c r="F100" s="67">
        <v>19.7</v>
      </c>
      <c r="G100" s="6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  <c r="CS100" s="57"/>
      <c r="CT100" s="57"/>
      <c r="CU100" s="57"/>
      <c r="CV100" s="57"/>
      <c r="CW100" s="57"/>
      <c r="CX100" s="57"/>
      <c r="CY100" s="57"/>
      <c r="CZ100" s="57"/>
      <c r="DA100" s="57"/>
      <c r="DB100" s="57"/>
      <c r="DC100" s="57"/>
      <c r="DD100" s="57"/>
      <c r="DE100" s="57"/>
      <c r="DF100" s="57"/>
      <c r="DG100" s="57"/>
      <c r="DH100" s="57"/>
      <c r="DI100" s="57"/>
      <c r="DJ100" s="57"/>
      <c r="DK100" s="57"/>
    </row>
    <row r="101" spans="1:115" ht="30" customHeight="1" x14ac:dyDescent="0.25">
      <c r="A101" s="58" t="s">
        <v>73</v>
      </c>
      <c r="B101" s="57">
        <v>55.490001678466797</v>
      </c>
      <c r="C101" s="67">
        <v>55.99</v>
      </c>
      <c r="D101" s="67">
        <v>55.99</v>
      </c>
      <c r="E101" s="67">
        <v>55.99</v>
      </c>
      <c r="F101" s="67">
        <v>55.71</v>
      </c>
      <c r="G101" s="6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  <c r="CS101" s="57"/>
      <c r="CT101" s="57"/>
      <c r="CU101" s="57"/>
      <c r="CV101" s="57"/>
      <c r="CW101" s="57"/>
      <c r="CX101" s="57"/>
      <c r="CY101" s="57"/>
      <c r="CZ101" s="57"/>
      <c r="DA101" s="57"/>
      <c r="DB101" s="57"/>
      <c r="DC101" s="57"/>
      <c r="DD101" s="57"/>
      <c r="DE101" s="57"/>
      <c r="DF101" s="57"/>
      <c r="DG101" s="57"/>
      <c r="DH101" s="57"/>
      <c r="DI101" s="57"/>
      <c r="DJ101" s="57"/>
      <c r="DK101" s="57"/>
    </row>
    <row r="102" spans="1:115" ht="30" customHeight="1" x14ac:dyDescent="0.25">
      <c r="A102" s="58" t="s">
        <v>175</v>
      </c>
      <c r="B102" s="57">
        <v>97.5</v>
      </c>
      <c r="C102" s="67">
        <v>98.21</v>
      </c>
      <c r="D102" s="67">
        <v>98.21</v>
      </c>
      <c r="E102" s="67">
        <v>98.21</v>
      </c>
      <c r="F102" s="67">
        <v>97.87</v>
      </c>
      <c r="G102" s="6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7"/>
      <c r="CX102" s="57"/>
      <c r="CY102" s="57"/>
      <c r="CZ102" s="57"/>
      <c r="DA102" s="57"/>
      <c r="DB102" s="57"/>
      <c r="DC102" s="57"/>
      <c r="DD102" s="57"/>
      <c r="DE102" s="57"/>
      <c r="DF102" s="57"/>
      <c r="DG102" s="57"/>
      <c r="DH102" s="57"/>
      <c r="DI102" s="57"/>
      <c r="DJ102" s="57"/>
      <c r="DK102" s="57"/>
    </row>
    <row r="103" spans="1:115" ht="30" customHeight="1" x14ac:dyDescent="0.25">
      <c r="A103" s="58" t="s">
        <v>176</v>
      </c>
      <c r="B103" s="57">
        <v>38.630001068115234</v>
      </c>
      <c r="C103" s="67">
        <v>39.06</v>
      </c>
      <c r="D103" s="67">
        <v>39.06</v>
      </c>
      <c r="E103" s="67">
        <v>39.06</v>
      </c>
      <c r="F103" s="67">
        <v>39.520000000000003</v>
      </c>
      <c r="G103" s="6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  <c r="CS103" s="57"/>
      <c r="CT103" s="57"/>
      <c r="CU103" s="57"/>
      <c r="CV103" s="57"/>
      <c r="CW103" s="57"/>
      <c r="CX103" s="57"/>
      <c r="CY103" s="57"/>
      <c r="CZ103" s="57"/>
      <c r="DA103" s="57"/>
      <c r="DB103" s="57"/>
      <c r="DC103" s="57"/>
      <c r="DD103" s="57"/>
      <c r="DE103" s="57"/>
      <c r="DF103" s="57"/>
      <c r="DG103" s="57"/>
      <c r="DH103" s="57"/>
      <c r="DI103" s="57"/>
      <c r="DJ103" s="57"/>
      <c r="DK103" s="57"/>
    </row>
    <row r="104" spans="1:115" ht="30" customHeight="1" x14ac:dyDescent="0.25">
      <c r="A104" s="58" t="s">
        <v>177</v>
      </c>
      <c r="B104" s="57">
        <v>134.1300048828125</v>
      </c>
      <c r="C104" s="67">
        <v>134.69999999999999</v>
      </c>
      <c r="D104" s="67">
        <v>134.69999999999999</v>
      </c>
      <c r="E104" s="67">
        <v>134.69999999999999</v>
      </c>
      <c r="F104" s="67">
        <v>137.47</v>
      </c>
      <c r="G104" s="6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M104" s="57"/>
      <c r="CN104" s="57"/>
      <c r="CO104" s="57"/>
      <c r="CP104" s="57"/>
      <c r="CQ104" s="57"/>
      <c r="CR104" s="57"/>
      <c r="CS104" s="57"/>
      <c r="CT104" s="57"/>
      <c r="CU104" s="57"/>
      <c r="CV104" s="57"/>
      <c r="CW104" s="57"/>
      <c r="CX104" s="57"/>
      <c r="CY104" s="57"/>
      <c r="CZ104" s="57"/>
      <c r="DA104" s="57"/>
      <c r="DB104" s="57"/>
      <c r="DC104" s="57"/>
      <c r="DD104" s="57"/>
      <c r="DE104" s="57"/>
      <c r="DF104" s="57"/>
      <c r="DG104" s="57"/>
      <c r="DH104" s="57"/>
      <c r="DI104" s="57"/>
      <c r="DJ104" s="57"/>
      <c r="DK104" s="57"/>
    </row>
    <row r="105" spans="1:115" ht="30" customHeight="1" x14ac:dyDescent="0.25">
      <c r="A105" s="58" t="s">
        <v>178</v>
      </c>
      <c r="B105" s="57">
        <v>82.459999084472656</v>
      </c>
      <c r="C105" s="67">
        <v>82.63</v>
      </c>
      <c r="D105" s="67">
        <v>82.63</v>
      </c>
      <c r="E105" s="67">
        <v>82.63</v>
      </c>
      <c r="F105" s="67">
        <v>83.26</v>
      </c>
      <c r="G105" s="6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  <c r="CJ105" s="57"/>
      <c r="CK105" s="57"/>
      <c r="CL105" s="57"/>
      <c r="CM105" s="57"/>
      <c r="CN105" s="57"/>
      <c r="CO105" s="57"/>
      <c r="CP105" s="57"/>
      <c r="CQ105" s="57"/>
      <c r="CR105" s="57"/>
      <c r="CS105" s="57"/>
      <c r="CT105" s="57"/>
      <c r="CU105" s="57"/>
      <c r="CV105" s="57"/>
      <c r="CW105" s="57"/>
      <c r="CX105" s="57"/>
      <c r="CY105" s="57"/>
      <c r="CZ105" s="57"/>
      <c r="DA105" s="57"/>
      <c r="DB105" s="57"/>
      <c r="DC105" s="57"/>
      <c r="DD105" s="57"/>
      <c r="DE105" s="57"/>
      <c r="DF105" s="57"/>
      <c r="DG105" s="57"/>
      <c r="DH105" s="57"/>
      <c r="DI105" s="57"/>
      <c r="DJ105" s="57"/>
      <c r="DK105" s="57"/>
    </row>
    <row r="106" spans="1:115" ht="30" customHeight="1" x14ac:dyDescent="0.25">
      <c r="A106" s="58" t="s">
        <v>179</v>
      </c>
      <c r="B106" s="57">
        <v>36.880001068115234</v>
      </c>
      <c r="C106" s="67">
        <v>36.549999999999997</v>
      </c>
      <c r="D106" s="67">
        <v>36.549999999999997</v>
      </c>
      <c r="E106" s="67">
        <v>36.549999999999997</v>
      </c>
      <c r="F106" s="67">
        <v>36.6</v>
      </c>
      <c r="G106" s="6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  <c r="CJ106" s="57"/>
      <c r="CK106" s="57"/>
      <c r="CL106" s="57"/>
      <c r="CM106" s="57"/>
      <c r="CN106" s="57"/>
      <c r="CO106" s="57"/>
      <c r="CP106" s="57"/>
      <c r="CQ106" s="57"/>
      <c r="CR106" s="57"/>
      <c r="CS106" s="57"/>
      <c r="CT106" s="57"/>
      <c r="CU106" s="57"/>
      <c r="CV106" s="57"/>
      <c r="CW106" s="57"/>
      <c r="CX106" s="57"/>
      <c r="CY106" s="57"/>
      <c r="CZ106" s="57"/>
      <c r="DA106" s="57"/>
      <c r="DB106" s="57"/>
      <c r="DC106" s="57"/>
      <c r="DD106" s="57"/>
      <c r="DE106" s="57"/>
      <c r="DF106" s="57"/>
      <c r="DG106" s="57"/>
      <c r="DH106" s="57"/>
      <c r="DI106" s="57"/>
      <c r="DJ106" s="57"/>
      <c r="DK106" s="57"/>
    </row>
    <row r="107" spans="1:115" ht="30" customHeight="1" x14ac:dyDescent="0.25">
      <c r="A107" s="58" t="s">
        <v>384</v>
      </c>
      <c r="B107" s="57">
        <v>7.4281768798828125</v>
      </c>
      <c r="C107" s="67">
        <v>7.4172060000000002</v>
      </c>
      <c r="D107" s="67">
        <v>6.9616480000000003</v>
      </c>
      <c r="E107" s="67">
        <v>7.1249037</v>
      </c>
      <c r="F107" s="67">
        <v>6.2641030000000004</v>
      </c>
      <c r="G107" s="6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  <c r="CS107" s="57"/>
      <c r="CT107" s="57"/>
      <c r="CU107" s="57"/>
      <c r="CV107" s="57"/>
      <c r="CW107" s="57"/>
      <c r="CX107" s="57"/>
      <c r="CY107" s="57"/>
      <c r="CZ107" s="57"/>
      <c r="DA107" s="57"/>
      <c r="DB107" s="57"/>
      <c r="DC107" s="57"/>
      <c r="DD107" s="57"/>
      <c r="DE107" s="57"/>
      <c r="DF107" s="57"/>
      <c r="DG107" s="57"/>
      <c r="DH107" s="57"/>
      <c r="DI107" s="57"/>
      <c r="DJ107" s="57"/>
      <c r="DK107" s="57"/>
    </row>
    <row r="108" spans="1:115" ht="30" customHeight="1" x14ac:dyDescent="0.25">
      <c r="A108" s="58" t="s">
        <v>180</v>
      </c>
      <c r="B108" s="57">
        <v>24.209999084472656</v>
      </c>
      <c r="C108" s="67">
        <v>24.44</v>
      </c>
      <c r="D108" s="67">
        <v>24.44</v>
      </c>
      <c r="E108" s="67">
        <v>24.44</v>
      </c>
      <c r="F108" s="67">
        <v>24.7</v>
      </c>
      <c r="G108" s="6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  <c r="CJ108" s="57"/>
      <c r="CK108" s="57"/>
      <c r="CL108" s="57"/>
      <c r="CM108" s="57"/>
      <c r="CN108" s="57"/>
      <c r="CO108" s="57"/>
      <c r="CP108" s="57"/>
      <c r="CQ108" s="57"/>
      <c r="CR108" s="57"/>
      <c r="CS108" s="57"/>
      <c r="CT108" s="57"/>
      <c r="CU108" s="57"/>
      <c r="CV108" s="57"/>
      <c r="CW108" s="57"/>
      <c r="CX108" s="57"/>
      <c r="CY108" s="57"/>
      <c r="CZ108" s="57"/>
      <c r="DA108" s="57"/>
      <c r="DB108" s="57"/>
      <c r="DC108" s="57"/>
      <c r="DD108" s="57"/>
      <c r="DE108" s="57"/>
      <c r="DF108" s="57"/>
      <c r="DG108" s="57"/>
      <c r="DH108" s="57"/>
      <c r="DI108" s="57"/>
      <c r="DJ108" s="57"/>
      <c r="DK108" s="57"/>
    </row>
    <row r="109" spans="1:115" ht="30" customHeight="1" x14ac:dyDescent="0.25">
      <c r="A109" s="58" t="s">
        <v>181</v>
      </c>
      <c r="B109" s="57">
        <v>10.489999771118164</v>
      </c>
      <c r="C109" s="67">
        <v>10.78</v>
      </c>
      <c r="D109" s="67">
        <v>10.78</v>
      </c>
      <c r="E109" s="67">
        <v>10.78</v>
      </c>
      <c r="F109" s="67">
        <v>10.91</v>
      </c>
      <c r="G109" s="6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  <c r="CJ109" s="57"/>
      <c r="CK109" s="57"/>
      <c r="CL109" s="57"/>
      <c r="CM109" s="57"/>
      <c r="CN109" s="57"/>
      <c r="CO109" s="57"/>
      <c r="CP109" s="57"/>
      <c r="CQ109" s="57"/>
      <c r="CR109" s="57"/>
      <c r="CS109" s="57"/>
      <c r="CT109" s="57"/>
      <c r="CU109" s="57"/>
      <c r="CV109" s="57"/>
      <c r="CW109" s="57"/>
      <c r="CX109" s="57"/>
      <c r="CY109" s="57"/>
      <c r="CZ109" s="57"/>
      <c r="DA109" s="57"/>
      <c r="DB109" s="57"/>
      <c r="DC109" s="57"/>
      <c r="DD109" s="57"/>
      <c r="DE109" s="57"/>
      <c r="DF109" s="57"/>
      <c r="DG109" s="57"/>
      <c r="DH109" s="57"/>
      <c r="DI109" s="57"/>
      <c r="DJ109" s="57"/>
      <c r="DK109" s="57"/>
    </row>
    <row r="110" spans="1:115" ht="30" customHeight="1" x14ac:dyDescent="0.25">
      <c r="A110" s="58" t="s">
        <v>385</v>
      </c>
      <c r="B110" s="57">
        <v>3305.337158203125</v>
      </c>
      <c r="C110" s="67">
        <v>3336.6637999999998</v>
      </c>
      <c r="D110" s="67">
        <v>3176.8980000000001</v>
      </c>
      <c r="E110" s="67">
        <v>3334.5554000000002</v>
      </c>
      <c r="F110" s="67">
        <v>3133.828</v>
      </c>
      <c r="G110" s="6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  <c r="CJ110" s="57"/>
      <c r="CK110" s="57"/>
      <c r="CL110" s="57"/>
      <c r="CM110" s="57"/>
      <c r="CN110" s="57"/>
      <c r="CO110" s="57"/>
      <c r="CP110" s="57"/>
      <c r="CQ110" s="57"/>
      <c r="CR110" s="57"/>
      <c r="CS110" s="57"/>
      <c r="CT110" s="57"/>
      <c r="CU110" s="57"/>
      <c r="CV110" s="57"/>
      <c r="CW110" s="57"/>
      <c r="CX110" s="57"/>
      <c r="CY110" s="57"/>
      <c r="CZ110" s="57"/>
      <c r="DA110" s="57"/>
      <c r="DB110" s="57"/>
      <c r="DC110" s="57"/>
      <c r="DD110" s="57"/>
      <c r="DE110" s="57"/>
      <c r="DF110" s="57"/>
      <c r="DG110" s="57"/>
      <c r="DH110" s="57"/>
      <c r="DI110" s="57"/>
      <c r="DJ110" s="57"/>
      <c r="DK110" s="57"/>
    </row>
    <row r="111" spans="1:115" ht="30" customHeight="1" x14ac:dyDescent="0.25">
      <c r="A111" s="58" t="s">
        <v>182</v>
      </c>
      <c r="B111" s="57">
        <v>22.079999923706055</v>
      </c>
      <c r="C111" s="67">
        <v>22.59</v>
      </c>
      <c r="D111" s="67">
        <v>22.59</v>
      </c>
      <c r="E111" s="67">
        <v>22.59</v>
      </c>
      <c r="F111" s="67">
        <v>22.8</v>
      </c>
      <c r="G111" s="6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  <c r="CJ111" s="57"/>
      <c r="CK111" s="57"/>
      <c r="CL111" s="57"/>
      <c r="CM111" s="57"/>
      <c r="CN111" s="57"/>
      <c r="CO111" s="57"/>
      <c r="CP111" s="57"/>
      <c r="CQ111" s="57"/>
      <c r="CR111" s="57"/>
      <c r="CS111" s="57"/>
      <c r="CT111" s="57"/>
      <c r="CU111" s="57"/>
      <c r="CV111" s="57"/>
      <c r="CW111" s="57"/>
      <c r="CX111" s="57"/>
      <c r="CY111" s="57"/>
      <c r="CZ111" s="57"/>
      <c r="DA111" s="57"/>
      <c r="DB111" s="57"/>
      <c r="DC111" s="57"/>
      <c r="DD111" s="57"/>
      <c r="DE111" s="57"/>
      <c r="DF111" s="57"/>
      <c r="DG111" s="57"/>
      <c r="DH111" s="57"/>
      <c r="DI111" s="57"/>
      <c r="DJ111" s="57"/>
      <c r="DK111" s="57"/>
    </row>
    <row r="112" spans="1:115" ht="30" customHeight="1" x14ac:dyDescent="0.25">
      <c r="A112" s="58" t="s">
        <v>183</v>
      </c>
      <c r="B112" s="57">
        <v>170.75</v>
      </c>
      <c r="C112" s="67">
        <v>171.42</v>
      </c>
      <c r="D112" s="67">
        <v>171.42</v>
      </c>
      <c r="E112" s="67">
        <v>171.42</v>
      </c>
      <c r="F112" s="67">
        <v>170.35</v>
      </c>
      <c r="G112" s="6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  <c r="CJ112" s="57"/>
      <c r="CK112" s="57"/>
      <c r="CL112" s="57"/>
      <c r="CM112" s="57"/>
      <c r="CN112" s="57"/>
      <c r="CO112" s="57"/>
      <c r="CP112" s="57"/>
      <c r="CQ112" s="57"/>
      <c r="CR112" s="57"/>
      <c r="CS112" s="57"/>
      <c r="CT112" s="57"/>
      <c r="CU112" s="57"/>
      <c r="CV112" s="57"/>
      <c r="CW112" s="57"/>
      <c r="CX112" s="57"/>
      <c r="CY112" s="57"/>
      <c r="CZ112" s="57"/>
      <c r="DA112" s="57"/>
      <c r="DB112" s="57"/>
      <c r="DC112" s="57"/>
      <c r="DD112" s="57"/>
      <c r="DE112" s="57"/>
      <c r="DF112" s="57"/>
      <c r="DG112" s="57"/>
      <c r="DH112" s="57"/>
      <c r="DI112" s="57"/>
      <c r="DJ112" s="57"/>
      <c r="DK112" s="57"/>
    </row>
    <row r="113" spans="1:115" ht="30" customHeight="1" x14ac:dyDescent="0.25">
      <c r="A113" s="58" t="s">
        <v>184</v>
      </c>
      <c r="B113" s="57">
        <v>5.369999885559082</v>
      </c>
      <c r="C113" s="67">
        <v>5.29</v>
      </c>
      <c r="D113" s="67">
        <v>5.29</v>
      </c>
      <c r="E113" s="67">
        <v>5.29</v>
      </c>
      <c r="F113" s="67">
        <v>5.07</v>
      </c>
      <c r="G113" s="6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  <c r="CJ113" s="57"/>
      <c r="CK113" s="57"/>
      <c r="CL113" s="57"/>
      <c r="CM113" s="57"/>
      <c r="CN113" s="57"/>
      <c r="CO113" s="57"/>
      <c r="CP113" s="57"/>
      <c r="CQ113" s="57"/>
      <c r="CR113" s="57"/>
      <c r="CS113" s="57"/>
      <c r="CT113" s="57"/>
      <c r="CU113" s="57"/>
      <c r="CV113" s="57"/>
      <c r="CW113" s="57"/>
      <c r="CX113" s="57"/>
      <c r="CY113" s="57"/>
      <c r="CZ113" s="57"/>
      <c r="DA113" s="57"/>
      <c r="DB113" s="57"/>
      <c r="DC113" s="57"/>
      <c r="DD113" s="57"/>
      <c r="DE113" s="57"/>
      <c r="DF113" s="57"/>
      <c r="DG113" s="57"/>
      <c r="DH113" s="57"/>
      <c r="DI113" s="57"/>
      <c r="DJ113" s="57"/>
      <c r="DK113" s="57"/>
    </row>
    <row r="114" spans="1:115" ht="30" customHeight="1" x14ac:dyDescent="0.25">
      <c r="A114" s="58" t="s">
        <v>185</v>
      </c>
      <c r="B114" s="57">
        <v>7.5</v>
      </c>
      <c r="C114" s="67">
        <v>7.44</v>
      </c>
      <c r="D114" s="67">
        <v>7.44</v>
      </c>
      <c r="E114" s="67">
        <v>7.44</v>
      </c>
      <c r="F114" s="67">
        <v>7.12</v>
      </c>
      <c r="G114" s="6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57"/>
      <c r="CQ114" s="57"/>
      <c r="CR114" s="57"/>
      <c r="CS114" s="57"/>
      <c r="CT114" s="57"/>
      <c r="CU114" s="57"/>
      <c r="CV114" s="57"/>
      <c r="CW114" s="57"/>
      <c r="CX114" s="57"/>
      <c r="CY114" s="57"/>
      <c r="CZ114" s="57"/>
      <c r="DA114" s="57"/>
      <c r="DB114" s="57"/>
      <c r="DC114" s="57"/>
      <c r="DD114" s="57"/>
      <c r="DE114" s="57"/>
      <c r="DF114" s="57"/>
      <c r="DG114" s="57"/>
      <c r="DH114" s="57"/>
      <c r="DI114" s="57"/>
      <c r="DJ114" s="57"/>
      <c r="DK114" s="57"/>
    </row>
    <row r="115" spans="1:115" ht="30" customHeight="1" x14ac:dyDescent="0.25">
      <c r="A115" s="58" t="s">
        <v>186</v>
      </c>
      <c r="B115" s="57">
        <v>15.989999771118164</v>
      </c>
      <c r="C115" s="67">
        <v>15.97</v>
      </c>
      <c r="D115" s="67">
        <v>15.97</v>
      </c>
      <c r="E115" s="67">
        <v>15.97</v>
      </c>
      <c r="F115" s="67">
        <v>15.88</v>
      </c>
      <c r="G115" s="6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7"/>
      <c r="CL115" s="57"/>
      <c r="CM115" s="57"/>
      <c r="CN115" s="57"/>
      <c r="CO115" s="57"/>
      <c r="CP115" s="57"/>
      <c r="CQ115" s="57"/>
      <c r="CR115" s="57"/>
      <c r="CS115" s="57"/>
      <c r="CT115" s="57"/>
      <c r="CU115" s="57"/>
      <c r="CV115" s="57"/>
      <c r="CW115" s="57"/>
      <c r="CX115" s="57"/>
      <c r="CY115" s="57"/>
      <c r="CZ115" s="57"/>
      <c r="DA115" s="57"/>
      <c r="DB115" s="57"/>
      <c r="DC115" s="57"/>
      <c r="DD115" s="57"/>
      <c r="DE115" s="57"/>
      <c r="DF115" s="57"/>
      <c r="DG115" s="57"/>
      <c r="DH115" s="57"/>
      <c r="DI115" s="57"/>
      <c r="DJ115" s="57"/>
      <c r="DK115" s="57"/>
    </row>
    <row r="116" spans="1:115" ht="30" customHeight="1" x14ac:dyDescent="0.25">
      <c r="A116" s="58" t="s">
        <v>187</v>
      </c>
      <c r="B116" s="57">
        <v>23.889999389648438</v>
      </c>
      <c r="C116" s="67">
        <v>23.74</v>
      </c>
      <c r="D116" s="67">
        <v>23.74</v>
      </c>
      <c r="E116" s="67">
        <v>23.74</v>
      </c>
      <c r="F116" s="67">
        <v>23.74</v>
      </c>
      <c r="G116" s="6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  <c r="CJ116" s="57"/>
      <c r="CK116" s="57"/>
      <c r="CL116" s="57"/>
      <c r="CM116" s="57"/>
      <c r="CN116" s="57"/>
      <c r="CO116" s="57"/>
      <c r="CP116" s="57"/>
      <c r="CQ116" s="57"/>
      <c r="CR116" s="57"/>
      <c r="CS116" s="57"/>
      <c r="CT116" s="57"/>
      <c r="CU116" s="57"/>
      <c r="CV116" s="57"/>
      <c r="CW116" s="57"/>
      <c r="CX116" s="57"/>
      <c r="CY116" s="57"/>
      <c r="CZ116" s="57"/>
      <c r="DA116" s="57"/>
      <c r="DB116" s="57"/>
      <c r="DC116" s="57"/>
      <c r="DD116" s="57"/>
      <c r="DE116" s="57"/>
      <c r="DF116" s="57"/>
      <c r="DG116" s="57"/>
      <c r="DH116" s="57"/>
      <c r="DI116" s="57"/>
      <c r="DJ116" s="57"/>
      <c r="DK116" s="57"/>
    </row>
    <row r="117" spans="1:115" ht="30" customHeight="1" x14ac:dyDescent="0.25">
      <c r="A117" s="58" t="s">
        <v>188</v>
      </c>
      <c r="B117" s="57">
        <v>62.369998931884766</v>
      </c>
      <c r="C117" s="67">
        <v>62.07</v>
      </c>
      <c r="D117" s="67">
        <v>62.07</v>
      </c>
      <c r="E117" s="67">
        <v>62.07</v>
      </c>
      <c r="F117" s="67">
        <v>61.24</v>
      </c>
      <c r="G117" s="6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  <c r="CJ117" s="57"/>
      <c r="CK117" s="57"/>
      <c r="CL117" s="57"/>
      <c r="CM117" s="57"/>
      <c r="CN117" s="57"/>
      <c r="CO117" s="57"/>
      <c r="CP117" s="57"/>
      <c r="CQ117" s="57"/>
      <c r="CR117" s="57"/>
      <c r="CS117" s="57"/>
      <c r="CT117" s="57"/>
      <c r="CU117" s="57"/>
      <c r="CV117" s="57"/>
      <c r="CW117" s="57"/>
      <c r="CX117" s="57"/>
      <c r="CY117" s="57"/>
      <c r="CZ117" s="57"/>
      <c r="DA117" s="57"/>
      <c r="DB117" s="57"/>
      <c r="DC117" s="57"/>
      <c r="DD117" s="57"/>
      <c r="DE117" s="57"/>
      <c r="DF117" s="57"/>
      <c r="DG117" s="57"/>
      <c r="DH117" s="57"/>
      <c r="DI117" s="57"/>
      <c r="DJ117" s="57"/>
      <c r="DK117" s="57"/>
    </row>
    <row r="118" spans="1:115" ht="30" customHeight="1" x14ac:dyDescent="0.25">
      <c r="A118" s="58" t="s">
        <v>189</v>
      </c>
      <c r="B118" s="57">
        <v>68.069999694824219</v>
      </c>
      <c r="C118" s="67">
        <v>67.959999999999994</v>
      </c>
      <c r="D118" s="67">
        <v>67.959999999999994</v>
      </c>
      <c r="E118" s="67">
        <v>67.959999999999994</v>
      </c>
      <c r="F118" s="67">
        <v>67.989999999999995</v>
      </c>
      <c r="G118" s="6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  <c r="CJ118" s="57"/>
      <c r="CK118" s="57"/>
      <c r="CL118" s="57"/>
      <c r="CM118" s="57"/>
      <c r="CN118" s="57"/>
      <c r="CO118" s="57"/>
      <c r="CP118" s="57"/>
      <c r="CQ118" s="57"/>
      <c r="CR118" s="57"/>
      <c r="CS118" s="57"/>
      <c r="CT118" s="57"/>
      <c r="CU118" s="57"/>
      <c r="CV118" s="57"/>
      <c r="CW118" s="57"/>
      <c r="CX118" s="57"/>
      <c r="CY118" s="57"/>
      <c r="CZ118" s="57"/>
      <c r="DA118" s="57"/>
      <c r="DB118" s="57"/>
      <c r="DC118" s="57"/>
      <c r="DD118" s="57"/>
      <c r="DE118" s="57"/>
      <c r="DF118" s="57"/>
      <c r="DG118" s="57"/>
      <c r="DH118" s="57"/>
      <c r="DI118" s="57"/>
      <c r="DJ118" s="57"/>
      <c r="DK118" s="57"/>
    </row>
    <row r="119" spans="1:115" ht="30" customHeight="1" x14ac:dyDescent="0.25">
      <c r="A119" s="58" t="s">
        <v>190</v>
      </c>
      <c r="B119" s="57">
        <v>15.210000038146973</v>
      </c>
      <c r="C119" s="67">
        <v>14.15</v>
      </c>
      <c r="D119" s="67">
        <v>14.15</v>
      </c>
      <c r="E119" s="67">
        <v>14.15</v>
      </c>
      <c r="F119" s="67">
        <v>15.36</v>
      </c>
      <c r="G119" s="6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  <c r="CJ119" s="57"/>
      <c r="CK119" s="57"/>
      <c r="CL119" s="57"/>
      <c r="CM119" s="57"/>
      <c r="CN119" s="57"/>
      <c r="CO119" s="57"/>
      <c r="CP119" s="57"/>
      <c r="CQ119" s="57"/>
      <c r="CR119" s="57"/>
      <c r="CS119" s="57"/>
      <c r="CT119" s="57"/>
      <c r="CU119" s="57"/>
      <c r="CV119" s="57"/>
      <c r="CW119" s="57"/>
      <c r="CX119" s="57"/>
      <c r="CY119" s="57"/>
      <c r="CZ119" s="57"/>
      <c r="DA119" s="57"/>
      <c r="DB119" s="57"/>
      <c r="DC119" s="57"/>
      <c r="DD119" s="57"/>
      <c r="DE119" s="57"/>
      <c r="DF119" s="57"/>
      <c r="DG119" s="57"/>
      <c r="DH119" s="57"/>
      <c r="DI119" s="57"/>
      <c r="DJ119" s="57"/>
      <c r="DK119" s="57"/>
    </row>
    <row r="120" spans="1:115" ht="30" customHeight="1" x14ac:dyDescent="0.25">
      <c r="A120" s="58" t="s">
        <v>191</v>
      </c>
      <c r="B120" s="57">
        <v>12.890000343322754</v>
      </c>
      <c r="C120" s="67">
        <v>12.81</v>
      </c>
      <c r="D120" s="67">
        <v>12.81</v>
      </c>
      <c r="E120" s="67">
        <v>12.81</v>
      </c>
      <c r="F120" s="67">
        <v>13.09</v>
      </c>
      <c r="G120" s="6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  <c r="CJ120" s="57"/>
      <c r="CK120" s="57"/>
      <c r="CL120" s="57"/>
      <c r="CM120" s="57"/>
      <c r="CN120" s="57"/>
      <c r="CO120" s="57"/>
      <c r="CP120" s="57"/>
      <c r="CQ120" s="57"/>
      <c r="CR120" s="57"/>
      <c r="CS120" s="57"/>
      <c r="CT120" s="57"/>
      <c r="CU120" s="57"/>
      <c r="CV120" s="57"/>
      <c r="CW120" s="57"/>
      <c r="CX120" s="57"/>
      <c r="CY120" s="57"/>
      <c r="CZ120" s="57"/>
      <c r="DA120" s="57"/>
      <c r="DB120" s="57"/>
      <c r="DC120" s="57"/>
      <c r="DD120" s="57"/>
      <c r="DE120" s="57"/>
      <c r="DF120" s="57"/>
      <c r="DG120" s="57"/>
      <c r="DH120" s="57"/>
      <c r="DI120" s="57"/>
      <c r="DJ120" s="57"/>
      <c r="DK120" s="57"/>
    </row>
    <row r="121" spans="1:115" ht="30" customHeight="1" x14ac:dyDescent="0.25">
      <c r="A121" s="58" t="s">
        <v>192</v>
      </c>
      <c r="B121" s="57">
        <v>27.670000076293945</v>
      </c>
      <c r="C121" s="67">
        <v>27.62</v>
      </c>
      <c r="D121" s="67">
        <v>27.62</v>
      </c>
      <c r="E121" s="67">
        <v>27.62</v>
      </c>
      <c r="F121" s="67">
        <v>26.95</v>
      </c>
      <c r="G121" s="6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  <c r="CJ121" s="57"/>
      <c r="CK121" s="57"/>
      <c r="CL121" s="57"/>
      <c r="CM121" s="57"/>
      <c r="CN121" s="57"/>
      <c r="CO121" s="57"/>
      <c r="CP121" s="57"/>
      <c r="CQ121" s="57"/>
      <c r="CR121" s="57"/>
      <c r="CS121" s="57"/>
      <c r="CT121" s="57"/>
      <c r="CU121" s="57"/>
      <c r="CV121" s="57"/>
      <c r="CW121" s="57"/>
      <c r="CX121" s="57"/>
      <c r="CY121" s="57"/>
      <c r="CZ121" s="57"/>
      <c r="DA121" s="57"/>
      <c r="DB121" s="57"/>
      <c r="DC121" s="57"/>
      <c r="DD121" s="57"/>
      <c r="DE121" s="57"/>
      <c r="DF121" s="57"/>
      <c r="DG121" s="57"/>
      <c r="DH121" s="57"/>
      <c r="DI121" s="57"/>
      <c r="DJ121" s="57"/>
      <c r="DK121" s="57"/>
    </row>
    <row r="122" spans="1:115" ht="30" customHeight="1" x14ac:dyDescent="0.25">
      <c r="A122" s="58" t="s">
        <v>58</v>
      </c>
      <c r="B122" s="57">
        <v>38.169998168945313</v>
      </c>
      <c r="C122" s="67">
        <v>38.68</v>
      </c>
      <c r="D122" s="67">
        <v>38.68</v>
      </c>
      <c r="E122" s="67">
        <v>38.68</v>
      </c>
      <c r="F122" s="67">
        <v>38.65</v>
      </c>
      <c r="G122" s="6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  <c r="CJ122" s="57"/>
      <c r="CK122" s="57"/>
      <c r="CL122" s="57"/>
      <c r="CM122" s="57"/>
      <c r="CN122" s="57"/>
      <c r="CO122" s="57"/>
      <c r="CP122" s="57"/>
      <c r="CQ122" s="57"/>
      <c r="CR122" s="57"/>
      <c r="CS122" s="57"/>
      <c r="CT122" s="57"/>
      <c r="CU122" s="57"/>
      <c r="CV122" s="57"/>
      <c r="CW122" s="57"/>
      <c r="CX122" s="57"/>
      <c r="CY122" s="57"/>
      <c r="CZ122" s="57"/>
      <c r="DA122" s="57"/>
      <c r="DB122" s="57"/>
      <c r="DC122" s="57"/>
      <c r="DD122" s="57"/>
      <c r="DE122" s="57"/>
      <c r="DF122" s="57"/>
      <c r="DG122" s="57"/>
      <c r="DH122" s="57"/>
      <c r="DI122" s="57"/>
      <c r="DJ122" s="57"/>
      <c r="DK122" s="57"/>
    </row>
    <row r="123" spans="1:115" ht="30" customHeight="1" x14ac:dyDescent="0.25">
      <c r="A123" s="58" t="s">
        <v>193</v>
      </c>
      <c r="B123" s="57">
        <v>28.850000381469727</v>
      </c>
      <c r="C123" s="67">
        <v>28.21</v>
      </c>
      <c r="D123" s="67">
        <v>28.21</v>
      </c>
      <c r="E123" s="67">
        <v>28.21</v>
      </c>
      <c r="F123" s="67">
        <v>28.497499999999999</v>
      </c>
      <c r="G123" s="6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  <c r="CJ123" s="57"/>
      <c r="CK123" s="57"/>
      <c r="CL123" s="57"/>
      <c r="CM123" s="57"/>
      <c r="CN123" s="57"/>
      <c r="CO123" s="57"/>
      <c r="CP123" s="57"/>
      <c r="CQ123" s="57"/>
      <c r="CR123" s="57"/>
      <c r="CS123" s="57"/>
      <c r="CT123" s="57"/>
      <c r="CU123" s="57"/>
      <c r="CV123" s="57"/>
      <c r="CW123" s="57"/>
      <c r="CX123" s="57"/>
      <c r="CY123" s="57"/>
      <c r="CZ123" s="57"/>
      <c r="DA123" s="57"/>
      <c r="DB123" s="57"/>
      <c r="DC123" s="57"/>
      <c r="DD123" s="57"/>
      <c r="DE123" s="57"/>
      <c r="DF123" s="57"/>
      <c r="DG123" s="57"/>
      <c r="DH123" s="57"/>
      <c r="DI123" s="57"/>
      <c r="DJ123" s="57"/>
      <c r="DK123" s="57"/>
    </row>
    <row r="124" spans="1:115" ht="30" customHeight="1" x14ac:dyDescent="0.25">
      <c r="A124" s="58" t="s">
        <v>194</v>
      </c>
      <c r="B124" s="57">
        <v>32.139999389648438</v>
      </c>
      <c r="C124" s="67">
        <v>31.44</v>
      </c>
      <c r="D124" s="67">
        <v>31.44</v>
      </c>
      <c r="E124" s="67">
        <v>31.44</v>
      </c>
      <c r="F124" s="67">
        <v>34.799999999999997</v>
      </c>
      <c r="G124" s="6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  <c r="CJ124" s="57"/>
      <c r="CK124" s="57"/>
      <c r="CL124" s="57"/>
      <c r="CM124" s="57"/>
      <c r="CN124" s="57"/>
      <c r="CO124" s="57"/>
      <c r="CP124" s="57"/>
      <c r="CQ124" s="57"/>
      <c r="CR124" s="57"/>
      <c r="CS124" s="57"/>
      <c r="CT124" s="57"/>
      <c r="CU124" s="57"/>
      <c r="CV124" s="57"/>
      <c r="CW124" s="57"/>
      <c r="CX124" s="57"/>
      <c r="CY124" s="57"/>
      <c r="CZ124" s="57"/>
      <c r="DA124" s="57"/>
      <c r="DB124" s="57"/>
      <c r="DC124" s="57"/>
      <c r="DD124" s="57"/>
      <c r="DE124" s="57"/>
      <c r="DF124" s="57"/>
      <c r="DG124" s="57"/>
      <c r="DH124" s="57"/>
      <c r="DI124" s="57"/>
      <c r="DJ124" s="57"/>
      <c r="DK124" s="57"/>
    </row>
    <row r="125" spans="1:115" ht="30" customHeight="1" x14ac:dyDescent="0.25">
      <c r="A125" s="58" t="s">
        <v>195</v>
      </c>
      <c r="B125" s="57">
        <v>66.480003356933594</v>
      </c>
      <c r="C125" s="67">
        <v>67.430000000000007</v>
      </c>
      <c r="D125" s="67">
        <v>67.430000000000007</v>
      </c>
      <c r="E125" s="67">
        <v>67.430000000000007</v>
      </c>
      <c r="F125" s="67">
        <v>67.42</v>
      </c>
      <c r="G125" s="6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  <c r="CJ125" s="57"/>
      <c r="CK125" s="57"/>
      <c r="CL125" s="57"/>
      <c r="CM125" s="57"/>
      <c r="CN125" s="57"/>
      <c r="CO125" s="57"/>
      <c r="CP125" s="57"/>
      <c r="CQ125" s="57"/>
      <c r="CR125" s="57"/>
      <c r="CS125" s="57"/>
      <c r="CT125" s="57"/>
      <c r="CU125" s="57"/>
      <c r="CV125" s="57"/>
      <c r="CW125" s="57"/>
      <c r="CX125" s="57"/>
      <c r="CY125" s="57"/>
      <c r="CZ125" s="57"/>
      <c r="DA125" s="57"/>
      <c r="DB125" s="57"/>
      <c r="DC125" s="57"/>
      <c r="DD125" s="57"/>
      <c r="DE125" s="57"/>
      <c r="DF125" s="57"/>
      <c r="DG125" s="57"/>
      <c r="DH125" s="57"/>
      <c r="DI125" s="57"/>
      <c r="DJ125" s="57"/>
      <c r="DK125" s="57"/>
    </row>
    <row r="126" spans="1:115" ht="30" customHeight="1" x14ac:dyDescent="0.25">
      <c r="A126" s="58" t="s">
        <v>196</v>
      </c>
      <c r="B126" s="57">
        <v>63.799999237060547</v>
      </c>
      <c r="C126" s="67">
        <v>64.03</v>
      </c>
      <c r="D126" s="67">
        <v>64.03</v>
      </c>
      <c r="E126" s="67">
        <v>64.03</v>
      </c>
      <c r="F126" s="67">
        <v>63.72</v>
      </c>
      <c r="G126" s="6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  <c r="CJ126" s="57"/>
      <c r="CK126" s="57"/>
      <c r="CL126" s="57"/>
      <c r="CM126" s="57"/>
      <c r="CN126" s="57"/>
      <c r="CO126" s="57"/>
      <c r="CP126" s="57"/>
      <c r="CQ126" s="57"/>
      <c r="CR126" s="57"/>
      <c r="CS126" s="57"/>
      <c r="CT126" s="57"/>
      <c r="CU126" s="57"/>
      <c r="CV126" s="57"/>
      <c r="CW126" s="57"/>
      <c r="CX126" s="57"/>
      <c r="CY126" s="57"/>
      <c r="CZ126" s="57"/>
      <c r="DA126" s="57"/>
      <c r="DB126" s="57"/>
      <c r="DC126" s="57"/>
      <c r="DD126" s="57"/>
      <c r="DE126" s="57"/>
      <c r="DF126" s="57"/>
      <c r="DG126" s="57"/>
      <c r="DH126" s="57"/>
      <c r="DI126" s="57"/>
      <c r="DJ126" s="57"/>
      <c r="DK126" s="57"/>
    </row>
    <row r="127" spans="1:115" ht="30" customHeight="1" x14ac:dyDescent="0.25">
      <c r="A127" s="58" t="s">
        <v>74</v>
      </c>
      <c r="B127" s="57">
        <v>175.27000427246094</v>
      </c>
      <c r="C127" s="67">
        <v>177.16</v>
      </c>
      <c r="D127" s="67">
        <v>177.16</v>
      </c>
      <c r="E127" s="67">
        <v>177.16</v>
      </c>
      <c r="F127" s="67">
        <v>177.87</v>
      </c>
      <c r="G127" s="6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  <c r="CJ127" s="57"/>
      <c r="CK127" s="57"/>
      <c r="CL127" s="57"/>
      <c r="CM127" s="57"/>
      <c r="CN127" s="57"/>
      <c r="CO127" s="57"/>
      <c r="CP127" s="57"/>
      <c r="CQ127" s="57"/>
      <c r="CR127" s="57"/>
      <c r="CS127" s="57"/>
      <c r="CT127" s="57"/>
      <c r="CU127" s="57"/>
      <c r="CV127" s="57"/>
      <c r="CW127" s="57"/>
      <c r="CX127" s="57"/>
      <c r="CY127" s="57"/>
      <c r="CZ127" s="57"/>
      <c r="DA127" s="57"/>
      <c r="DB127" s="57"/>
      <c r="DC127" s="57"/>
      <c r="DD127" s="57"/>
      <c r="DE127" s="57"/>
      <c r="DF127" s="57"/>
      <c r="DG127" s="57"/>
      <c r="DH127" s="57"/>
      <c r="DI127" s="57"/>
      <c r="DJ127" s="57"/>
      <c r="DK127" s="57"/>
    </row>
    <row r="128" spans="1:115" ht="30" customHeight="1" x14ac:dyDescent="0.25">
      <c r="A128" s="58" t="s">
        <v>197</v>
      </c>
      <c r="B128" s="57">
        <v>63.459999084472656</v>
      </c>
      <c r="C128" s="67">
        <v>63.37</v>
      </c>
      <c r="D128" s="67">
        <v>63.37</v>
      </c>
      <c r="E128" s="67">
        <v>63.37</v>
      </c>
      <c r="F128" s="67">
        <v>63.23</v>
      </c>
      <c r="G128" s="6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  <c r="CJ128" s="57"/>
      <c r="CK128" s="57"/>
      <c r="CL128" s="57"/>
      <c r="CM128" s="57"/>
      <c r="CN128" s="57"/>
      <c r="CO128" s="57"/>
      <c r="CP128" s="57"/>
      <c r="CQ128" s="57"/>
      <c r="CR128" s="57"/>
      <c r="CS128" s="57"/>
      <c r="CT128" s="57"/>
      <c r="CU128" s="57"/>
      <c r="CV128" s="57"/>
      <c r="CW128" s="57"/>
      <c r="CX128" s="57"/>
      <c r="CY128" s="57"/>
      <c r="CZ128" s="57"/>
      <c r="DA128" s="57"/>
      <c r="DB128" s="57"/>
      <c r="DC128" s="57"/>
      <c r="DD128" s="57"/>
      <c r="DE128" s="57"/>
      <c r="DF128" s="57"/>
      <c r="DG128" s="57"/>
      <c r="DH128" s="57"/>
      <c r="DI128" s="57"/>
      <c r="DJ128" s="57"/>
      <c r="DK128" s="57"/>
    </row>
    <row r="129" spans="1:115" ht="30" customHeight="1" x14ac:dyDescent="0.25">
      <c r="A129" s="58" t="s">
        <v>48</v>
      </c>
      <c r="B129" s="57">
        <v>258.17999267578125</v>
      </c>
      <c r="C129" s="67">
        <v>248.36</v>
      </c>
      <c r="D129" s="67">
        <v>248.36</v>
      </c>
      <c r="E129" s="67">
        <v>248.36</v>
      </c>
      <c r="F129" s="67">
        <v>280.01</v>
      </c>
      <c r="G129" s="6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  <c r="CJ129" s="57"/>
      <c r="CK129" s="57"/>
      <c r="CL129" s="57"/>
      <c r="CM129" s="57"/>
      <c r="CN129" s="57"/>
      <c r="CO129" s="57"/>
      <c r="CP129" s="57"/>
      <c r="CQ129" s="57"/>
      <c r="CR129" s="57"/>
      <c r="CS129" s="57"/>
      <c r="CT129" s="57"/>
      <c r="CU129" s="57"/>
      <c r="CV129" s="57"/>
      <c r="CW129" s="57"/>
      <c r="CX129" s="57"/>
      <c r="CY129" s="57"/>
      <c r="CZ129" s="57"/>
      <c r="DA129" s="57"/>
      <c r="DB129" s="57"/>
      <c r="DC129" s="57"/>
      <c r="DD129" s="57"/>
      <c r="DE129" s="57"/>
      <c r="DF129" s="57"/>
      <c r="DG129" s="57"/>
      <c r="DH129" s="57"/>
      <c r="DI129" s="57"/>
      <c r="DJ129" s="57"/>
      <c r="DK129" s="57"/>
    </row>
    <row r="130" spans="1:115" ht="30" customHeight="1" x14ac:dyDescent="0.25">
      <c r="A130" s="58" t="s">
        <v>198</v>
      </c>
      <c r="B130" s="57">
        <v>15.539999961853027</v>
      </c>
      <c r="C130" s="67">
        <v>15.91</v>
      </c>
      <c r="D130" s="67">
        <v>15.91</v>
      </c>
      <c r="E130" s="67">
        <v>15.91</v>
      </c>
      <c r="F130" s="67">
        <v>15.48</v>
      </c>
      <c r="G130" s="6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  <c r="CJ130" s="57"/>
      <c r="CK130" s="57"/>
      <c r="CL130" s="57"/>
      <c r="CM130" s="57"/>
      <c r="CN130" s="57"/>
      <c r="CO130" s="57"/>
      <c r="CP130" s="57"/>
      <c r="CQ130" s="57"/>
      <c r="CR130" s="57"/>
      <c r="CS130" s="57"/>
      <c r="CT130" s="57"/>
      <c r="CU130" s="57"/>
      <c r="CV130" s="57"/>
      <c r="CW130" s="57"/>
      <c r="CX130" s="57"/>
      <c r="CY130" s="57"/>
      <c r="CZ130" s="57"/>
      <c r="DA130" s="57"/>
      <c r="DB130" s="57"/>
      <c r="DC130" s="57"/>
      <c r="DD130" s="57"/>
      <c r="DE130" s="57"/>
      <c r="DF130" s="57"/>
      <c r="DG130" s="57"/>
      <c r="DH130" s="57"/>
      <c r="DI130" s="57"/>
      <c r="DJ130" s="57"/>
      <c r="DK130" s="57"/>
    </row>
    <row r="131" spans="1:115" ht="30" customHeight="1" x14ac:dyDescent="0.25">
      <c r="A131" s="58" t="s">
        <v>199</v>
      </c>
      <c r="B131" s="57">
        <v>11.130000114440918</v>
      </c>
      <c r="C131" s="67">
        <v>11.04</v>
      </c>
      <c r="D131" s="67">
        <v>11.04</v>
      </c>
      <c r="E131" s="67">
        <v>11.04</v>
      </c>
      <c r="F131" s="67">
        <v>11.17</v>
      </c>
      <c r="G131" s="6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  <c r="CJ131" s="57"/>
      <c r="CK131" s="57"/>
      <c r="CL131" s="57"/>
      <c r="CM131" s="57"/>
      <c r="CN131" s="57"/>
      <c r="CO131" s="57"/>
      <c r="CP131" s="57"/>
      <c r="CQ131" s="57"/>
      <c r="CR131" s="57"/>
      <c r="CS131" s="57"/>
      <c r="CT131" s="57"/>
      <c r="CU131" s="57"/>
      <c r="CV131" s="57"/>
      <c r="CW131" s="57"/>
      <c r="CX131" s="57"/>
      <c r="CY131" s="57"/>
      <c r="CZ131" s="57"/>
      <c r="DA131" s="57"/>
      <c r="DB131" s="57"/>
      <c r="DC131" s="57"/>
      <c r="DD131" s="57"/>
      <c r="DE131" s="57"/>
      <c r="DF131" s="57"/>
      <c r="DG131" s="57"/>
      <c r="DH131" s="57"/>
      <c r="DI131" s="57"/>
      <c r="DJ131" s="57"/>
      <c r="DK131" s="57"/>
    </row>
    <row r="132" spans="1:115" ht="30" customHeight="1" x14ac:dyDescent="0.25">
      <c r="A132" s="58" t="s">
        <v>200</v>
      </c>
      <c r="B132" s="57">
        <v>16.760000228881836</v>
      </c>
      <c r="C132" s="67">
        <v>16.88</v>
      </c>
      <c r="D132" s="67">
        <v>16.88</v>
      </c>
      <c r="E132" s="67">
        <v>16.88</v>
      </c>
      <c r="F132" s="67">
        <v>17.12</v>
      </c>
      <c r="G132" s="6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  <c r="CJ132" s="57"/>
      <c r="CK132" s="57"/>
      <c r="CL132" s="57"/>
      <c r="CM132" s="57"/>
      <c r="CN132" s="57"/>
      <c r="CO132" s="57"/>
      <c r="CP132" s="57"/>
      <c r="CQ132" s="57"/>
      <c r="CR132" s="57"/>
      <c r="CS132" s="57"/>
      <c r="CT132" s="57"/>
      <c r="CU132" s="57"/>
      <c r="CV132" s="57"/>
      <c r="CW132" s="57"/>
      <c r="CX132" s="57"/>
      <c r="CY132" s="57"/>
      <c r="CZ132" s="57"/>
      <c r="DA132" s="57"/>
      <c r="DB132" s="57"/>
      <c r="DC132" s="57"/>
      <c r="DD132" s="57"/>
      <c r="DE132" s="57"/>
      <c r="DF132" s="57"/>
      <c r="DG132" s="57"/>
      <c r="DH132" s="57"/>
      <c r="DI132" s="57"/>
      <c r="DJ132" s="57"/>
      <c r="DK132" s="57"/>
    </row>
    <row r="133" spans="1:115" ht="30" customHeight="1" x14ac:dyDescent="0.25">
      <c r="A133" s="58" t="s">
        <v>201</v>
      </c>
      <c r="B133" s="57">
        <v>58.840000152587891</v>
      </c>
      <c r="C133" s="67">
        <v>60.25</v>
      </c>
      <c r="D133" s="67">
        <v>60.25</v>
      </c>
      <c r="E133" s="67">
        <v>60.25</v>
      </c>
      <c r="F133" s="67">
        <v>60.24</v>
      </c>
      <c r="G133" s="6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  <c r="CJ133" s="57"/>
      <c r="CK133" s="57"/>
      <c r="CL133" s="57"/>
      <c r="CM133" s="57"/>
      <c r="CN133" s="57"/>
      <c r="CO133" s="57"/>
      <c r="CP133" s="57"/>
      <c r="CQ133" s="57"/>
      <c r="CR133" s="57"/>
      <c r="CS133" s="57"/>
      <c r="CT133" s="57"/>
      <c r="CU133" s="57"/>
      <c r="CV133" s="57"/>
      <c r="CW133" s="57"/>
      <c r="CX133" s="57"/>
      <c r="CY133" s="57"/>
      <c r="CZ133" s="57"/>
      <c r="DA133" s="57"/>
      <c r="DB133" s="57"/>
      <c r="DC133" s="57"/>
      <c r="DD133" s="57"/>
      <c r="DE133" s="57"/>
      <c r="DF133" s="57"/>
      <c r="DG133" s="57"/>
      <c r="DH133" s="57"/>
      <c r="DI133" s="57"/>
      <c r="DJ133" s="57"/>
      <c r="DK133" s="57"/>
    </row>
    <row r="134" spans="1:115" ht="30" customHeight="1" x14ac:dyDescent="0.25">
      <c r="A134" s="58" t="s">
        <v>202</v>
      </c>
      <c r="B134" s="57">
        <v>38.709999084472656</v>
      </c>
      <c r="C134" s="67">
        <v>38.9</v>
      </c>
      <c r="D134" s="67">
        <v>38.9</v>
      </c>
      <c r="E134" s="67">
        <v>38.9</v>
      </c>
      <c r="F134" s="67">
        <v>38.75</v>
      </c>
      <c r="G134" s="6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  <c r="CJ134" s="57"/>
      <c r="CK134" s="57"/>
      <c r="CL134" s="57"/>
      <c r="CM134" s="57"/>
      <c r="CN134" s="57"/>
      <c r="CO134" s="57"/>
      <c r="CP134" s="57"/>
      <c r="CQ134" s="57"/>
      <c r="CR134" s="57"/>
      <c r="CS134" s="57"/>
      <c r="CT134" s="57"/>
      <c r="CU134" s="57"/>
      <c r="CV134" s="57"/>
      <c r="CW134" s="57"/>
      <c r="CX134" s="57"/>
      <c r="CY134" s="57"/>
      <c r="CZ134" s="57"/>
      <c r="DA134" s="57"/>
      <c r="DB134" s="57"/>
      <c r="DC134" s="57"/>
      <c r="DD134" s="57"/>
      <c r="DE134" s="57"/>
      <c r="DF134" s="57"/>
      <c r="DG134" s="57"/>
      <c r="DH134" s="57"/>
      <c r="DI134" s="57"/>
      <c r="DJ134" s="57"/>
      <c r="DK134" s="57"/>
    </row>
    <row r="135" spans="1:115" ht="30" customHeight="1" x14ac:dyDescent="0.25">
      <c r="A135" s="58" t="s">
        <v>203</v>
      </c>
      <c r="B135" s="57">
        <v>23.5</v>
      </c>
      <c r="C135" s="67">
        <v>23.51</v>
      </c>
      <c r="D135" s="67">
        <v>23.51</v>
      </c>
      <c r="E135" s="67">
        <v>23.51</v>
      </c>
      <c r="F135" s="67">
        <v>23.64</v>
      </c>
      <c r="G135" s="6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  <c r="CJ135" s="57"/>
      <c r="CK135" s="57"/>
      <c r="CL135" s="57"/>
      <c r="CM135" s="57"/>
      <c r="CN135" s="57"/>
      <c r="CO135" s="57"/>
      <c r="CP135" s="57"/>
      <c r="CQ135" s="57"/>
      <c r="CR135" s="57"/>
      <c r="CS135" s="57"/>
      <c r="CT135" s="57"/>
      <c r="CU135" s="57"/>
      <c r="CV135" s="57"/>
      <c r="CW135" s="57"/>
      <c r="CX135" s="57"/>
      <c r="CY135" s="57"/>
      <c r="CZ135" s="57"/>
      <c r="DA135" s="57"/>
      <c r="DB135" s="57"/>
      <c r="DC135" s="57"/>
      <c r="DD135" s="57"/>
      <c r="DE135" s="57"/>
      <c r="DF135" s="57"/>
      <c r="DG135" s="57"/>
      <c r="DH135" s="57"/>
      <c r="DI135" s="57"/>
      <c r="DJ135" s="57"/>
      <c r="DK135" s="57"/>
    </row>
    <row r="136" spans="1:115" ht="30" customHeight="1" x14ac:dyDescent="0.25">
      <c r="A136" s="58" t="s">
        <v>204</v>
      </c>
      <c r="B136" s="57">
        <v>101.34999847412109</v>
      </c>
      <c r="C136" s="67">
        <v>104.28</v>
      </c>
      <c r="D136" s="67">
        <v>104.28</v>
      </c>
      <c r="E136" s="67">
        <v>104.28</v>
      </c>
      <c r="F136" s="67">
        <v>103.72</v>
      </c>
      <c r="G136" s="6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  <c r="CJ136" s="57"/>
      <c r="CK136" s="57"/>
      <c r="CL136" s="57"/>
      <c r="CM136" s="57"/>
      <c r="CN136" s="57"/>
      <c r="CO136" s="57"/>
      <c r="CP136" s="57"/>
      <c r="CQ136" s="57"/>
      <c r="CR136" s="57"/>
      <c r="CS136" s="57"/>
      <c r="CT136" s="57"/>
      <c r="CU136" s="57"/>
      <c r="CV136" s="57"/>
      <c r="CW136" s="57"/>
      <c r="CX136" s="57"/>
      <c r="CY136" s="57"/>
      <c r="CZ136" s="57"/>
      <c r="DA136" s="57"/>
      <c r="DB136" s="57"/>
      <c r="DC136" s="57"/>
      <c r="DD136" s="57"/>
      <c r="DE136" s="57"/>
      <c r="DF136" s="57"/>
      <c r="DG136" s="57"/>
      <c r="DH136" s="57"/>
      <c r="DI136" s="57"/>
      <c r="DJ136" s="57"/>
      <c r="DK136" s="57"/>
    </row>
    <row r="137" spans="1:115" ht="30" customHeight="1" x14ac:dyDescent="0.25">
      <c r="A137" s="58" t="s">
        <v>59</v>
      </c>
      <c r="B137" s="57">
        <v>0.79000002145767212</v>
      </c>
      <c r="C137" s="67">
        <v>0.77</v>
      </c>
      <c r="D137" s="67">
        <v>0.77</v>
      </c>
      <c r="E137" s="67">
        <v>0.77</v>
      </c>
      <c r="F137" s="67">
        <v>0.77</v>
      </c>
      <c r="G137" s="6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  <c r="CS137" s="57"/>
      <c r="CT137" s="57"/>
      <c r="CU137" s="57"/>
      <c r="CV137" s="57"/>
      <c r="CW137" s="57"/>
      <c r="CX137" s="57"/>
      <c r="CY137" s="57"/>
      <c r="CZ137" s="57"/>
      <c r="DA137" s="57"/>
      <c r="DB137" s="57"/>
      <c r="DC137" s="57"/>
      <c r="DD137" s="57"/>
      <c r="DE137" s="57"/>
      <c r="DF137" s="57"/>
      <c r="DG137" s="57"/>
      <c r="DH137" s="57"/>
      <c r="DI137" s="57"/>
      <c r="DJ137" s="57"/>
      <c r="DK137" s="57"/>
    </row>
    <row r="138" spans="1:115" ht="30" customHeight="1" x14ac:dyDescent="0.25">
      <c r="A138" s="58" t="s">
        <v>205</v>
      </c>
      <c r="B138" s="57">
        <v>19.5</v>
      </c>
      <c r="C138" s="67">
        <v>19.36</v>
      </c>
      <c r="D138" s="67">
        <v>19.36</v>
      </c>
      <c r="E138" s="67">
        <v>19.36</v>
      </c>
      <c r="F138" s="67">
        <v>19.46</v>
      </c>
      <c r="G138" s="6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  <c r="CJ138" s="57"/>
      <c r="CK138" s="57"/>
      <c r="CL138" s="57"/>
      <c r="CM138" s="57"/>
      <c r="CN138" s="57"/>
      <c r="CO138" s="57"/>
      <c r="CP138" s="57"/>
      <c r="CQ138" s="57"/>
      <c r="CR138" s="57"/>
      <c r="CS138" s="57"/>
      <c r="CT138" s="57"/>
      <c r="CU138" s="57"/>
      <c r="CV138" s="57"/>
      <c r="CW138" s="57"/>
      <c r="CX138" s="57"/>
      <c r="CY138" s="57"/>
      <c r="CZ138" s="57"/>
      <c r="DA138" s="57"/>
      <c r="DB138" s="57"/>
      <c r="DC138" s="57"/>
      <c r="DD138" s="57"/>
      <c r="DE138" s="57"/>
      <c r="DF138" s="57"/>
      <c r="DG138" s="57"/>
      <c r="DH138" s="57"/>
      <c r="DI138" s="57"/>
      <c r="DJ138" s="57"/>
      <c r="DK138" s="57"/>
    </row>
    <row r="139" spans="1:115" ht="30" customHeight="1" x14ac:dyDescent="0.25">
      <c r="A139" s="58" t="s">
        <v>206</v>
      </c>
      <c r="B139" s="57">
        <v>19.579999923706055</v>
      </c>
      <c r="C139" s="67">
        <v>19.34</v>
      </c>
      <c r="D139" s="67">
        <v>19.34</v>
      </c>
      <c r="E139" s="67">
        <v>19.34</v>
      </c>
      <c r="F139" s="67">
        <v>18.37</v>
      </c>
      <c r="G139" s="6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  <c r="CJ139" s="57"/>
      <c r="CK139" s="57"/>
      <c r="CL139" s="57"/>
      <c r="CM139" s="57"/>
      <c r="CN139" s="57"/>
      <c r="CO139" s="57"/>
      <c r="CP139" s="57"/>
      <c r="CQ139" s="57"/>
      <c r="CR139" s="57"/>
      <c r="CS139" s="57"/>
      <c r="CT139" s="57"/>
      <c r="CU139" s="57"/>
      <c r="CV139" s="57"/>
      <c r="CW139" s="57"/>
      <c r="CX139" s="57"/>
      <c r="CY139" s="57"/>
      <c r="CZ139" s="57"/>
      <c r="DA139" s="57"/>
      <c r="DB139" s="57"/>
      <c r="DC139" s="57"/>
      <c r="DD139" s="57"/>
      <c r="DE139" s="57"/>
      <c r="DF139" s="57"/>
      <c r="DG139" s="57"/>
      <c r="DH139" s="57"/>
      <c r="DI139" s="57"/>
      <c r="DJ139" s="57"/>
      <c r="DK139" s="57"/>
    </row>
    <row r="140" spans="1:115" ht="30" customHeight="1" x14ac:dyDescent="0.25">
      <c r="A140" s="58" t="s">
        <v>207</v>
      </c>
      <c r="B140" s="57">
        <v>36.290000915527344</v>
      </c>
      <c r="C140" s="67">
        <v>35.96</v>
      </c>
      <c r="D140" s="67">
        <v>35.96</v>
      </c>
      <c r="E140" s="67">
        <v>35.96</v>
      </c>
      <c r="F140" s="67">
        <v>34.369999999999997</v>
      </c>
      <c r="G140" s="6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  <c r="CS140" s="57"/>
      <c r="CT140" s="57"/>
      <c r="CU140" s="57"/>
      <c r="CV140" s="57"/>
      <c r="CW140" s="57"/>
      <c r="CX140" s="57"/>
      <c r="CY140" s="57"/>
      <c r="CZ140" s="57"/>
      <c r="DA140" s="57"/>
      <c r="DB140" s="57"/>
      <c r="DC140" s="57"/>
      <c r="DD140" s="57"/>
      <c r="DE140" s="57"/>
      <c r="DF140" s="57"/>
      <c r="DG140" s="57"/>
      <c r="DH140" s="57"/>
      <c r="DI140" s="57"/>
      <c r="DJ140" s="57"/>
      <c r="DK140" s="57"/>
    </row>
    <row r="141" spans="1:115" ht="30" customHeight="1" x14ac:dyDescent="0.25">
      <c r="A141" s="58" t="s">
        <v>60</v>
      </c>
      <c r="B141" s="57">
        <v>32.299999237060547</v>
      </c>
      <c r="C141" s="67">
        <v>32.71</v>
      </c>
      <c r="D141" s="67">
        <v>32.71</v>
      </c>
      <c r="E141" s="67">
        <v>32.71</v>
      </c>
      <c r="F141" s="67">
        <v>32.71</v>
      </c>
      <c r="G141" s="6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7"/>
      <c r="CL141" s="57"/>
      <c r="CM141" s="57"/>
      <c r="CN141" s="57"/>
      <c r="CO141" s="57"/>
      <c r="CP141" s="57"/>
      <c r="CQ141" s="57"/>
      <c r="CR141" s="57"/>
      <c r="CS141" s="57"/>
      <c r="CT141" s="57"/>
      <c r="CU141" s="57"/>
      <c r="CV141" s="57"/>
      <c r="CW141" s="57"/>
      <c r="CX141" s="57"/>
      <c r="CY141" s="57"/>
      <c r="CZ141" s="57"/>
      <c r="DA141" s="57"/>
      <c r="DB141" s="57"/>
      <c r="DC141" s="57"/>
      <c r="DD141" s="57"/>
      <c r="DE141" s="57"/>
      <c r="DF141" s="57"/>
      <c r="DG141" s="57"/>
      <c r="DH141" s="57"/>
      <c r="DI141" s="57"/>
      <c r="DJ141" s="57"/>
      <c r="DK141" s="57"/>
    </row>
    <row r="142" spans="1:115" ht="30" customHeight="1" x14ac:dyDescent="0.25">
      <c r="A142" s="58" t="s">
        <v>208</v>
      </c>
      <c r="B142" s="57">
        <v>35</v>
      </c>
      <c r="C142" s="67">
        <v>35.729999999999997</v>
      </c>
      <c r="D142" s="67">
        <v>35.729999999999997</v>
      </c>
      <c r="E142" s="67">
        <v>35.729999999999997</v>
      </c>
      <c r="F142" s="67">
        <v>36.159999999999997</v>
      </c>
      <c r="G142" s="6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  <c r="CJ142" s="57"/>
      <c r="CK142" s="57"/>
      <c r="CL142" s="57"/>
      <c r="CM142" s="57"/>
      <c r="CN142" s="57"/>
      <c r="CO142" s="57"/>
      <c r="CP142" s="57"/>
      <c r="CQ142" s="57"/>
      <c r="CR142" s="57"/>
      <c r="CS142" s="57"/>
      <c r="CT142" s="57"/>
      <c r="CU142" s="57"/>
      <c r="CV142" s="57"/>
      <c r="CW142" s="57"/>
      <c r="CX142" s="57"/>
      <c r="CY142" s="57"/>
      <c r="CZ142" s="57"/>
      <c r="DA142" s="57"/>
      <c r="DB142" s="57"/>
      <c r="DC142" s="57"/>
      <c r="DD142" s="57"/>
      <c r="DE142" s="57"/>
      <c r="DF142" s="57"/>
      <c r="DG142" s="57"/>
      <c r="DH142" s="57"/>
      <c r="DI142" s="57"/>
      <c r="DJ142" s="57"/>
      <c r="DK142" s="57"/>
    </row>
    <row r="143" spans="1:115" ht="30" customHeight="1" x14ac:dyDescent="0.25">
      <c r="A143" s="58" t="s">
        <v>209</v>
      </c>
      <c r="B143" s="57">
        <v>37.479999542236328</v>
      </c>
      <c r="C143" s="67">
        <v>41.15</v>
      </c>
      <c r="D143" s="67">
        <v>41.15</v>
      </c>
      <c r="E143" s="67">
        <v>41.15</v>
      </c>
      <c r="F143" s="67">
        <v>40.25</v>
      </c>
      <c r="G143" s="6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  <c r="CJ143" s="57"/>
      <c r="CK143" s="57"/>
      <c r="CL143" s="57"/>
      <c r="CM143" s="57"/>
      <c r="CN143" s="57"/>
      <c r="CO143" s="57"/>
      <c r="CP143" s="57"/>
      <c r="CQ143" s="57"/>
      <c r="CR143" s="57"/>
      <c r="CS143" s="57"/>
      <c r="CT143" s="57"/>
      <c r="CU143" s="57"/>
      <c r="CV143" s="57"/>
      <c r="CW143" s="57"/>
      <c r="CX143" s="57"/>
      <c r="CY143" s="57"/>
      <c r="CZ143" s="57"/>
      <c r="DA143" s="57"/>
      <c r="DB143" s="57"/>
      <c r="DC143" s="57"/>
      <c r="DD143" s="57"/>
      <c r="DE143" s="57"/>
      <c r="DF143" s="57"/>
      <c r="DG143" s="57"/>
      <c r="DH143" s="57"/>
      <c r="DI143" s="57"/>
      <c r="DJ143" s="57"/>
      <c r="DK143" s="57"/>
    </row>
    <row r="144" spans="1:115" ht="30" customHeight="1" x14ac:dyDescent="0.25">
      <c r="A144" s="58" t="s">
        <v>210</v>
      </c>
      <c r="B144" s="57">
        <v>37.020000457763672</v>
      </c>
      <c r="C144" s="67">
        <v>37.1</v>
      </c>
      <c r="D144" s="67">
        <v>37.1</v>
      </c>
      <c r="E144" s="67">
        <v>37.1</v>
      </c>
      <c r="F144" s="67">
        <v>36.950000000000003</v>
      </c>
      <c r="G144" s="6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  <c r="DC144" s="57"/>
      <c r="DD144" s="57"/>
      <c r="DE144" s="57"/>
      <c r="DF144" s="57"/>
      <c r="DG144" s="57"/>
      <c r="DH144" s="57"/>
      <c r="DI144" s="57"/>
      <c r="DJ144" s="57"/>
      <c r="DK144" s="57"/>
    </row>
    <row r="145" spans="1:115" ht="30" customHeight="1" x14ac:dyDescent="0.25">
      <c r="A145" s="58" t="s">
        <v>211</v>
      </c>
      <c r="B145" s="57">
        <v>29.930000305175781</v>
      </c>
      <c r="C145" s="67">
        <v>30.63</v>
      </c>
      <c r="D145" s="67">
        <v>30.63</v>
      </c>
      <c r="E145" s="67">
        <v>30.63</v>
      </c>
      <c r="F145" s="67">
        <v>30.356200000000001</v>
      </c>
      <c r="G145" s="6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  <c r="DC145" s="57"/>
      <c r="DD145" s="57"/>
      <c r="DE145" s="57"/>
      <c r="DF145" s="57"/>
      <c r="DG145" s="57"/>
      <c r="DH145" s="57"/>
      <c r="DI145" s="57"/>
      <c r="DJ145" s="57"/>
      <c r="DK145" s="57"/>
    </row>
    <row r="146" spans="1:115" ht="30" customHeight="1" x14ac:dyDescent="0.25">
      <c r="A146" s="58" t="s">
        <v>54</v>
      </c>
      <c r="B146" s="57">
        <v>8.4650001525878906</v>
      </c>
      <c r="C146" s="67">
        <v>8.31</v>
      </c>
      <c r="D146" s="67">
        <v>8.31</v>
      </c>
      <c r="E146" s="67">
        <v>8.31</v>
      </c>
      <c r="F146" s="67">
        <v>8.3249999999999993</v>
      </c>
      <c r="G146" s="6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  <c r="DC146" s="57"/>
      <c r="DD146" s="57"/>
      <c r="DE146" s="57"/>
      <c r="DF146" s="57"/>
      <c r="DG146" s="57"/>
      <c r="DH146" s="57"/>
      <c r="DI146" s="57"/>
      <c r="DJ146" s="57"/>
      <c r="DK146" s="57"/>
    </row>
    <row r="147" spans="1:115" ht="30" customHeight="1" x14ac:dyDescent="0.25">
      <c r="A147" s="58" t="s">
        <v>398</v>
      </c>
      <c r="B147" s="57">
        <v>50.270000457763672</v>
      </c>
      <c r="C147" s="67">
        <v>51.15</v>
      </c>
      <c r="D147" s="67">
        <v>51.15</v>
      </c>
      <c r="E147" s="67">
        <v>51.15</v>
      </c>
      <c r="F147" s="67">
        <v>51.1</v>
      </c>
      <c r="G147" s="6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  <c r="DC147" s="57"/>
      <c r="DD147" s="57"/>
      <c r="DE147" s="57"/>
      <c r="DF147" s="57"/>
      <c r="DG147" s="57"/>
      <c r="DH147" s="57"/>
      <c r="DI147" s="57"/>
      <c r="DJ147" s="57"/>
      <c r="DK147" s="57"/>
    </row>
    <row r="148" spans="1:115" ht="30" customHeight="1" x14ac:dyDescent="0.25">
      <c r="A148" s="58" t="s">
        <v>407</v>
      </c>
      <c r="B148" s="57">
        <v>6.2199997901916504</v>
      </c>
      <c r="C148" s="67">
        <v>5.96</v>
      </c>
      <c r="D148" s="67">
        <v>5.96</v>
      </c>
      <c r="E148" s="67">
        <v>5.96</v>
      </c>
      <c r="F148" s="67">
        <v>6.21</v>
      </c>
      <c r="G148" s="6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  <c r="DC148" s="57"/>
      <c r="DD148" s="57"/>
      <c r="DE148" s="57"/>
      <c r="DF148" s="57"/>
      <c r="DG148" s="57"/>
      <c r="DH148" s="57"/>
      <c r="DI148" s="57"/>
      <c r="DJ148" s="57"/>
      <c r="DK148" s="57"/>
    </row>
    <row r="149" spans="1:115" ht="30" customHeight="1" x14ac:dyDescent="0.25">
      <c r="A149" s="58" t="s">
        <v>213</v>
      </c>
      <c r="B149" s="57">
        <v>28.159999847412109</v>
      </c>
      <c r="C149" s="67">
        <v>28.25</v>
      </c>
      <c r="D149" s="67">
        <v>28.25</v>
      </c>
      <c r="E149" s="67">
        <v>28.25</v>
      </c>
      <c r="F149" s="67">
        <v>27.97</v>
      </c>
      <c r="G149" s="6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  <c r="DF149" s="57"/>
      <c r="DG149" s="57"/>
      <c r="DH149" s="57"/>
      <c r="DI149" s="57"/>
      <c r="DJ149" s="57"/>
      <c r="DK149" s="57"/>
    </row>
    <row r="150" spans="1:115" ht="30" customHeight="1" x14ac:dyDescent="0.25">
      <c r="A150" s="58" t="s">
        <v>75</v>
      </c>
      <c r="B150" s="57">
        <v>35.639999389648438</v>
      </c>
      <c r="C150" s="67">
        <v>36.04</v>
      </c>
      <c r="D150" s="67">
        <v>36.04</v>
      </c>
      <c r="E150" s="67">
        <v>36.04</v>
      </c>
      <c r="F150" s="67">
        <v>36.19</v>
      </c>
      <c r="G150" s="6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  <c r="DC150" s="57"/>
      <c r="DD150" s="57"/>
      <c r="DE150" s="57"/>
      <c r="DF150" s="57"/>
      <c r="DG150" s="57"/>
      <c r="DH150" s="57"/>
      <c r="DI150" s="57"/>
      <c r="DJ150" s="57"/>
      <c r="DK150" s="57"/>
    </row>
    <row r="151" spans="1:115" ht="30" customHeight="1" x14ac:dyDescent="0.25">
      <c r="A151" s="58" t="s">
        <v>214</v>
      </c>
      <c r="B151" s="57">
        <v>17.920000076293945</v>
      </c>
      <c r="C151" s="67">
        <v>18.010000000000002</v>
      </c>
      <c r="D151" s="67">
        <v>18.010000000000002</v>
      </c>
      <c r="E151" s="67">
        <v>18.010000000000002</v>
      </c>
      <c r="F151" s="67">
        <v>19.2</v>
      </c>
      <c r="G151" s="6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  <c r="CS151" s="57"/>
      <c r="CT151" s="57"/>
      <c r="CU151" s="57"/>
      <c r="CV151" s="57"/>
      <c r="CW151" s="57"/>
      <c r="CX151" s="57"/>
      <c r="CY151" s="57"/>
      <c r="CZ151" s="57"/>
      <c r="DA151" s="57"/>
      <c r="DB151" s="57"/>
      <c r="DC151" s="57"/>
      <c r="DD151" s="57"/>
      <c r="DE151" s="57"/>
      <c r="DF151" s="57"/>
      <c r="DG151" s="57"/>
      <c r="DH151" s="57"/>
      <c r="DI151" s="57"/>
      <c r="DJ151" s="57"/>
      <c r="DK151" s="57"/>
    </row>
    <row r="152" spans="1:115" ht="30" customHeight="1" x14ac:dyDescent="0.25">
      <c r="A152" s="58" t="s">
        <v>215</v>
      </c>
      <c r="B152" s="57">
        <v>142.71000671386719</v>
      </c>
      <c r="C152" s="67">
        <v>143</v>
      </c>
      <c r="D152" s="67">
        <v>143</v>
      </c>
      <c r="E152" s="67">
        <v>143</v>
      </c>
      <c r="F152" s="67">
        <v>143.18</v>
      </c>
      <c r="G152" s="6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  <c r="CJ152" s="57"/>
      <c r="CK152" s="57"/>
      <c r="CL152" s="57"/>
      <c r="CM152" s="57"/>
      <c r="CN152" s="57"/>
      <c r="CO152" s="57"/>
      <c r="CP152" s="57"/>
      <c r="CQ152" s="57"/>
      <c r="CR152" s="57"/>
      <c r="CS152" s="57"/>
      <c r="CT152" s="57"/>
      <c r="CU152" s="57"/>
      <c r="CV152" s="57"/>
      <c r="CW152" s="57"/>
      <c r="CX152" s="57"/>
      <c r="CY152" s="57"/>
      <c r="CZ152" s="57"/>
      <c r="DA152" s="57"/>
      <c r="DB152" s="57"/>
      <c r="DC152" s="57"/>
      <c r="DD152" s="57"/>
      <c r="DE152" s="57"/>
      <c r="DF152" s="57"/>
      <c r="DG152" s="57"/>
      <c r="DH152" s="57"/>
      <c r="DI152" s="57"/>
      <c r="DJ152" s="57"/>
      <c r="DK152" s="57"/>
    </row>
    <row r="153" spans="1:115" ht="30" customHeight="1" x14ac:dyDescent="0.25">
      <c r="A153" s="58" t="s">
        <v>61</v>
      </c>
      <c r="B153" s="57">
        <v>113.45999908447266</v>
      </c>
      <c r="C153" s="67">
        <v>113.87</v>
      </c>
      <c r="D153" s="67">
        <v>113.87</v>
      </c>
      <c r="E153" s="67">
        <v>113.87</v>
      </c>
      <c r="F153" s="67">
        <v>114.98</v>
      </c>
      <c r="G153" s="6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  <c r="CJ153" s="57"/>
      <c r="CK153" s="57"/>
      <c r="CL153" s="57"/>
      <c r="CM153" s="57"/>
      <c r="CN153" s="57"/>
      <c r="CO153" s="57"/>
      <c r="CP153" s="57"/>
      <c r="CQ153" s="57"/>
      <c r="CR153" s="57"/>
      <c r="CS153" s="57"/>
      <c r="CT153" s="57"/>
      <c r="CU153" s="57"/>
      <c r="CV153" s="57"/>
      <c r="CW153" s="57"/>
      <c r="CX153" s="57"/>
      <c r="CY153" s="57"/>
      <c r="CZ153" s="57"/>
      <c r="DA153" s="57"/>
      <c r="DB153" s="57"/>
      <c r="DC153" s="57"/>
      <c r="DD153" s="57"/>
      <c r="DE153" s="57"/>
      <c r="DF153" s="57"/>
      <c r="DG153" s="57"/>
      <c r="DH153" s="57"/>
      <c r="DI153" s="57"/>
      <c r="DJ153" s="57"/>
      <c r="DK153" s="57"/>
    </row>
    <row r="154" spans="1:115" ht="30" customHeight="1" x14ac:dyDescent="0.25">
      <c r="A154" s="58" t="s">
        <v>216</v>
      </c>
      <c r="B154" s="57">
        <v>404.57998657226563</v>
      </c>
      <c r="C154" s="67">
        <v>418.12</v>
      </c>
      <c r="D154" s="67">
        <v>418.12</v>
      </c>
      <c r="E154" s="67">
        <v>418.12</v>
      </c>
      <c r="F154" s="67">
        <v>430.34</v>
      </c>
      <c r="G154" s="6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  <c r="CJ154" s="57"/>
      <c r="CK154" s="57"/>
      <c r="CL154" s="57"/>
      <c r="CM154" s="57"/>
      <c r="CN154" s="57"/>
      <c r="CO154" s="57"/>
      <c r="CP154" s="57"/>
      <c r="CQ154" s="57"/>
      <c r="CR154" s="57"/>
      <c r="CS154" s="57"/>
      <c r="CT154" s="57"/>
      <c r="CU154" s="57"/>
      <c r="CV154" s="57"/>
      <c r="CW154" s="57"/>
      <c r="CX154" s="57"/>
      <c r="CY154" s="57"/>
      <c r="CZ154" s="57"/>
      <c r="DA154" s="57"/>
      <c r="DB154" s="57"/>
      <c r="DC154" s="57"/>
      <c r="DD154" s="57"/>
      <c r="DE154" s="57"/>
      <c r="DF154" s="57"/>
      <c r="DG154" s="57"/>
      <c r="DH154" s="57"/>
      <c r="DI154" s="57"/>
      <c r="DJ154" s="57"/>
      <c r="DK154" s="57"/>
    </row>
    <row r="155" spans="1:115" ht="30" customHeight="1" x14ac:dyDescent="0.25">
      <c r="A155" s="58" t="s">
        <v>217</v>
      </c>
      <c r="B155" s="57">
        <v>23.059999465942383</v>
      </c>
      <c r="C155" s="67">
        <v>23.03</v>
      </c>
      <c r="D155" s="67">
        <v>23.03</v>
      </c>
      <c r="E155" s="67">
        <v>23.03</v>
      </c>
      <c r="F155" s="67">
        <v>23.31</v>
      </c>
      <c r="G155" s="6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  <c r="CJ155" s="57"/>
      <c r="CK155" s="57"/>
      <c r="CL155" s="57"/>
      <c r="CM155" s="57"/>
      <c r="CN155" s="57"/>
      <c r="CO155" s="57"/>
      <c r="CP155" s="57"/>
      <c r="CQ155" s="57"/>
      <c r="CR155" s="57"/>
      <c r="CS155" s="57"/>
      <c r="CT155" s="57"/>
      <c r="CU155" s="57"/>
      <c r="CV155" s="57"/>
      <c r="CW155" s="57"/>
      <c r="CX155" s="57"/>
      <c r="CY155" s="57"/>
      <c r="CZ155" s="57"/>
      <c r="DA155" s="57"/>
      <c r="DB155" s="57"/>
      <c r="DC155" s="57"/>
      <c r="DD155" s="57"/>
      <c r="DE155" s="57"/>
      <c r="DF155" s="57"/>
      <c r="DG155" s="57"/>
      <c r="DH155" s="57"/>
      <c r="DI155" s="57"/>
      <c r="DJ155" s="57"/>
      <c r="DK155" s="57"/>
    </row>
    <row r="156" spans="1:115" ht="30" customHeight="1" x14ac:dyDescent="0.25">
      <c r="A156" s="58" t="s">
        <v>218</v>
      </c>
      <c r="B156" s="57">
        <v>14.090000152587891</v>
      </c>
      <c r="C156" s="67">
        <v>13.89</v>
      </c>
      <c r="D156" s="67">
        <v>13.89</v>
      </c>
      <c r="E156" s="67">
        <v>13.89</v>
      </c>
      <c r="F156" s="67">
        <v>13.79</v>
      </c>
      <c r="G156" s="6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  <c r="CJ156" s="57"/>
      <c r="CK156" s="57"/>
      <c r="CL156" s="57"/>
      <c r="CM156" s="57"/>
      <c r="CN156" s="57"/>
      <c r="CO156" s="57"/>
      <c r="CP156" s="57"/>
      <c r="CQ156" s="57"/>
      <c r="CR156" s="57"/>
      <c r="CS156" s="57"/>
      <c r="CT156" s="57"/>
      <c r="CU156" s="57"/>
      <c r="CV156" s="57"/>
      <c r="CW156" s="57"/>
      <c r="CX156" s="57"/>
      <c r="CY156" s="57"/>
      <c r="CZ156" s="57"/>
      <c r="DA156" s="57"/>
      <c r="DB156" s="57"/>
      <c r="DC156" s="57"/>
      <c r="DD156" s="57"/>
      <c r="DE156" s="57"/>
      <c r="DF156" s="57"/>
      <c r="DG156" s="57"/>
      <c r="DH156" s="57"/>
      <c r="DI156" s="57"/>
      <c r="DJ156" s="57"/>
      <c r="DK156" s="57"/>
    </row>
    <row r="157" spans="1:115" ht="30" customHeight="1" x14ac:dyDescent="0.25">
      <c r="A157" s="58" t="s">
        <v>219</v>
      </c>
      <c r="B157" s="57">
        <v>96.55999755859375</v>
      </c>
      <c r="C157" s="67">
        <v>96.36</v>
      </c>
      <c r="D157" s="67">
        <v>96.36</v>
      </c>
      <c r="E157" s="67">
        <v>96.36</v>
      </c>
      <c r="F157" s="67">
        <v>96.18</v>
      </c>
      <c r="G157" s="6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  <c r="CJ157" s="57"/>
      <c r="CK157" s="57"/>
      <c r="CL157" s="57"/>
      <c r="CM157" s="57"/>
      <c r="CN157" s="57"/>
      <c r="CO157" s="57"/>
      <c r="CP157" s="57"/>
      <c r="CQ157" s="57"/>
      <c r="CR157" s="57"/>
      <c r="CS157" s="57"/>
      <c r="CT157" s="57"/>
      <c r="CU157" s="57"/>
      <c r="CV157" s="57"/>
      <c r="CW157" s="57"/>
      <c r="CX157" s="57"/>
      <c r="CY157" s="57"/>
      <c r="CZ157" s="57"/>
      <c r="DA157" s="57"/>
      <c r="DB157" s="57"/>
      <c r="DC157" s="57"/>
      <c r="DD157" s="57"/>
      <c r="DE157" s="57"/>
      <c r="DF157" s="57"/>
      <c r="DG157" s="57"/>
      <c r="DH157" s="57"/>
      <c r="DI157" s="57"/>
      <c r="DJ157" s="57"/>
      <c r="DK157" s="57"/>
    </row>
    <row r="158" spans="1:115" ht="30" customHeight="1" x14ac:dyDescent="0.25">
      <c r="A158" s="58" t="s">
        <v>62</v>
      </c>
      <c r="B158" s="57">
        <v>0.15000000596046448</v>
      </c>
      <c r="C158" s="67">
        <v>0.14499999999999999</v>
      </c>
      <c r="D158" s="67">
        <v>0.14499999999999999</v>
      </c>
      <c r="E158" s="67">
        <v>0.14499999999999999</v>
      </c>
      <c r="F158" s="67">
        <v>0.155</v>
      </c>
      <c r="G158" s="6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  <c r="CJ158" s="57"/>
      <c r="CK158" s="57"/>
      <c r="CL158" s="57"/>
      <c r="CM158" s="57"/>
      <c r="CN158" s="57"/>
      <c r="CO158" s="57"/>
      <c r="CP158" s="57"/>
      <c r="CQ158" s="57"/>
      <c r="CR158" s="57"/>
      <c r="CS158" s="57"/>
      <c r="CT158" s="57"/>
      <c r="CU158" s="57"/>
      <c r="CV158" s="57"/>
      <c r="CW158" s="57"/>
      <c r="CX158" s="57"/>
      <c r="CY158" s="57"/>
      <c r="CZ158" s="57"/>
      <c r="DA158" s="57"/>
      <c r="DB158" s="57"/>
      <c r="DC158" s="57"/>
      <c r="DD158" s="57"/>
      <c r="DE158" s="57"/>
      <c r="DF158" s="57"/>
      <c r="DG158" s="57"/>
      <c r="DH158" s="57"/>
      <c r="DI158" s="57"/>
      <c r="DJ158" s="57"/>
      <c r="DK158" s="57"/>
    </row>
    <row r="159" spans="1:115" ht="30" customHeight="1" x14ac:dyDescent="0.25">
      <c r="A159" s="58" t="s">
        <v>220</v>
      </c>
      <c r="B159" s="57">
        <v>87.05999755859375</v>
      </c>
      <c r="C159" s="67">
        <v>85.84</v>
      </c>
      <c r="D159" s="67">
        <v>85.84</v>
      </c>
      <c r="E159" s="67">
        <v>85.84</v>
      </c>
      <c r="F159" s="67">
        <v>86.27</v>
      </c>
      <c r="G159" s="6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  <c r="CJ159" s="57"/>
      <c r="CK159" s="57"/>
      <c r="CL159" s="57"/>
      <c r="CM159" s="57"/>
      <c r="CN159" s="57"/>
      <c r="CO159" s="57"/>
      <c r="CP159" s="57"/>
      <c r="CQ159" s="57"/>
      <c r="CR159" s="57"/>
      <c r="CS159" s="57"/>
      <c r="CT159" s="57"/>
      <c r="CU159" s="57"/>
      <c r="CV159" s="57"/>
      <c r="CW159" s="57"/>
      <c r="CX159" s="57"/>
      <c r="CY159" s="57"/>
      <c r="CZ159" s="57"/>
      <c r="DA159" s="57"/>
      <c r="DB159" s="57"/>
      <c r="DC159" s="57"/>
      <c r="DD159" s="57"/>
      <c r="DE159" s="57"/>
      <c r="DF159" s="57"/>
      <c r="DG159" s="57"/>
      <c r="DH159" s="57"/>
      <c r="DI159" s="57"/>
      <c r="DJ159" s="57"/>
      <c r="DK159" s="57"/>
    </row>
    <row r="160" spans="1:115" ht="30" customHeight="1" x14ac:dyDescent="0.25">
      <c r="A160" s="58" t="s">
        <v>76</v>
      </c>
      <c r="B160" s="57">
        <v>96.410003662109375</v>
      </c>
      <c r="C160" s="67">
        <v>97.26</v>
      </c>
      <c r="D160" s="67">
        <v>97.26</v>
      </c>
      <c r="E160" s="67">
        <v>97.26</v>
      </c>
      <c r="F160" s="67">
        <v>97.37</v>
      </c>
      <c r="G160" s="6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  <c r="CJ160" s="57"/>
      <c r="CK160" s="57"/>
      <c r="CL160" s="57"/>
      <c r="CM160" s="57"/>
      <c r="CN160" s="57"/>
      <c r="CO160" s="57"/>
      <c r="CP160" s="57"/>
      <c r="CQ160" s="57"/>
      <c r="CR160" s="57"/>
      <c r="CS160" s="57"/>
      <c r="CT160" s="57"/>
      <c r="CU160" s="57"/>
      <c r="CV160" s="57"/>
      <c r="CW160" s="57"/>
      <c r="CX160" s="57"/>
      <c r="CY160" s="57"/>
      <c r="CZ160" s="57"/>
      <c r="DA160" s="57"/>
      <c r="DB160" s="57"/>
      <c r="DC160" s="57"/>
      <c r="DD160" s="57"/>
      <c r="DE160" s="57"/>
      <c r="DF160" s="57"/>
      <c r="DG160" s="57"/>
      <c r="DH160" s="57"/>
      <c r="DI160" s="57"/>
      <c r="DJ160" s="57"/>
      <c r="DK160" s="57"/>
    </row>
    <row r="161" spans="1:115" ht="30" customHeight="1" x14ac:dyDescent="0.25">
      <c r="A161" s="58" t="s">
        <v>221</v>
      </c>
      <c r="B161" s="57">
        <v>8.1400003433227539</v>
      </c>
      <c r="C161" s="67">
        <v>8.2899999999999991</v>
      </c>
      <c r="D161" s="67">
        <v>8.2899999999999991</v>
      </c>
      <c r="E161" s="67">
        <v>8.2899999999999991</v>
      </c>
      <c r="F161" s="67">
        <v>8.09</v>
      </c>
      <c r="G161" s="6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  <c r="CJ161" s="57"/>
      <c r="CK161" s="57"/>
      <c r="CL161" s="57"/>
      <c r="CM161" s="57"/>
      <c r="CN161" s="57"/>
      <c r="CO161" s="57"/>
      <c r="CP161" s="57"/>
      <c r="CQ161" s="57"/>
      <c r="CR161" s="57"/>
      <c r="CS161" s="57"/>
      <c r="CT161" s="57"/>
      <c r="CU161" s="57"/>
      <c r="CV161" s="57"/>
      <c r="CW161" s="57"/>
      <c r="CX161" s="57"/>
      <c r="CY161" s="57"/>
      <c r="CZ161" s="57"/>
      <c r="DA161" s="57"/>
      <c r="DB161" s="57"/>
      <c r="DC161" s="57"/>
      <c r="DD161" s="57"/>
      <c r="DE161" s="57"/>
      <c r="DF161" s="57"/>
      <c r="DG161" s="57"/>
      <c r="DH161" s="57"/>
      <c r="DI161" s="57"/>
      <c r="DJ161" s="57"/>
      <c r="DK161" s="57"/>
    </row>
    <row r="162" spans="1:115" ht="30" customHeight="1" x14ac:dyDescent="0.25">
      <c r="A162" s="58" t="s">
        <v>222</v>
      </c>
      <c r="B162" s="57">
        <v>29.329999923706055</v>
      </c>
      <c r="C162" s="67">
        <v>29.27</v>
      </c>
      <c r="D162" s="67">
        <v>29.27</v>
      </c>
      <c r="E162" s="67">
        <v>29.27</v>
      </c>
      <c r="F162" s="67">
        <v>28.99</v>
      </c>
      <c r="G162" s="6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  <c r="CS162" s="57"/>
      <c r="CT162" s="57"/>
      <c r="CU162" s="57"/>
      <c r="CV162" s="57"/>
      <c r="CW162" s="57"/>
      <c r="CX162" s="57"/>
      <c r="CY162" s="57"/>
      <c r="CZ162" s="57"/>
      <c r="DA162" s="57"/>
      <c r="DB162" s="57"/>
      <c r="DC162" s="57"/>
      <c r="DD162" s="57"/>
      <c r="DE162" s="57"/>
      <c r="DF162" s="57"/>
      <c r="DG162" s="57"/>
      <c r="DH162" s="57"/>
      <c r="DI162" s="57"/>
      <c r="DJ162" s="57"/>
      <c r="DK162" s="57"/>
    </row>
    <row r="163" spans="1:115" ht="30" customHeight="1" x14ac:dyDescent="0.25">
      <c r="A163" s="58" t="s">
        <v>77</v>
      </c>
      <c r="B163" s="57">
        <v>170.32000732421875</v>
      </c>
      <c r="C163" s="67">
        <v>170.39</v>
      </c>
      <c r="D163" s="67">
        <v>170.39</v>
      </c>
      <c r="E163" s="67">
        <v>170.39</v>
      </c>
      <c r="F163" s="67">
        <v>172.26</v>
      </c>
      <c r="G163" s="6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  <c r="CJ163" s="57"/>
      <c r="CK163" s="57"/>
      <c r="CL163" s="57"/>
      <c r="CM163" s="57"/>
      <c r="CN163" s="57"/>
      <c r="CO163" s="57"/>
      <c r="CP163" s="57"/>
      <c r="CQ163" s="57"/>
      <c r="CR163" s="57"/>
      <c r="CS163" s="57"/>
      <c r="CT163" s="57"/>
      <c r="CU163" s="57"/>
      <c r="CV163" s="57"/>
      <c r="CW163" s="57"/>
      <c r="CX163" s="57"/>
      <c r="CY163" s="57"/>
      <c r="CZ163" s="57"/>
      <c r="DA163" s="57"/>
      <c r="DB163" s="57"/>
      <c r="DC163" s="57"/>
      <c r="DD163" s="57"/>
      <c r="DE163" s="57"/>
      <c r="DF163" s="57"/>
      <c r="DG163" s="57"/>
      <c r="DH163" s="57"/>
      <c r="DI163" s="57"/>
      <c r="DJ163" s="57"/>
      <c r="DK163" s="57"/>
    </row>
    <row r="164" spans="1:115" ht="30" customHeight="1" x14ac:dyDescent="0.25">
      <c r="A164" s="58" t="s">
        <v>223</v>
      </c>
      <c r="B164" s="57">
        <v>66.599998474121094</v>
      </c>
      <c r="C164" s="67">
        <v>66.73</v>
      </c>
      <c r="D164" s="67">
        <v>66.73</v>
      </c>
      <c r="E164" s="67">
        <v>66.73</v>
      </c>
      <c r="F164" s="67">
        <v>66.2</v>
      </c>
      <c r="G164" s="6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  <c r="CJ164" s="57"/>
      <c r="CK164" s="57"/>
      <c r="CL164" s="57"/>
      <c r="CM164" s="57"/>
      <c r="CN164" s="57"/>
      <c r="CO164" s="57"/>
      <c r="CP164" s="57"/>
      <c r="CQ164" s="57"/>
      <c r="CR164" s="57"/>
      <c r="CS164" s="57"/>
      <c r="CT164" s="57"/>
      <c r="CU164" s="57"/>
      <c r="CV164" s="57"/>
      <c r="CW164" s="57"/>
      <c r="CX164" s="57"/>
      <c r="CY164" s="57"/>
      <c r="CZ164" s="57"/>
      <c r="DA164" s="57"/>
      <c r="DB164" s="57"/>
      <c r="DC164" s="57"/>
      <c r="DD164" s="57"/>
      <c r="DE164" s="57"/>
      <c r="DF164" s="57"/>
      <c r="DG164" s="57"/>
      <c r="DH164" s="57"/>
      <c r="DI164" s="57"/>
      <c r="DJ164" s="57"/>
      <c r="DK164" s="57"/>
    </row>
    <row r="165" spans="1:115" ht="30" customHeight="1" x14ac:dyDescent="0.25">
      <c r="A165" s="58" t="s">
        <v>224</v>
      </c>
      <c r="B165" s="57">
        <v>40.110000610351563</v>
      </c>
      <c r="C165" s="67">
        <v>41.21</v>
      </c>
      <c r="D165" s="67">
        <v>41.21</v>
      </c>
      <c r="E165" s="67">
        <v>41.21</v>
      </c>
      <c r="F165" s="67">
        <v>38.39</v>
      </c>
      <c r="G165" s="6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  <c r="CJ165" s="57"/>
      <c r="CK165" s="57"/>
      <c r="CL165" s="57"/>
      <c r="CM165" s="57"/>
      <c r="CN165" s="57"/>
      <c r="CO165" s="57"/>
      <c r="CP165" s="57"/>
      <c r="CQ165" s="57"/>
      <c r="CR165" s="57"/>
      <c r="CS165" s="57"/>
      <c r="CT165" s="57"/>
      <c r="CU165" s="57"/>
      <c r="CV165" s="57"/>
      <c r="CW165" s="57"/>
      <c r="CX165" s="57"/>
      <c r="CY165" s="57"/>
      <c r="CZ165" s="57"/>
      <c r="DA165" s="57"/>
      <c r="DB165" s="57"/>
      <c r="DC165" s="57"/>
      <c r="DD165" s="57"/>
      <c r="DE165" s="57"/>
      <c r="DF165" s="57"/>
      <c r="DG165" s="57"/>
      <c r="DH165" s="57"/>
      <c r="DI165" s="57"/>
      <c r="DJ165" s="57"/>
      <c r="DK165" s="57"/>
    </row>
    <row r="166" spans="1:115" ht="30" customHeight="1" x14ac:dyDescent="0.25">
      <c r="A166" s="58" t="s">
        <v>225</v>
      </c>
      <c r="B166" s="57">
        <v>206.46000671386719</v>
      </c>
      <c r="C166" s="67">
        <v>202.53</v>
      </c>
      <c r="D166" s="67">
        <v>202.53</v>
      </c>
      <c r="E166" s="67">
        <v>202.53</v>
      </c>
      <c r="F166" s="67">
        <v>205.99</v>
      </c>
      <c r="G166" s="6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7"/>
      <c r="CL166" s="57"/>
      <c r="CM166" s="57"/>
      <c r="CN166" s="57"/>
      <c r="CO166" s="57"/>
      <c r="CP166" s="57"/>
      <c r="CQ166" s="57"/>
      <c r="CR166" s="57"/>
      <c r="CS166" s="57"/>
      <c r="CT166" s="57"/>
      <c r="CU166" s="57"/>
      <c r="CV166" s="57"/>
      <c r="CW166" s="57"/>
      <c r="CX166" s="57"/>
      <c r="CY166" s="57"/>
      <c r="CZ166" s="57"/>
      <c r="DA166" s="57"/>
      <c r="DB166" s="57"/>
      <c r="DC166" s="57"/>
      <c r="DD166" s="57"/>
      <c r="DE166" s="57"/>
      <c r="DF166" s="57"/>
      <c r="DG166" s="57"/>
      <c r="DH166" s="57"/>
      <c r="DI166" s="57"/>
      <c r="DJ166" s="57"/>
      <c r="DK166" s="57"/>
    </row>
    <row r="167" spans="1:115" ht="30" customHeight="1" x14ac:dyDescent="0.25">
      <c r="A167" s="58" t="s">
        <v>226</v>
      </c>
      <c r="B167" s="57">
        <v>66.730003356933594</v>
      </c>
      <c r="C167" s="67">
        <v>66.63</v>
      </c>
      <c r="D167" s="67">
        <v>66.63</v>
      </c>
      <c r="E167" s="67">
        <v>66.63</v>
      </c>
      <c r="F167" s="67">
        <v>66.41</v>
      </c>
      <c r="G167" s="6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  <c r="CJ167" s="57"/>
      <c r="CK167" s="57"/>
      <c r="CL167" s="57"/>
      <c r="CM167" s="57"/>
      <c r="CN167" s="57"/>
      <c r="CO167" s="57"/>
      <c r="CP167" s="57"/>
      <c r="CQ167" s="57"/>
      <c r="CR167" s="57"/>
      <c r="CS167" s="57"/>
      <c r="CT167" s="57"/>
      <c r="CU167" s="57"/>
      <c r="CV167" s="57"/>
      <c r="CW167" s="57"/>
      <c r="CX167" s="57"/>
      <c r="CY167" s="57"/>
      <c r="CZ167" s="57"/>
      <c r="DA167" s="57"/>
      <c r="DB167" s="57"/>
      <c r="DC167" s="57"/>
      <c r="DD167" s="57"/>
      <c r="DE167" s="57"/>
      <c r="DF167" s="57"/>
      <c r="DG167" s="57"/>
      <c r="DH167" s="57"/>
      <c r="DI167" s="57"/>
      <c r="DJ167" s="57"/>
      <c r="DK167" s="57"/>
    </row>
    <row r="168" spans="1:115" ht="30" customHeight="1" x14ac:dyDescent="0.25">
      <c r="A168" s="58" t="s">
        <v>227</v>
      </c>
      <c r="B168" s="57">
        <v>45.240001678466797</v>
      </c>
      <c r="C168" s="67">
        <v>46</v>
      </c>
      <c r="D168" s="67">
        <v>46</v>
      </c>
      <c r="E168" s="67">
        <v>46</v>
      </c>
      <c r="F168" s="67">
        <v>45.69</v>
      </c>
      <c r="G168" s="6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  <c r="CJ168" s="57"/>
      <c r="CK168" s="57"/>
      <c r="CL168" s="57"/>
      <c r="CM168" s="57"/>
      <c r="CN168" s="57"/>
      <c r="CO168" s="57"/>
      <c r="CP168" s="57"/>
      <c r="CQ168" s="57"/>
      <c r="CR168" s="57"/>
      <c r="CS168" s="57"/>
      <c r="CT168" s="57"/>
      <c r="CU168" s="57"/>
      <c r="CV168" s="57"/>
      <c r="CW168" s="57"/>
      <c r="CX168" s="57"/>
      <c r="CY168" s="57"/>
      <c r="CZ168" s="57"/>
      <c r="DA168" s="57"/>
      <c r="DB168" s="57"/>
      <c r="DC168" s="57"/>
      <c r="DD168" s="57"/>
      <c r="DE168" s="57"/>
      <c r="DF168" s="57"/>
      <c r="DG168" s="57"/>
      <c r="DH168" s="57"/>
      <c r="DI168" s="57"/>
      <c r="DJ168" s="57"/>
      <c r="DK168" s="57"/>
    </row>
    <row r="169" spans="1:115" ht="30" customHeight="1" x14ac:dyDescent="0.25">
      <c r="A169" s="58" t="s">
        <v>228</v>
      </c>
      <c r="B169" s="57">
        <v>34.799999237060547</v>
      </c>
      <c r="C169" s="67">
        <v>35.082999999999998</v>
      </c>
      <c r="D169" s="67">
        <v>35.082999999999998</v>
      </c>
      <c r="E169" s="67">
        <v>35.082999999999998</v>
      </c>
      <c r="F169" s="67">
        <v>35.61</v>
      </c>
      <c r="G169" s="6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  <c r="CJ169" s="57"/>
      <c r="CK169" s="57"/>
      <c r="CL169" s="57"/>
      <c r="CM169" s="57"/>
      <c r="CN169" s="57"/>
      <c r="CO169" s="57"/>
      <c r="CP169" s="57"/>
      <c r="CQ169" s="57"/>
      <c r="CR169" s="57"/>
      <c r="CS169" s="57"/>
      <c r="CT169" s="57"/>
      <c r="CU169" s="57"/>
      <c r="CV169" s="57"/>
      <c r="CW169" s="57"/>
      <c r="CX169" s="57"/>
      <c r="CY169" s="57"/>
      <c r="CZ169" s="57"/>
      <c r="DA169" s="57"/>
      <c r="DB169" s="57"/>
      <c r="DC169" s="57"/>
      <c r="DD169" s="57"/>
      <c r="DE169" s="57"/>
      <c r="DF169" s="57"/>
      <c r="DG169" s="57"/>
      <c r="DH169" s="57"/>
      <c r="DI169" s="57"/>
      <c r="DJ169" s="57"/>
      <c r="DK169" s="57"/>
    </row>
    <row r="170" spans="1:115" ht="30" customHeight="1" x14ac:dyDescent="0.25">
      <c r="A170" s="58" t="s">
        <v>229</v>
      </c>
      <c r="B170" s="57">
        <v>62.590000152587891</v>
      </c>
      <c r="C170" s="67">
        <v>62.61</v>
      </c>
      <c r="D170" s="67">
        <v>62.61</v>
      </c>
      <c r="E170" s="67">
        <v>62.61</v>
      </c>
      <c r="F170" s="67">
        <v>62.91</v>
      </c>
      <c r="G170" s="6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  <c r="CJ170" s="57"/>
      <c r="CK170" s="57"/>
      <c r="CL170" s="57"/>
      <c r="CM170" s="57"/>
      <c r="CN170" s="57"/>
      <c r="CO170" s="57"/>
      <c r="CP170" s="57"/>
      <c r="CQ170" s="57"/>
      <c r="CR170" s="57"/>
      <c r="CS170" s="57"/>
      <c r="CT170" s="57"/>
      <c r="CU170" s="57"/>
      <c r="CV170" s="57"/>
      <c r="CW170" s="57"/>
      <c r="CX170" s="57"/>
      <c r="CY170" s="57"/>
      <c r="CZ170" s="57"/>
      <c r="DA170" s="57"/>
      <c r="DB170" s="57"/>
      <c r="DC170" s="57"/>
      <c r="DD170" s="57"/>
      <c r="DE170" s="57"/>
      <c r="DF170" s="57"/>
      <c r="DG170" s="57"/>
      <c r="DH170" s="57"/>
      <c r="DI170" s="57"/>
      <c r="DJ170" s="57"/>
      <c r="DK170" s="57"/>
    </row>
    <row r="171" spans="1:115" ht="30" customHeight="1" x14ac:dyDescent="0.25">
      <c r="A171" s="58" t="s">
        <v>230</v>
      </c>
      <c r="B171" s="57">
        <v>66.260002136230469</v>
      </c>
      <c r="C171" s="67">
        <v>66.790000000000006</v>
      </c>
      <c r="D171" s="67">
        <v>66.790000000000006</v>
      </c>
      <c r="E171" s="67">
        <v>66.790000000000006</v>
      </c>
      <c r="F171" s="67">
        <v>66.48</v>
      </c>
      <c r="G171" s="6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  <c r="CJ171" s="57"/>
      <c r="CK171" s="57"/>
      <c r="CL171" s="57"/>
      <c r="CM171" s="57"/>
      <c r="CN171" s="57"/>
      <c r="CO171" s="57"/>
      <c r="CP171" s="57"/>
      <c r="CQ171" s="57"/>
      <c r="CR171" s="57"/>
      <c r="CS171" s="57"/>
      <c r="CT171" s="57"/>
      <c r="CU171" s="57"/>
      <c r="CV171" s="57"/>
      <c r="CW171" s="57"/>
      <c r="CX171" s="57"/>
      <c r="CY171" s="57"/>
      <c r="CZ171" s="57"/>
      <c r="DA171" s="57"/>
      <c r="DB171" s="57"/>
      <c r="DC171" s="57"/>
      <c r="DD171" s="57"/>
      <c r="DE171" s="57"/>
      <c r="DF171" s="57"/>
      <c r="DG171" s="57"/>
      <c r="DH171" s="57"/>
      <c r="DI171" s="57"/>
      <c r="DJ171" s="57"/>
      <c r="DK171" s="57"/>
    </row>
    <row r="172" spans="1:115" ht="30" customHeight="1" x14ac:dyDescent="0.25">
      <c r="A172" s="58" t="s">
        <v>231</v>
      </c>
      <c r="B172" s="57">
        <v>43.990001678466797</v>
      </c>
      <c r="C172" s="67">
        <v>43.96</v>
      </c>
      <c r="D172" s="67">
        <v>43.96</v>
      </c>
      <c r="E172" s="67">
        <v>43.96</v>
      </c>
      <c r="F172" s="67">
        <v>43.88</v>
      </c>
      <c r="G172" s="6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  <c r="CJ172" s="57"/>
      <c r="CK172" s="57"/>
      <c r="CL172" s="57"/>
      <c r="CM172" s="57"/>
      <c r="CN172" s="57"/>
      <c r="CO172" s="57"/>
      <c r="CP172" s="57"/>
      <c r="CQ172" s="57"/>
      <c r="CR172" s="57"/>
      <c r="CS172" s="57"/>
      <c r="CT172" s="57"/>
      <c r="CU172" s="57"/>
      <c r="CV172" s="57"/>
      <c r="CW172" s="57"/>
      <c r="CX172" s="57"/>
      <c r="CY172" s="57"/>
      <c r="CZ172" s="57"/>
      <c r="DA172" s="57"/>
      <c r="DB172" s="57"/>
      <c r="DC172" s="57"/>
      <c r="DD172" s="57"/>
      <c r="DE172" s="57"/>
      <c r="DF172" s="57"/>
      <c r="DG172" s="57"/>
      <c r="DH172" s="57"/>
      <c r="DI172" s="57"/>
      <c r="DJ172" s="57"/>
      <c r="DK172" s="57"/>
    </row>
    <row r="173" spans="1:115" ht="30" customHeight="1" x14ac:dyDescent="0.25">
      <c r="A173" s="58" t="s">
        <v>232</v>
      </c>
      <c r="B173" s="57">
        <v>72.989997863769531</v>
      </c>
      <c r="C173" s="67">
        <v>73.650000000000006</v>
      </c>
      <c r="D173" s="67">
        <v>73.650000000000006</v>
      </c>
      <c r="E173" s="67">
        <v>73.650000000000006</v>
      </c>
      <c r="F173" s="67">
        <v>72.13</v>
      </c>
      <c r="G173" s="6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  <c r="CJ173" s="57"/>
      <c r="CK173" s="57"/>
      <c r="CL173" s="57"/>
      <c r="CM173" s="57"/>
      <c r="CN173" s="57"/>
      <c r="CO173" s="57"/>
      <c r="CP173" s="57"/>
      <c r="CQ173" s="57"/>
      <c r="CR173" s="57"/>
      <c r="CS173" s="57"/>
      <c r="CT173" s="57"/>
      <c r="CU173" s="57"/>
      <c r="CV173" s="57"/>
      <c r="CW173" s="57"/>
      <c r="CX173" s="57"/>
      <c r="CY173" s="57"/>
      <c r="CZ173" s="57"/>
      <c r="DA173" s="57"/>
      <c r="DB173" s="57"/>
      <c r="DC173" s="57"/>
      <c r="DD173" s="57"/>
      <c r="DE173" s="57"/>
      <c r="DF173" s="57"/>
      <c r="DG173" s="57"/>
      <c r="DH173" s="57"/>
      <c r="DI173" s="57"/>
      <c r="DJ173" s="57"/>
      <c r="DK173" s="57"/>
    </row>
    <row r="174" spans="1:115" ht="30" customHeight="1" x14ac:dyDescent="0.25">
      <c r="A174" s="58" t="s">
        <v>233</v>
      </c>
      <c r="B174" s="57">
        <v>55.639999389648438</v>
      </c>
      <c r="C174" s="67">
        <v>56.24</v>
      </c>
      <c r="D174" s="67">
        <v>56.24</v>
      </c>
      <c r="E174" s="67">
        <v>56.24</v>
      </c>
      <c r="F174" s="67">
        <v>56.04</v>
      </c>
      <c r="G174" s="6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  <c r="CJ174" s="57"/>
      <c r="CK174" s="57"/>
      <c r="CL174" s="57"/>
      <c r="CM174" s="57"/>
      <c r="CN174" s="57"/>
      <c r="CO174" s="57"/>
      <c r="CP174" s="57"/>
      <c r="CQ174" s="57"/>
      <c r="CR174" s="57"/>
      <c r="CS174" s="57"/>
      <c r="CT174" s="57"/>
      <c r="CU174" s="57"/>
      <c r="CV174" s="57"/>
      <c r="CW174" s="57"/>
      <c r="CX174" s="57"/>
      <c r="CY174" s="57"/>
      <c r="CZ174" s="57"/>
      <c r="DA174" s="57"/>
      <c r="DB174" s="57"/>
      <c r="DC174" s="57"/>
      <c r="DD174" s="57"/>
      <c r="DE174" s="57"/>
      <c r="DF174" s="57"/>
      <c r="DG174" s="57"/>
      <c r="DH174" s="57"/>
      <c r="DI174" s="57"/>
      <c r="DJ174" s="57"/>
      <c r="DK174" s="57"/>
    </row>
    <row r="175" spans="1:115" ht="30" customHeight="1" x14ac:dyDescent="0.25">
      <c r="A175" s="58" t="s">
        <v>373</v>
      </c>
      <c r="B175" s="57">
        <v>30.829999923706055</v>
      </c>
      <c r="C175" s="67">
        <v>26.95</v>
      </c>
      <c r="D175" s="67">
        <v>26.95</v>
      </c>
      <c r="E175" s="67">
        <v>26.95</v>
      </c>
      <c r="F175" s="67">
        <v>27.6</v>
      </c>
      <c r="G175" s="6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  <c r="CJ175" s="57"/>
      <c r="CK175" s="57"/>
      <c r="CL175" s="57"/>
      <c r="CM175" s="57"/>
      <c r="CN175" s="57"/>
      <c r="CO175" s="57"/>
      <c r="CP175" s="57"/>
      <c r="CQ175" s="57"/>
      <c r="CR175" s="57"/>
      <c r="CS175" s="57"/>
      <c r="CT175" s="57"/>
      <c r="CU175" s="57"/>
      <c r="CV175" s="57"/>
      <c r="CW175" s="57"/>
      <c r="CX175" s="57"/>
      <c r="CY175" s="57"/>
      <c r="CZ175" s="57"/>
      <c r="DA175" s="57"/>
      <c r="DB175" s="57"/>
      <c r="DC175" s="57"/>
      <c r="DD175" s="57"/>
      <c r="DE175" s="57"/>
      <c r="DF175" s="57"/>
      <c r="DG175" s="57"/>
      <c r="DH175" s="57"/>
      <c r="DI175" s="57"/>
      <c r="DJ175" s="57"/>
      <c r="DK175" s="57"/>
    </row>
    <row r="176" spans="1:115" ht="30" customHeight="1" x14ac:dyDescent="0.25">
      <c r="A176" s="58" t="s">
        <v>234</v>
      </c>
      <c r="B176" s="57">
        <v>34.729999542236328</v>
      </c>
      <c r="C176" s="67">
        <v>35.409999999999997</v>
      </c>
      <c r="D176" s="67">
        <v>35.409999999999997</v>
      </c>
      <c r="E176" s="67">
        <v>35.409999999999997</v>
      </c>
      <c r="F176" s="67">
        <v>35.42</v>
      </c>
      <c r="G176" s="6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  <c r="CJ176" s="57"/>
      <c r="CK176" s="57"/>
      <c r="CL176" s="57"/>
      <c r="CM176" s="57"/>
      <c r="CN176" s="57"/>
      <c r="CO176" s="57"/>
      <c r="CP176" s="57"/>
      <c r="CQ176" s="57"/>
      <c r="CR176" s="57"/>
      <c r="CS176" s="57"/>
      <c r="CT176" s="57"/>
      <c r="CU176" s="57"/>
      <c r="CV176" s="57"/>
      <c r="CW176" s="57"/>
      <c r="CX176" s="57"/>
      <c r="CY176" s="57"/>
      <c r="CZ176" s="57"/>
      <c r="DA176" s="57"/>
      <c r="DB176" s="57"/>
      <c r="DC176" s="57"/>
      <c r="DD176" s="57"/>
      <c r="DE176" s="57"/>
      <c r="DF176" s="57"/>
      <c r="DG176" s="57"/>
      <c r="DH176" s="57"/>
      <c r="DI176" s="57"/>
      <c r="DJ176" s="57"/>
      <c r="DK176" s="57"/>
    </row>
    <row r="177" spans="1:115" ht="30" customHeight="1" x14ac:dyDescent="0.25">
      <c r="A177" s="58" t="s">
        <v>235</v>
      </c>
      <c r="B177" s="57">
        <v>72.769996643066406</v>
      </c>
      <c r="C177" s="67">
        <v>71.95</v>
      </c>
      <c r="D177" s="67">
        <v>71.95</v>
      </c>
      <c r="E177" s="67">
        <v>71.95</v>
      </c>
      <c r="F177" s="67">
        <v>72.27</v>
      </c>
      <c r="G177" s="6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  <c r="CJ177" s="57"/>
      <c r="CK177" s="57"/>
      <c r="CL177" s="57"/>
      <c r="CM177" s="57"/>
      <c r="CN177" s="57"/>
      <c r="CO177" s="57"/>
      <c r="CP177" s="57"/>
      <c r="CQ177" s="57"/>
      <c r="CR177" s="57"/>
      <c r="CS177" s="57"/>
      <c r="CT177" s="57"/>
      <c r="CU177" s="57"/>
      <c r="CV177" s="57"/>
      <c r="CW177" s="57"/>
      <c r="CX177" s="57"/>
      <c r="CY177" s="57"/>
      <c r="CZ177" s="57"/>
      <c r="DA177" s="57"/>
      <c r="DB177" s="57"/>
      <c r="DC177" s="57"/>
      <c r="DD177" s="57"/>
      <c r="DE177" s="57"/>
      <c r="DF177" s="57"/>
      <c r="DG177" s="57"/>
      <c r="DH177" s="57"/>
      <c r="DI177" s="57"/>
      <c r="DJ177" s="57"/>
      <c r="DK177" s="57"/>
    </row>
    <row r="178" spans="1:115" ht="30" customHeight="1" x14ac:dyDescent="0.25">
      <c r="A178" s="58" t="s">
        <v>236</v>
      </c>
      <c r="B178" s="57">
        <v>53.409999847412109</v>
      </c>
      <c r="C178" s="67">
        <v>53.42</v>
      </c>
      <c r="D178" s="67">
        <v>53.42</v>
      </c>
      <c r="E178" s="67">
        <v>53.42</v>
      </c>
      <c r="F178" s="67">
        <v>54.09</v>
      </c>
      <c r="G178" s="6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  <c r="CJ178" s="57"/>
      <c r="CK178" s="57"/>
      <c r="CL178" s="57"/>
      <c r="CM178" s="57"/>
      <c r="CN178" s="57"/>
      <c r="CO178" s="57"/>
      <c r="CP178" s="57"/>
      <c r="CQ178" s="57"/>
      <c r="CR178" s="57"/>
      <c r="CS178" s="57"/>
      <c r="CT178" s="57"/>
      <c r="CU178" s="57"/>
      <c r="CV178" s="57"/>
      <c r="CW178" s="57"/>
      <c r="CX178" s="57"/>
      <c r="CY178" s="57"/>
      <c r="CZ178" s="57"/>
      <c r="DA178" s="57"/>
      <c r="DB178" s="57"/>
      <c r="DC178" s="57"/>
      <c r="DD178" s="57"/>
      <c r="DE178" s="57"/>
      <c r="DF178" s="57"/>
      <c r="DG178" s="57"/>
      <c r="DH178" s="57"/>
      <c r="DI178" s="57"/>
      <c r="DJ178" s="57"/>
      <c r="DK178" s="57"/>
    </row>
    <row r="179" spans="1:115" ht="30" customHeight="1" x14ac:dyDescent="0.25">
      <c r="A179" s="58" t="s">
        <v>237</v>
      </c>
      <c r="B179" s="57">
        <v>66.069999694824219</v>
      </c>
      <c r="C179" s="67">
        <v>65.709999999999994</v>
      </c>
      <c r="D179" s="67">
        <v>65.709999999999994</v>
      </c>
      <c r="E179" s="67">
        <v>65.709999999999994</v>
      </c>
      <c r="F179" s="67">
        <v>66.14</v>
      </c>
      <c r="G179" s="6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  <c r="CJ179" s="57"/>
      <c r="CK179" s="57"/>
      <c r="CL179" s="57"/>
      <c r="CM179" s="57"/>
      <c r="CN179" s="57"/>
      <c r="CO179" s="57"/>
      <c r="CP179" s="57"/>
      <c r="CQ179" s="57"/>
      <c r="CR179" s="57"/>
      <c r="CS179" s="57"/>
      <c r="CT179" s="57"/>
      <c r="CU179" s="57"/>
      <c r="CV179" s="57"/>
      <c r="CW179" s="57"/>
      <c r="CX179" s="57"/>
      <c r="CY179" s="57"/>
      <c r="CZ179" s="57"/>
      <c r="DA179" s="57"/>
      <c r="DB179" s="57"/>
      <c r="DC179" s="57"/>
      <c r="DD179" s="57"/>
      <c r="DE179" s="57"/>
      <c r="DF179" s="57"/>
      <c r="DG179" s="57"/>
      <c r="DH179" s="57"/>
      <c r="DI179" s="57"/>
      <c r="DJ179" s="57"/>
      <c r="DK179" s="57"/>
    </row>
    <row r="180" spans="1:115" ht="30" customHeight="1" x14ac:dyDescent="0.25">
      <c r="A180" s="58" t="s">
        <v>238</v>
      </c>
      <c r="B180" s="57">
        <v>33.959999084472656</v>
      </c>
      <c r="C180" s="67">
        <v>35.1</v>
      </c>
      <c r="D180" s="67">
        <v>35.1</v>
      </c>
      <c r="E180" s="67">
        <v>35.1</v>
      </c>
      <c r="F180" s="67">
        <v>34.54</v>
      </c>
      <c r="G180" s="6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  <c r="CJ180" s="57"/>
      <c r="CK180" s="57"/>
      <c r="CL180" s="57"/>
      <c r="CM180" s="57"/>
      <c r="CN180" s="57"/>
      <c r="CO180" s="57"/>
      <c r="CP180" s="57"/>
      <c r="CQ180" s="57"/>
      <c r="CR180" s="57"/>
      <c r="CS180" s="57"/>
      <c r="CT180" s="57"/>
      <c r="CU180" s="57"/>
      <c r="CV180" s="57"/>
      <c r="CW180" s="57"/>
      <c r="CX180" s="57"/>
      <c r="CY180" s="57"/>
      <c r="CZ180" s="57"/>
      <c r="DA180" s="57"/>
      <c r="DB180" s="57"/>
      <c r="DC180" s="57"/>
      <c r="DD180" s="57"/>
      <c r="DE180" s="57"/>
      <c r="DF180" s="57"/>
      <c r="DG180" s="57"/>
      <c r="DH180" s="57"/>
      <c r="DI180" s="57"/>
      <c r="DJ180" s="57"/>
      <c r="DK180" s="57"/>
    </row>
    <row r="181" spans="1:115" ht="30" customHeight="1" x14ac:dyDescent="0.25">
      <c r="A181" s="58" t="s">
        <v>63</v>
      </c>
      <c r="B181" s="57">
        <v>0.4050000011920929</v>
      </c>
      <c r="C181" s="67">
        <v>0.4</v>
      </c>
      <c r="D181" s="67">
        <v>0.4</v>
      </c>
      <c r="E181" s="67">
        <v>0.4</v>
      </c>
      <c r="F181" s="67">
        <v>0.38500000000000001</v>
      </c>
      <c r="G181" s="6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  <c r="CJ181" s="57"/>
      <c r="CK181" s="57"/>
      <c r="CL181" s="57"/>
      <c r="CM181" s="57"/>
      <c r="CN181" s="57"/>
      <c r="CO181" s="57"/>
      <c r="CP181" s="57"/>
      <c r="CQ181" s="57"/>
      <c r="CR181" s="57"/>
      <c r="CS181" s="57"/>
      <c r="CT181" s="57"/>
      <c r="CU181" s="57"/>
      <c r="CV181" s="57"/>
      <c r="CW181" s="57"/>
      <c r="CX181" s="57"/>
      <c r="CY181" s="57"/>
      <c r="CZ181" s="57"/>
      <c r="DA181" s="57"/>
      <c r="DB181" s="57"/>
      <c r="DC181" s="57"/>
      <c r="DD181" s="57"/>
      <c r="DE181" s="57"/>
      <c r="DF181" s="57"/>
      <c r="DG181" s="57"/>
      <c r="DH181" s="57"/>
      <c r="DI181" s="57"/>
      <c r="DJ181" s="57"/>
      <c r="DK181" s="57"/>
    </row>
    <row r="182" spans="1:115" ht="30" customHeight="1" x14ac:dyDescent="0.25">
      <c r="A182" s="58" t="s">
        <v>239</v>
      </c>
      <c r="B182" s="57">
        <v>94.970001220703125</v>
      </c>
      <c r="C182" s="67">
        <v>96.6</v>
      </c>
      <c r="D182" s="67">
        <v>96.6</v>
      </c>
      <c r="E182" s="67">
        <v>96.6</v>
      </c>
      <c r="F182" s="67">
        <v>95.76</v>
      </c>
      <c r="G182" s="6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  <c r="CJ182" s="57"/>
      <c r="CK182" s="57"/>
      <c r="CL182" s="57"/>
      <c r="CM182" s="57"/>
      <c r="CN182" s="57"/>
      <c r="CO182" s="57"/>
      <c r="CP182" s="57"/>
      <c r="CQ182" s="57"/>
      <c r="CR182" s="57"/>
      <c r="CS182" s="57"/>
      <c r="CT182" s="57"/>
      <c r="CU182" s="57"/>
      <c r="CV182" s="57"/>
      <c r="CW182" s="57"/>
      <c r="CX182" s="57"/>
      <c r="CY182" s="57"/>
      <c r="CZ182" s="57"/>
      <c r="DA182" s="57"/>
      <c r="DB182" s="57"/>
      <c r="DC182" s="57"/>
      <c r="DD182" s="57"/>
      <c r="DE182" s="57"/>
      <c r="DF182" s="57"/>
      <c r="DG182" s="57"/>
      <c r="DH182" s="57"/>
      <c r="DI182" s="57"/>
      <c r="DJ182" s="57"/>
      <c r="DK182" s="57"/>
    </row>
    <row r="183" spans="1:115" ht="30" customHeight="1" x14ac:dyDescent="0.25">
      <c r="A183" s="58" t="s">
        <v>386</v>
      </c>
      <c r="B183" s="57">
        <v>35.274074554443359</v>
      </c>
      <c r="C183" s="67">
        <v>35.741</v>
      </c>
      <c r="D183" s="67">
        <v>32.628999999999998</v>
      </c>
      <c r="E183" s="67">
        <v>33.625489999999999</v>
      </c>
      <c r="F183" s="67">
        <v>29.704685000000001</v>
      </c>
      <c r="G183" s="6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  <c r="CJ183" s="57"/>
      <c r="CK183" s="57"/>
      <c r="CL183" s="57"/>
      <c r="CM183" s="57"/>
      <c r="CN183" s="57"/>
      <c r="CO183" s="57"/>
      <c r="CP183" s="57"/>
      <c r="CQ183" s="57"/>
      <c r="CR183" s="57"/>
      <c r="CS183" s="57"/>
      <c r="CT183" s="57"/>
      <c r="CU183" s="57"/>
      <c r="CV183" s="57"/>
      <c r="CW183" s="57"/>
      <c r="CX183" s="57"/>
      <c r="CY183" s="57"/>
      <c r="CZ183" s="57"/>
      <c r="DA183" s="57"/>
      <c r="DB183" s="57"/>
      <c r="DC183" s="57"/>
      <c r="DD183" s="57"/>
      <c r="DE183" s="57"/>
      <c r="DF183" s="57"/>
      <c r="DG183" s="57"/>
      <c r="DH183" s="57"/>
      <c r="DI183" s="57"/>
      <c r="DJ183" s="57"/>
      <c r="DK183" s="57"/>
    </row>
    <row r="184" spans="1:115" ht="30" customHeight="1" x14ac:dyDescent="0.25">
      <c r="A184" s="58" t="s">
        <v>240</v>
      </c>
      <c r="B184" s="57">
        <v>50.180000305175781</v>
      </c>
      <c r="C184" s="67">
        <v>50.45</v>
      </c>
      <c r="D184" s="67">
        <v>50.45</v>
      </c>
      <c r="E184" s="67">
        <v>50.45</v>
      </c>
      <c r="F184" s="67">
        <v>49.53</v>
      </c>
      <c r="G184" s="6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7"/>
      <c r="CL184" s="57"/>
      <c r="CM184" s="57"/>
      <c r="CN184" s="57"/>
      <c r="CO184" s="57"/>
      <c r="CP184" s="57"/>
      <c r="CQ184" s="57"/>
      <c r="CR184" s="57"/>
      <c r="CS184" s="57"/>
      <c r="CT184" s="57"/>
      <c r="CU184" s="57"/>
      <c r="CV184" s="57"/>
      <c r="CW184" s="57"/>
      <c r="CX184" s="57"/>
      <c r="CY184" s="57"/>
      <c r="CZ184" s="57"/>
      <c r="DA184" s="57"/>
      <c r="DB184" s="57"/>
      <c r="DC184" s="57"/>
      <c r="DD184" s="57"/>
      <c r="DE184" s="57"/>
      <c r="DF184" s="57"/>
      <c r="DG184" s="57"/>
      <c r="DH184" s="57"/>
      <c r="DI184" s="57"/>
      <c r="DJ184" s="57"/>
      <c r="DK184" s="57"/>
    </row>
    <row r="185" spans="1:115" ht="30" customHeight="1" x14ac:dyDescent="0.25">
      <c r="A185" s="58" t="s">
        <v>241</v>
      </c>
      <c r="B185" s="57">
        <v>22.290000915527344</v>
      </c>
      <c r="C185" s="67">
        <v>22.71</v>
      </c>
      <c r="D185" s="67">
        <v>22.71</v>
      </c>
      <c r="E185" s="67">
        <v>22.71</v>
      </c>
      <c r="F185" s="67">
        <v>23.06</v>
      </c>
      <c r="G185" s="6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  <c r="CJ185" s="57"/>
      <c r="CK185" s="57"/>
      <c r="CL185" s="57"/>
      <c r="CM185" s="57"/>
      <c r="CN185" s="57"/>
      <c r="CO185" s="57"/>
      <c r="CP185" s="57"/>
      <c r="CQ185" s="57"/>
      <c r="CR185" s="57"/>
      <c r="CS185" s="57"/>
      <c r="CT185" s="57"/>
      <c r="CU185" s="57"/>
      <c r="CV185" s="57"/>
      <c r="CW185" s="57"/>
      <c r="CX185" s="57"/>
      <c r="CY185" s="57"/>
      <c r="CZ185" s="57"/>
      <c r="DA185" s="57"/>
      <c r="DB185" s="57"/>
      <c r="DC185" s="57"/>
      <c r="DD185" s="57"/>
      <c r="DE185" s="57"/>
      <c r="DF185" s="57"/>
      <c r="DG185" s="57"/>
      <c r="DH185" s="57"/>
      <c r="DI185" s="57"/>
      <c r="DJ185" s="57"/>
      <c r="DK185" s="57"/>
    </row>
    <row r="186" spans="1:115" ht="30" customHeight="1" x14ac:dyDescent="0.25">
      <c r="A186" s="58" t="s">
        <v>387</v>
      </c>
      <c r="B186" s="57">
        <v>222.78532409667969</v>
      </c>
      <c r="C186" s="67">
        <v>221.78226000000001</v>
      </c>
      <c r="D186" s="67">
        <v>209.43053</v>
      </c>
      <c r="E186" s="67">
        <v>216.03209000000001</v>
      </c>
      <c r="F186" s="67">
        <v>195.74284</v>
      </c>
      <c r="G186" s="6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  <c r="CJ186" s="57"/>
      <c r="CK186" s="57"/>
      <c r="CL186" s="57"/>
      <c r="CM186" s="57"/>
      <c r="CN186" s="57"/>
      <c r="CO186" s="57"/>
      <c r="CP186" s="57"/>
      <c r="CQ186" s="57"/>
      <c r="CR186" s="57"/>
      <c r="CS186" s="57"/>
      <c r="CT186" s="57"/>
      <c r="CU186" s="57"/>
      <c r="CV186" s="57"/>
      <c r="CW186" s="57"/>
      <c r="CX186" s="57"/>
      <c r="CY186" s="57"/>
      <c r="CZ186" s="57"/>
      <c r="DA186" s="57"/>
      <c r="DB186" s="57"/>
      <c r="DC186" s="57"/>
      <c r="DD186" s="57"/>
      <c r="DE186" s="57"/>
      <c r="DF186" s="57"/>
      <c r="DG186" s="57"/>
      <c r="DH186" s="57"/>
      <c r="DI186" s="57"/>
      <c r="DJ186" s="57"/>
      <c r="DK186" s="57"/>
    </row>
    <row r="187" spans="1:115" ht="30" customHeight="1" x14ac:dyDescent="0.25">
      <c r="A187" s="58" t="s">
        <v>242</v>
      </c>
      <c r="B187" s="57">
        <v>4.3499999046325684</v>
      </c>
      <c r="C187" s="67">
        <v>4.25</v>
      </c>
      <c r="D187" s="67">
        <v>4.25</v>
      </c>
      <c r="E187" s="67">
        <v>4.25</v>
      </c>
      <c r="F187" s="67">
        <v>4.3</v>
      </c>
      <c r="G187" s="6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  <c r="CJ187" s="57"/>
      <c r="CK187" s="57"/>
      <c r="CL187" s="57"/>
      <c r="CM187" s="57"/>
      <c r="CN187" s="57"/>
      <c r="CO187" s="57"/>
      <c r="CP187" s="57"/>
      <c r="CQ187" s="57"/>
      <c r="CR187" s="57"/>
      <c r="CS187" s="57"/>
      <c r="CT187" s="57"/>
      <c r="CU187" s="57"/>
      <c r="CV187" s="57"/>
      <c r="CW187" s="57"/>
      <c r="CX187" s="57"/>
      <c r="CY187" s="57"/>
      <c r="CZ187" s="57"/>
      <c r="DA187" s="57"/>
      <c r="DB187" s="57"/>
      <c r="DC187" s="57"/>
      <c r="DD187" s="57"/>
      <c r="DE187" s="57"/>
      <c r="DF187" s="57"/>
      <c r="DG187" s="57"/>
      <c r="DH187" s="57"/>
      <c r="DI187" s="57"/>
      <c r="DJ187" s="57"/>
      <c r="DK187" s="57"/>
    </row>
    <row r="188" spans="1:115" ht="30" customHeight="1" x14ac:dyDescent="0.25">
      <c r="A188" s="58" t="s">
        <v>243</v>
      </c>
      <c r="B188" s="57">
        <v>90.029998779296875</v>
      </c>
      <c r="C188" s="67">
        <v>89.24</v>
      </c>
      <c r="D188" s="67">
        <v>89.24</v>
      </c>
      <c r="E188" s="67">
        <v>89.24</v>
      </c>
      <c r="F188" s="67">
        <v>89.7</v>
      </c>
      <c r="G188" s="6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M188" s="57"/>
      <c r="CN188" s="57"/>
      <c r="CO188" s="57"/>
      <c r="CP188" s="57"/>
      <c r="CQ188" s="57"/>
      <c r="CR188" s="57"/>
      <c r="CS188" s="57"/>
      <c r="CT188" s="57"/>
      <c r="CU188" s="57"/>
      <c r="CV188" s="57"/>
      <c r="CW188" s="57"/>
      <c r="CX188" s="57"/>
      <c r="CY188" s="57"/>
      <c r="CZ188" s="57"/>
      <c r="DA188" s="57"/>
      <c r="DB188" s="57"/>
      <c r="DC188" s="57"/>
      <c r="DD188" s="57"/>
      <c r="DE188" s="57"/>
      <c r="DF188" s="57"/>
      <c r="DG188" s="57"/>
      <c r="DH188" s="57"/>
      <c r="DI188" s="57"/>
      <c r="DJ188" s="57"/>
      <c r="DK188" s="57"/>
    </row>
    <row r="189" spans="1:115" ht="30" customHeight="1" x14ac:dyDescent="0.25">
      <c r="A189" s="58" t="s">
        <v>244</v>
      </c>
      <c r="B189" s="57">
        <v>18.319999694824219</v>
      </c>
      <c r="C189" s="67">
        <v>17.940000000000001</v>
      </c>
      <c r="D189" s="67">
        <v>17.940000000000001</v>
      </c>
      <c r="E189" s="67">
        <v>17.940000000000001</v>
      </c>
      <c r="F189" s="67">
        <v>18.64</v>
      </c>
      <c r="G189" s="6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  <c r="CJ189" s="57"/>
      <c r="CK189" s="57"/>
      <c r="CL189" s="57"/>
      <c r="CM189" s="57"/>
      <c r="CN189" s="57"/>
      <c r="CO189" s="57"/>
      <c r="CP189" s="57"/>
      <c r="CQ189" s="57"/>
      <c r="CR189" s="57"/>
      <c r="CS189" s="57"/>
      <c r="CT189" s="57"/>
      <c r="CU189" s="57"/>
      <c r="CV189" s="57"/>
      <c r="CW189" s="57"/>
      <c r="CX189" s="57"/>
      <c r="CY189" s="57"/>
      <c r="CZ189" s="57"/>
      <c r="DA189" s="57"/>
      <c r="DB189" s="57"/>
      <c r="DC189" s="57"/>
      <c r="DD189" s="57"/>
      <c r="DE189" s="57"/>
      <c r="DF189" s="57"/>
      <c r="DG189" s="57"/>
      <c r="DH189" s="57"/>
      <c r="DI189" s="57"/>
      <c r="DJ189" s="57"/>
      <c r="DK189" s="57"/>
    </row>
    <row r="190" spans="1:115" ht="30" customHeight="1" x14ac:dyDescent="0.25">
      <c r="A190" s="58" t="s">
        <v>245</v>
      </c>
      <c r="B190" s="57">
        <v>17.559999465942383</v>
      </c>
      <c r="C190" s="67">
        <v>17.05</v>
      </c>
      <c r="D190" s="67">
        <v>17.05</v>
      </c>
      <c r="E190" s="67">
        <v>17.05</v>
      </c>
      <c r="F190" s="67">
        <v>17.7</v>
      </c>
      <c r="G190" s="6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  <c r="CJ190" s="57"/>
      <c r="CK190" s="57"/>
      <c r="CL190" s="57"/>
      <c r="CM190" s="57"/>
      <c r="CN190" s="57"/>
      <c r="CO190" s="57"/>
      <c r="CP190" s="57"/>
      <c r="CQ190" s="57"/>
      <c r="CR190" s="57"/>
      <c r="CS190" s="57"/>
      <c r="CT190" s="57"/>
      <c r="CU190" s="57"/>
      <c r="CV190" s="57"/>
      <c r="CW190" s="57"/>
      <c r="CX190" s="57"/>
      <c r="CY190" s="57"/>
      <c r="CZ190" s="57"/>
      <c r="DA190" s="57"/>
      <c r="DB190" s="57"/>
      <c r="DC190" s="57"/>
      <c r="DD190" s="57"/>
      <c r="DE190" s="57"/>
      <c r="DF190" s="57"/>
      <c r="DG190" s="57"/>
      <c r="DH190" s="57"/>
      <c r="DI190" s="57"/>
      <c r="DJ190" s="57"/>
      <c r="DK190" s="57"/>
    </row>
    <row r="191" spans="1:115" ht="30" customHeight="1" x14ac:dyDescent="0.25">
      <c r="A191" s="58" t="s">
        <v>246</v>
      </c>
      <c r="B191" s="57">
        <v>20.860000610351563</v>
      </c>
      <c r="C191" s="67">
        <v>20.68</v>
      </c>
      <c r="D191" s="67">
        <v>20.68</v>
      </c>
      <c r="E191" s="67">
        <v>20.68</v>
      </c>
      <c r="F191" s="67">
        <v>20.69</v>
      </c>
      <c r="G191" s="6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  <c r="CJ191" s="57"/>
      <c r="CK191" s="57"/>
      <c r="CL191" s="57"/>
      <c r="CM191" s="57"/>
      <c r="CN191" s="57"/>
      <c r="CO191" s="57"/>
      <c r="CP191" s="57"/>
      <c r="CQ191" s="57"/>
      <c r="CR191" s="57"/>
      <c r="CS191" s="57"/>
      <c r="CT191" s="57"/>
      <c r="CU191" s="57"/>
      <c r="CV191" s="57"/>
      <c r="CW191" s="57"/>
      <c r="CX191" s="57"/>
      <c r="CY191" s="57"/>
      <c r="CZ191" s="57"/>
      <c r="DA191" s="57"/>
      <c r="DB191" s="57"/>
      <c r="DC191" s="57"/>
      <c r="DD191" s="57"/>
      <c r="DE191" s="57"/>
      <c r="DF191" s="57"/>
      <c r="DG191" s="57"/>
      <c r="DH191" s="57"/>
      <c r="DI191" s="57"/>
      <c r="DJ191" s="57"/>
      <c r="DK191" s="57"/>
    </row>
    <row r="192" spans="1:115" ht="30" customHeight="1" x14ac:dyDescent="0.25">
      <c r="A192" s="58" t="s">
        <v>388</v>
      </c>
      <c r="B192" s="57">
        <v>1.9697607755661011</v>
      </c>
      <c r="C192" s="67">
        <v>2.0081120000000001</v>
      </c>
      <c r="D192" s="67">
        <v>1.8586096999999999</v>
      </c>
      <c r="E192" s="67">
        <v>2.0044385999999998</v>
      </c>
      <c r="F192" s="67">
        <v>1.8124914000000001</v>
      </c>
      <c r="G192" s="6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  <c r="CJ192" s="57"/>
      <c r="CK192" s="57"/>
      <c r="CL192" s="57"/>
      <c r="CM192" s="57"/>
      <c r="CN192" s="57"/>
      <c r="CO192" s="57"/>
      <c r="CP192" s="57"/>
      <c r="CQ192" s="57"/>
      <c r="CR192" s="57"/>
      <c r="CS192" s="57"/>
      <c r="CT192" s="57"/>
      <c r="CU192" s="57"/>
      <c r="CV192" s="57"/>
      <c r="CW192" s="57"/>
      <c r="CX192" s="57"/>
      <c r="CY192" s="57"/>
      <c r="CZ192" s="57"/>
      <c r="DA192" s="57"/>
      <c r="DB192" s="57"/>
      <c r="DC192" s="57"/>
      <c r="DD192" s="57"/>
      <c r="DE192" s="57"/>
      <c r="DF192" s="57"/>
      <c r="DG192" s="57"/>
      <c r="DH192" s="57"/>
      <c r="DI192" s="57"/>
      <c r="DJ192" s="57"/>
      <c r="DK192" s="57"/>
    </row>
    <row r="193" spans="1:115" ht="30" customHeight="1" x14ac:dyDescent="0.25">
      <c r="A193" s="58" t="s">
        <v>247</v>
      </c>
      <c r="B193" s="57">
        <v>232.44999694824219</v>
      </c>
      <c r="C193" s="67">
        <v>233.38</v>
      </c>
      <c r="D193" s="67">
        <v>233.38</v>
      </c>
      <c r="E193" s="67">
        <v>233.38</v>
      </c>
      <c r="F193" s="67">
        <v>231.69</v>
      </c>
      <c r="G193" s="6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  <c r="CJ193" s="57"/>
      <c r="CK193" s="57"/>
      <c r="CL193" s="57"/>
      <c r="CM193" s="57"/>
      <c r="CN193" s="57"/>
      <c r="CO193" s="57"/>
      <c r="CP193" s="57"/>
      <c r="CQ193" s="57"/>
      <c r="CR193" s="57"/>
      <c r="CS193" s="57"/>
      <c r="CT193" s="57"/>
      <c r="CU193" s="57"/>
      <c r="CV193" s="57"/>
      <c r="CW193" s="57"/>
      <c r="CX193" s="57"/>
      <c r="CY193" s="57"/>
      <c r="CZ193" s="57"/>
      <c r="DA193" s="57"/>
      <c r="DB193" s="57"/>
      <c r="DC193" s="57"/>
      <c r="DD193" s="57"/>
      <c r="DE193" s="57"/>
      <c r="DF193" s="57"/>
      <c r="DG193" s="57"/>
      <c r="DH193" s="57"/>
      <c r="DI193" s="57"/>
      <c r="DJ193" s="57"/>
      <c r="DK193" s="57"/>
    </row>
    <row r="194" spans="1:115" ht="30" customHeight="1" x14ac:dyDescent="0.25">
      <c r="A194" s="58" t="s">
        <v>248</v>
      </c>
      <c r="B194" s="57">
        <v>151.71000671386719</v>
      </c>
      <c r="C194" s="67">
        <v>155.38</v>
      </c>
      <c r="D194" s="67">
        <v>155.38</v>
      </c>
      <c r="E194" s="67">
        <v>155.38</v>
      </c>
      <c r="F194" s="67">
        <v>153.57</v>
      </c>
      <c r="G194" s="6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  <c r="CJ194" s="57"/>
      <c r="CK194" s="57"/>
      <c r="CL194" s="57"/>
      <c r="CM194" s="57"/>
      <c r="CN194" s="57"/>
      <c r="CO194" s="57"/>
      <c r="CP194" s="57"/>
      <c r="CQ194" s="57"/>
      <c r="CR194" s="57"/>
      <c r="CS194" s="57"/>
      <c r="CT194" s="57"/>
      <c r="CU194" s="57"/>
      <c r="CV194" s="57"/>
      <c r="CW194" s="57"/>
      <c r="CX194" s="57"/>
      <c r="CY194" s="57"/>
      <c r="CZ194" s="57"/>
      <c r="DA194" s="57"/>
      <c r="DB194" s="57"/>
      <c r="DC194" s="57"/>
      <c r="DD194" s="57"/>
      <c r="DE194" s="57"/>
      <c r="DF194" s="57"/>
      <c r="DG194" s="57"/>
      <c r="DH194" s="57"/>
      <c r="DI194" s="57"/>
      <c r="DJ194" s="57"/>
      <c r="DK194" s="57"/>
    </row>
    <row r="195" spans="1:115" ht="30" customHeight="1" x14ac:dyDescent="0.25">
      <c r="A195" s="58" t="s">
        <v>249</v>
      </c>
      <c r="B195" s="57">
        <v>193.86000061035156</v>
      </c>
      <c r="C195" s="67">
        <v>194.94</v>
      </c>
      <c r="D195" s="67">
        <v>194.94</v>
      </c>
      <c r="E195" s="67">
        <v>194.94</v>
      </c>
      <c r="F195" s="67">
        <v>195.03</v>
      </c>
      <c r="G195" s="6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  <c r="CJ195" s="57"/>
      <c r="CK195" s="57"/>
      <c r="CL195" s="57"/>
      <c r="CM195" s="57"/>
      <c r="CN195" s="57"/>
      <c r="CO195" s="57"/>
      <c r="CP195" s="57"/>
      <c r="CQ195" s="57"/>
      <c r="CR195" s="57"/>
      <c r="CS195" s="57"/>
      <c r="CT195" s="57"/>
      <c r="CU195" s="57"/>
      <c r="CV195" s="57"/>
      <c r="CW195" s="57"/>
      <c r="CX195" s="57"/>
      <c r="CY195" s="57"/>
      <c r="CZ195" s="57"/>
      <c r="DA195" s="57"/>
      <c r="DB195" s="57"/>
      <c r="DC195" s="57"/>
      <c r="DD195" s="57"/>
      <c r="DE195" s="57"/>
      <c r="DF195" s="57"/>
      <c r="DG195" s="57"/>
      <c r="DH195" s="57"/>
      <c r="DI195" s="57"/>
      <c r="DJ195" s="57"/>
      <c r="DK195" s="57"/>
    </row>
    <row r="196" spans="1:115" ht="30" customHeight="1" x14ac:dyDescent="0.25">
      <c r="A196" s="58" t="s">
        <v>250</v>
      </c>
      <c r="B196" s="57">
        <v>55.360000610351563</v>
      </c>
      <c r="C196" s="67">
        <v>56.68</v>
      </c>
      <c r="D196" s="67">
        <v>56.68</v>
      </c>
      <c r="E196" s="67">
        <v>56.68</v>
      </c>
      <c r="F196" s="67">
        <v>56.2</v>
      </c>
      <c r="G196" s="6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  <c r="CJ196" s="57"/>
      <c r="CK196" s="57"/>
      <c r="CL196" s="57"/>
      <c r="CM196" s="57"/>
      <c r="CN196" s="57"/>
      <c r="CO196" s="57"/>
      <c r="CP196" s="57"/>
      <c r="CQ196" s="57"/>
      <c r="CR196" s="57"/>
      <c r="CS196" s="57"/>
      <c r="CT196" s="57"/>
      <c r="CU196" s="57"/>
      <c r="CV196" s="57"/>
      <c r="CW196" s="57"/>
      <c r="CX196" s="57"/>
      <c r="CY196" s="57"/>
      <c r="CZ196" s="57"/>
      <c r="DA196" s="57"/>
      <c r="DB196" s="57"/>
      <c r="DC196" s="57"/>
      <c r="DD196" s="57"/>
      <c r="DE196" s="57"/>
      <c r="DF196" s="57"/>
      <c r="DG196" s="57"/>
      <c r="DH196" s="57"/>
      <c r="DI196" s="57"/>
      <c r="DJ196" s="57"/>
      <c r="DK196" s="57"/>
    </row>
    <row r="197" spans="1:115" ht="30" customHeight="1" x14ac:dyDescent="0.25">
      <c r="A197" s="58" t="s">
        <v>251</v>
      </c>
      <c r="B197" s="57">
        <v>123.06999969482422</v>
      </c>
      <c r="C197" s="67">
        <v>123.85</v>
      </c>
      <c r="D197" s="67">
        <v>123.85</v>
      </c>
      <c r="E197" s="67">
        <v>123.85</v>
      </c>
      <c r="F197" s="67">
        <v>123.96</v>
      </c>
      <c r="G197" s="6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  <c r="CJ197" s="57"/>
      <c r="CK197" s="57"/>
      <c r="CL197" s="57"/>
      <c r="CM197" s="57"/>
      <c r="CN197" s="57"/>
      <c r="CO197" s="57"/>
      <c r="CP197" s="57"/>
      <c r="CQ197" s="57"/>
      <c r="CR197" s="57"/>
      <c r="CS197" s="57"/>
      <c r="CT197" s="57"/>
      <c r="CU197" s="57"/>
      <c r="CV197" s="57"/>
      <c r="CW197" s="57"/>
      <c r="CX197" s="57"/>
      <c r="CY197" s="57"/>
      <c r="CZ197" s="57"/>
      <c r="DA197" s="57"/>
      <c r="DB197" s="57"/>
      <c r="DC197" s="57"/>
      <c r="DD197" s="57"/>
      <c r="DE197" s="57"/>
      <c r="DF197" s="57"/>
      <c r="DG197" s="57"/>
      <c r="DH197" s="57"/>
      <c r="DI197" s="57"/>
      <c r="DJ197" s="57"/>
      <c r="DK197" s="57"/>
    </row>
    <row r="198" spans="1:115" ht="30" customHeight="1" x14ac:dyDescent="0.25">
      <c r="A198" s="58" t="s">
        <v>252</v>
      </c>
      <c r="B198" s="57">
        <v>11.25</v>
      </c>
      <c r="C198" s="67">
        <v>11.12</v>
      </c>
      <c r="D198" s="67">
        <v>11.12</v>
      </c>
      <c r="E198" s="67">
        <v>11.12</v>
      </c>
      <c r="F198" s="67">
        <v>10.15</v>
      </c>
      <c r="G198" s="6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  <c r="CJ198" s="57"/>
      <c r="CK198" s="57"/>
      <c r="CL198" s="57"/>
      <c r="CM198" s="57"/>
      <c r="CN198" s="57"/>
      <c r="CO198" s="57"/>
      <c r="CP198" s="57"/>
      <c r="CQ198" s="57"/>
      <c r="CR198" s="57"/>
      <c r="CS198" s="57"/>
      <c r="CT198" s="57"/>
      <c r="CU198" s="57"/>
      <c r="CV198" s="57"/>
      <c r="CW198" s="57"/>
      <c r="CX198" s="57"/>
      <c r="CY198" s="57"/>
      <c r="CZ198" s="57"/>
      <c r="DA198" s="57"/>
      <c r="DB198" s="57"/>
      <c r="DC198" s="57"/>
      <c r="DD198" s="57"/>
      <c r="DE198" s="57"/>
      <c r="DF198" s="57"/>
      <c r="DG198" s="57"/>
      <c r="DH198" s="57"/>
      <c r="DI198" s="57"/>
      <c r="DJ198" s="57"/>
      <c r="DK198" s="57"/>
    </row>
    <row r="199" spans="1:115" ht="30" customHeight="1" x14ac:dyDescent="0.25">
      <c r="A199" s="58" t="s">
        <v>253</v>
      </c>
      <c r="B199" s="57">
        <v>94.230003356933594</v>
      </c>
      <c r="C199" s="67">
        <v>94.26</v>
      </c>
      <c r="D199" s="67">
        <v>94.26</v>
      </c>
      <c r="E199" s="67">
        <v>94.26</v>
      </c>
      <c r="F199" s="67">
        <v>94.25</v>
      </c>
      <c r="G199" s="6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  <c r="CJ199" s="57"/>
      <c r="CK199" s="57"/>
      <c r="CL199" s="57"/>
      <c r="CM199" s="57"/>
      <c r="CN199" s="57"/>
      <c r="CO199" s="57"/>
      <c r="CP199" s="57"/>
      <c r="CQ199" s="57"/>
      <c r="CR199" s="57"/>
      <c r="CS199" s="57"/>
      <c r="CT199" s="57"/>
      <c r="CU199" s="57"/>
      <c r="CV199" s="57"/>
      <c r="CW199" s="57"/>
      <c r="CX199" s="57"/>
      <c r="CY199" s="57"/>
      <c r="CZ199" s="57"/>
      <c r="DA199" s="57"/>
      <c r="DB199" s="57"/>
      <c r="DC199" s="57"/>
      <c r="DD199" s="57"/>
      <c r="DE199" s="57"/>
      <c r="DF199" s="57"/>
      <c r="DG199" s="57"/>
      <c r="DH199" s="57"/>
      <c r="DI199" s="57"/>
      <c r="DJ199" s="57"/>
      <c r="DK199" s="57"/>
    </row>
    <row r="200" spans="1:115" ht="30" customHeight="1" x14ac:dyDescent="0.25">
      <c r="A200" s="58" t="s">
        <v>254</v>
      </c>
      <c r="B200" s="57">
        <v>42.549999237060547</v>
      </c>
      <c r="C200" s="67">
        <v>42.77</v>
      </c>
      <c r="D200" s="67">
        <v>42.77</v>
      </c>
      <c r="E200" s="67">
        <v>42.77</v>
      </c>
      <c r="F200" s="67">
        <v>43.41</v>
      </c>
      <c r="G200" s="6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  <c r="CJ200" s="57"/>
      <c r="CK200" s="57"/>
      <c r="CL200" s="57"/>
      <c r="CM200" s="57"/>
      <c r="CN200" s="57"/>
      <c r="CO200" s="57"/>
      <c r="CP200" s="57"/>
      <c r="CQ200" s="57"/>
      <c r="CR200" s="57"/>
      <c r="CS200" s="57"/>
      <c r="CT200" s="57"/>
      <c r="CU200" s="57"/>
      <c r="CV200" s="57"/>
      <c r="CW200" s="57"/>
      <c r="CX200" s="57"/>
      <c r="CY200" s="57"/>
      <c r="CZ200" s="57"/>
      <c r="DA200" s="57"/>
      <c r="DB200" s="57"/>
      <c r="DC200" s="57"/>
      <c r="DD200" s="57"/>
      <c r="DE200" s="57"/>
      <c r="DF200" s="57"/>
      <c r="DG200" s="57"/>
      <c r="DH200" s="57"/>
      <c r="DI200" s="57"/>
      <c r="DJ200" s="57"/>
      <c r="DK200" s="57"/>
    </row>
    <row r="201" spans="1:115" ht="30" customHeight="1" x14ac:dyDescent="0.25">
      <c r="A201" s="58" t="s">
        <v>255</v>
      </c>
      <c r="B201" s="57">
        <v>359.55999755859375</v>
      </c>
      <c r="C201" s="67">
        <v>351.77</v>
      </c>
      <c r="D201" s="67">
        <v>351.77</v>
      </c>
      <c r="E201" s="67">
        <v>351.77</v>
      </c>
      <c r="F201" s="67">
        <v>353.77</v>
      </c>
      <c r="G201" s="6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  <c r="CJ201" s="57"/>
      <c r="CK201" s="57"/>
      <c r="CL201" s="57"/>
      <c r="CM201" s="57"/>
      <c r="CN201" s="57"/>
      <c r="CO201" s="57"/>
      <c r="CP201" s="57"/>
      <c r="CQ201" s="57"/>
      <c r="CR201" s="57"/>
      <c r="CS201" s="57"/>
      <c r="CT201" s="57"/>
      <c r="CU201" s="57"/>
      <c r="CV201" s="57"/>
      <c r="CW201" s="57"/>
      <c r="CX201" s="57"/>
      <c r="CY201" s="57"/>
      <c r="CZ201" s="57"/>
      <c r="DA201" s="57"/>
      <c r="DB201" s="57"/>
      <c r="DC201" s="57"/>
      <c r="DD201" s="57"/>
      <c r="DE201" s="57"/>
      <c r="DF201" s="57"/>
      <c r="DG201" s="57"/>
      <c r="DH201" s="57"/>
      <c r="DI201" s="57"/>
      <c r="DJ201" s="57"/>
      <c r="DK201" s="57"/>
    </row>
    <row r="202" spans="1:115" ht="30" customHeight="1" x14ac:dyDescent="0.25">
      <c r="A202" s="58" t="s">
        <v>256</v>
      </c>
      <c r="B202" s="57">
        <v>51.619998931884766</v>
      </c>
      <c r="C202" s="67">
        <v>51.96</v>
      </c>
      <c r="D202" s="67">
        <v>51.96</v>
      </c>
      <c r="E202" s="67">
        <v>51.96</v>
      </c>
      <c r="F202" s="67">
        <v>51.68</v>
      </c>
      <c r="G202" s="6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  <c r="CJ202" s="57"/>
      <c r="CK202" s="57"/>
      <c r="CL202" s="57"/>
      <c r="CM202" s="57"/>
      <c r="CN202" s="57"/>
      <c r="CO202" s="57"/>
      <c r="CP202" s="57"/>
      <c r="CQ202" s="57"/>
      <c r="CR202" s="57"/>
      <c r="CS202" s="57"/>
      <c r="CT202" s="57"/>
      <c r="CU202" s="57"/>
      <c r="CV202" s="57"/>
      <c r="CW202" s="57"/>
      <c r="CX202" s="57"/>
      <c r="CY202" s="57"/>
      <c r="CZ202" s="57"/>
      <c r="DA202" s="57"/>
      <c r="DB202" s="57"/>
      <c r="DC202" s="57"/>
      <c r="DD202" s="57"/>
      <c r="DE202" s="57"/>
      <c r="DF202" s="57"/>
      <c r="DG202" s="57"/>
      <c r="DH202" s="57"/>
      <c r="DI202" s="57"/>
      <c r="DJ202" s="57"/>
      <c r="DK202" s="57"/>
    </row>
    <row r="203" spans="1:115" ht="30" customHeight="1" x14ac:dyDescent="0.25">
      <c r="A203" s="58" t="s">
        <v>257</v>
      </c>
      <c r="B203" s="57">
        <v>17.860000610351563</v>
      </c>
      <c r="C203" s="67">
        <v>17.79</v>
      </c>
      <c r="D203" s="67">
        <v>17.79</v>
      </c>
      <c r="E203" s="67">
        <v>17.79</v>
      </c>
      <c r="F203" s="67">
        <v>17.73</v>
      </c>
      <c r="G203" s="6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  <c r="CJ203" s="57"/>
      <c r="CK203" s="57"/>
      <c r="CL203" s="57"/>
      <c r="CM203" s="57"/>
      <c r="CN203" s="57"/>
      <c r="CO203" s="57"/>
      <c r="CP203" s="57"/>
      <c r="CQ203" s="57"/>
      <c r="CR203" s="57"/>
      <c r="CS203" s="57"/>
      <c r="CT203" s="57"/>
      <c r="CU203" s="57"/>
      <c r="CV203" s="57"/>
      <c r="CW203" s="57"/>
      <c r="CX203" s="57"/>
      <c r="CY203" s="57"/>
      <c r="CZ203" s="57"/>
      <c r="DA203" s="57"/>
      <c r="DB203" s="57"/>
      <c r="DC203" s="57"/>
      <c r="DD203" s="57"/>
      <c r="DE203" s="57"/>
      <c r="DF203" s="57"/>
      <c r="DG203" s="57"/>
      <c r="DH203" s="57"/>
      <c r="DI203" s="57"/>
      <c r="DJ203" s="57"/>
      <c r="DK203" s="57"/>
    </row>
    <row r="204" spans="1:115" ht="30" customHeight="1" x14ac:dyDescent="0.25">
      <c r="A204" s="58" t="s">
        <v>258</v>
      </c>
      <c r="B204" s="57">
        <v>250.3699951171875</v>
      </c>
      <c r="C204" s="67">
        <v>249</v>
      </c>
      <c r="D204" s="67">
        <v>249</v>
      </c>
      <c r="E204" s="67">
        <v>249</v>
      </c>
      <c r="F204" s="67">
        <v>245.2</v>
      </c>
      <c r="G204" s="6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  <c r="CJ204" s="57"/>
      <c r="CK204" s="57"/>
      <c r="CL204" s="57"/>
      <c r="CM204" s="57"/>
      <c r="CN204" s="57"/>
      <c r="CO204" s="57"/>
      <c r="CP204" s="57"/>
      <c r="CQ204" s="57"/>
      <c r="CR204" s="57"/>
      <c r="CS204" s="57"/>
      <c r="CT204" s="57"/>
      <c r="CU204" s="57"/>
      <c r="CV204" s="57"/>
      <c r="CW204" s="57"/>
      <c r="CX204" s="57"/>
      <c r="CY204" s="57"/>
      <c r="CZ204" s="57"/>
      <c r="DA204" s="57"/>
      <c r="DB204" s="57"/>
      <c r="DC204" s="57"/>
      <c r="DD204" s="57"/>
      <c r="DE204" s="57"/>
      <c r="DF204" s="57"/>
      <c r="DG204" s="57"/>
      <c r="DH204" s="57"/>
      <c r="DI204" s="57"/>
      <c r="DJ204" s="57"/>
      <c r="DK204" s="57"/>
    </row>
    <row r="205" spans="1:115" ht="30" customHeight="1" x14ac:dyDescent="0.25">
      <c r="A205" s="58" t="s">
        <v>259</v>
      </c>
      <c r="B205" s="57">
        <v>29.920000076293945</v>
      </c>
      <c r="C205" s="67">
        <v>29.12</v>
      </c>
      <c r="D205" s="67">
        <v>29.12</v>
      </c>
      <c r="E205" s="67">
        <v>29.12</v>
      </c>
      <c r="F205" s="67">
        <v>28.83</v>
      </c>
      <c r="G205" s="6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  <c r="CJ205" s="57"/>
      <c r="CK205" s="57"/>
      <c r="CL205" s="57"/>
      <c r="CM205" s="57"/>
      <c r="CN205" s="57"/>
      <c r="CO205" s="57"/>
      <c r="CP205" s="57"/>
      <c r="CQ205" s="57"/>
      <c r="CR205" s="57"/>
      <c r="CS205" s="57"/>
      <c r="CT205" s="57"/>
      <c r="CU205" s="57"/>
      <c r="CV205" s="57"/>
      <c r="CW205" s="57"/>
      <c r="CX205" s="57"/>
      <c r="CY205" s="57"/>
      <c r="CZ205" s="57"/>
      <c r="DA205" s="57"/>
      <c r="DB205" s="57"/>
      <c r="DC205" s="57"/>
      <c r="DD205" s="57"/>
      <c r="DE205" s="57"/>
      <c r="DF205" s="57"/>
      <c r="DG205" s="57"/>
      <c r="DH205" s="57"/>
      <c r="DI205" s="57"/>
      <c r="DJ205" s="57"/>
      <c r="DK205" s="57"/>
    </row>
    <row r="206" spans="1:115" ht="30" customHeight="1" x14ac:dyDescent="0.25">
      <c r="A206" s="58" t="s">
        <v>260</v>
      </c>
      <c r="B206" s="57">
        <v>73.910003662109375</v>
      </c>
      <c r="C206" s="67">
        <v>74.11</v>
      </c>
      <c r="D206" s="67">
        <v>74.11</v>
      </c>
      <c r="E206" s="67">
        <v>74.11</v>
      </c>
      <c r="F206" s="67">
        <v>72.8</v>
      </c>
      <c r="G206" s="6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7"/>
      <c r="CL206" s="57"/>
      <c r="CM206" s="57"/>
      <c r="CN206" s="57"/>
      <c r="CO206" s="57"/>
      <c r="CP206" s="57"/>
      <c r="CQ206" s="57"/>
      <c r="CR206" s="57"/>
      <c r="CS206" s="57"/>
      <c r="CT206" s="57"/>
      <c r="CU206" s="57"/>
      <c r="CV206" s="57"/>
      <c r="CW206" s="57"/>
      <c r="CX206" s="57"/>
      <c r="CY206" s="57"/>
      <c r="CZ206" s="57"/>
      <c r="DA206" s="57"/>
      <c r="DB206" s="57"/>
      <c r="DC206" s="57"/>
      <c r="DD206" s="57"/>
      <c r="DE206" s="57"/>
      <c r="DF206" s="57"/>
      <c r="DG206" s="57"/>
      <c r="DH206" s="57"/>
      <c r="DI206" s="57"/>
      <c r="DJ206" s="57"/>
      <c r="DK206" s="57"/>
    </row>
    <row r="207" spans="1:115" ht="30" customHeight="1" x14ac:dyDescent="0.25">
      <c r="A207" s="58" t="s">
        <v>261</v>
      </c>
      <c r="B207" s="57">
        <v>245.71000671386719</v>
      </c>
      <c r="C207" s="67">
        <v>250.79</v>
      </c>
      <c r="D207" s="67">
        <v>250.79</v>
      </c>
      <c r="E207" s="67">
        <v>250.79</v>
      </c>
      <c r="F207" s="67">
        <v>253.81</v>
      </c>
      <c r="G207" s="6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  <c r="CJ207" s="57"/>
      <c r="CK207" s="57"/>
      <c r="CL207" s="57"/>
      <c r="CM207" s="57"/>
      <c r="CN207" s="57"/>
      <c r="CO207" s="57"/>
      <c r="CP207" s="57"/>
      <c r="CQ207" s="57"/>
      <c r="CR207" s="57"/>
      <c r="CS207" s="57"/>
      <c r="CT207" s="57"/>
      <c r="CU207" s="57"/>
      <c r="CV207" s="57"/>
      <c r="CW207" s="57"/>
      <c r="CX207" s="57"/>
      <c r="CY207" s="57"/>
      <c r="CZ207" s="57"/>
      <c r="DA207" s="57"/>
      <c r="DB207" s="57"/>
      <c r="DC207" s="57"/>
      <c r="DD207" s="57"/>
      <c r="DE207" s="57"/>
      <c r="DF207" s="57"/>
      <c r="DG207" s="57"/>
      <c r="DH207" s="57"/>
      <c r="DI207" s="57"/>
      <c r="DJ207" s="57"/>
      <c r="DK207" s="57"/>
    </row>
    <row r="208" spans="1:115" ht="30" customHeight="1" x14ac:dyDescent="0.25">
      <c r="A208" s="58" t="s">
        <v>262</v>
      </c>
      <c r="B208" s="57">
        <v>136.80999755859375</v>
      </c>
      <c r="C208" s="67">
        <v>137.93</v>
      </c>
      <c r="D208" s="67">
        <v>137.93</v>
      </c>
      <c r="E208" s="67">
        <v>137.93</v>
      </c>
      <c r="F208" s="67">
        <v>143.47999999999999</v>
      </c>
      <c r="G208" s="6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  <c r="CJ208" s="57"/>
      <c r="CK208" s="57"/>
      <c r="CL208" s="57"/>
      <c r="CM208" s="57"/>
      <c r="CN208" s="57"/>
      <c r="CO208" s="57"/>
      <c r="CP208" s="57"/>
      <c r="CQ208" s="57"/>
      <c r="CR208" s="57"/>
      <c r="CS208" s="57"/>
      <c r="CT208" s="57"/>
      <c r="CU208" s="57"/>
      <c r="CV208" s="57"/>
      <c r="CW208" s="57"/>
      <c r="CX208" s="57"/>
      <c r="CY208" s="57"/>
      <c r="CZ208" s="57"/>
      <c r="DA208" s="57"/>
      <c r="DB208" s="57"/>
      <c r="DC208" s="57"/>
      <c r="DD208" s="57"/>
      <c r="DE208" s="57"/>
      <c r="DF208" s="57"/>
      <c r="DG208" s="57"/>
      <c r="DH208" s="57"/>
      <c r="DI208" s="57"/>
      <c r="DJ208" s="57"/>
      <c r="DK208" s="57"/>
    </row>
    <row r="209" spans="1:115" ht="30" customHeight="1" x14ac:dyDescent="0.25">
      <c r="A209" s="58" t="s">
        <v>263</v>
      </c>
      <c r="B209" s="57">
        <v>26.670000076293945</v>
      </c>
      <c r="C209" s="67">
        <v>27.41</v>
      </c>
      <c r="D209" s="67">
        <v>27.41</v>
      </c>
      <c r="E209" s="67">
        <v>27.41</v>
      </c>
      <c r="F209" s="67">
        <v>26.83</v>
      </c>
      <c r="G209" s="6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  <c r="CJ209" s="57"/>
      <c r="CK209" s="57"/>
      <c r="CL209" s="57"/>
      <c r="CM209" s="57"/>
      <c r="CN209" s="57"/>
      <c r="CO209" s="57"/>
      <c r="CP209" s="57"/>
      <c r="CQ209" s="57"/>
      <c r="CR209" s="57"/>
      <c r="CS209" s="57"/>
      <c r="CT209" s="57"/>
      <c r="CU209" s="57"/>
      <c r="CV209" s="57"/>
      <c r="CW209" s="57"/>
      <c r="CX209" s="57"/>
      <c r="CY209" s="57"/>
      <c r="CZ209" s="57"/>
      <c r="DA209" s="57"/>
      <c r="DB209" s="57"/>
      <c r="DC209" s="57"/>
      <c r="DD209" s="57"/>
      <c r="DE209" s="57"/>
      <c r="DF209" s="57"/>
      <c r="DG209" s="57"/>
      <c r="DH209" s="57"/>
      <c r="DI209" s="57"/>
      <c r="DJ209" s="57"/>
      <c r="DK209" s="57"/>
    </row>
    <row r="210" spans="1:115" ht="30" customHeight="1" x14ac:dyDescent="0.25">
      <c r="A210" s="58" t="s">
        <v>264</v>
      </c>
      <c r="B210" s="57">
        <v>79.44000244140625</v>
      </c>
      <c r="C210" s="67">
        <v>78.75</v>
      </c>
      <c r="D210" s="67">
        <v>78.75</v>
      </c>
      <c r="E210" s="67">
        <v>78.75</v>
      </c>
      <c r="F210" s="67">
        <v>77.66</v>
      </c>
      <c r="G210" s="6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  <c r="CJ210" s="57"/>
      <c r="CK210" s="57"/>
      <c r="CL210" s="57"/>
      <c r="CM210" s="57"/>
      <c r="CN210" s="57"/>
      <c r="CO210" s="57"/>
      <c r="CP210" s="57"/>
      <c r="CQ210" s="57"/>
      <c r="CR210" s="57"/>
      <c r="CS210" s="57"/>
      <c r="CT210" s="57"/>
      <c r="CU210" s="57"/>
      <c r="CV210" s="57"/>
      <c r="CW210" s="57"/>
      <c r="CX210" s="57"/>
      <c r="CY210" s="57"/>
      <c r="CZ210" s="57"/>
      <c r="DA210" s="57"/>
      <c r="DB210" s="57"/>
      <c r="DC210" s="57"/>
      <c r="DD210" s="57"/>
      <c r="DE210" s="57"/>
      <c r="DF210" s="57"/>
      <c r="DG210" s="57"/>
      <c r="DH210" s="57"/>
      <c r="DI210" s="57"/>
      <c r="DJ210" s="57"/>
      <c r="DK210" s="57"/>
    </row>
    <row r="211" spans="1:115" ht="30" customHeight="1" x14ac:dyDescent="0.25">
      <c r="A211" s="58" t="s">
        <v>265</v>
      </c>
      <c r="B211" s="57">
        <v>11.310000419616699</v>
      </c>
      <c r="C211" s="67">
        <v>11.13</v>
      </c>
      <c r="D211" s="67">
        <v>11.13</v>
      </c>
      <c r="E211" s="67">
        <v>11.13</v>
      </c>
      <c r="F211" s="67">
        <v>10.96</v>
      </c>
      <c r="G211" s="6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  <c r="CJ211" s="57"/>
      <c r="CK211" s="57"/>
      <c r="CL211" s="57"/>
      <c r="CM211" s="57"/>
      <c r="CN211" s="57"/>
      <c r="CO211" s="57"/>
      <c r="CP211" s="57"/>
      <c r="CQ211" s="57"/>
      <c r="CR211" s="57"/>
      <c r="CS211" s="57"/>
      <c r="CT211" s="57"/>
      <c r="CU211" s="57"/>
      <c r="CV211" s="57"/>
      <c r="CW211" s="57"/>
      <c r="CX211" s="57"/>
      <c r="CY211" s="57"/>
      <c r="CZ211" s="57"/>
      <c r="DA211" s="57"/>
      <c r="DB211" s="57"/>
      <c r="DC211" s="57"/>
      <c r="DD211" s="57"/>
      <c r="DE211" s="57"/>
      <c r="DF211" s="57"/>
      <c r="DG211" s="57"/>
      <c r="DH211" s="57"/>
      <c r="DI211" s="57"/>
      <c r="DJ211" s="57"/>
      <c r="DK211" s="57"/>
    </row>
    <row r="212" spans="1:115" ht="30" customHeight="1" x14ac:dyDescent="0.25">
      <c r="A212" s="58" t="s">
        <v>266</v>
      </c>
      <c r="B212" s="57">
        <v>26.590000152587891</v>
      </c>
      <c r="C212" s="67">
        <v>27.22</v>
      </c>
      <c r="D212" s="67">
        <v>27.22</v>
      </c>
      <c r="E212" s="67">
        <v>27.22</v>
      </c>
      <c r="F212" s="67">
        <v>26.56</v>
      </c>
      <c r="G212" s="6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  <c r="CJ212" s="57"/>
      <c r="CK212" s="57"/>
      <c r="CL212" s="57"/>
      <c r="CM212" s="57"/>
      <c r="CN212" s="57"/>
      <c r="CO212" s="57"/>
      <c r="CP212" s="57"/>
      <c r="CQ212" s="57"/>
      <c r="CR212" s="57"/>
      <c r="CS212" s="57"/>
      <c r="CT212" s="57"/>
      <c r="CU212" s="57"/>
      <c r="CV212" s="57"/>
      <c r="CW212" s="57"/>
      <c r="CX212" s="57"/>
      <c r="CY212" s="57"/>
      <c r="CZ212" s="57"/>
      <c r="DA212" s="57"/>
      <c r="DB212" s="57"/>
      <c r="DC212" s="57"/>
      <c r="DD212" s="57"/>
      <c r="DE212" s="57"/>
      <c r="DF212" s="57"/>
      <c r="DG212" s="57"/>
      <c r="DH212" s="57"/>
      <c r="DI212" s="57"/>
      <c r="DJ212" s="57"/>
      <c r="DK212" s="57"/>
    </row>
    <row r="213" spans="1:115" ht="30" customHeight="1" x14ac:dyDescent="0.25">
      <c r="A213" s="58" t="s">
        <v>267</v>
      </c>
      <c r="B213" s="57">
        <v>5.8499999046325684</v>
      </c>
      <c r="C213" s="67">
        <v>5.85</v>
      </c>
      <c r="D213" s="67">
        <v>5.85</v>
      </c>
      <c r="E213" s="67">
        <v>5.85</v>
      </c>
      <c r="F213" s="67">
        <v>5.82</v>
      </c>
      <c r="G213" s="6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  <c r="CJ213" s="57"/>
      <c r="CK213" s="57"/>
      <c r="CL213" s="57"/>
      <c r="CM213" s="57"/>
      <c r="CN213" s="57"/>
      <c r="CO213" s="57"/>
      <c r="CP213" s="57"/>
      <c r="CQ213" s="57"/>
      <c r="CR213" s="57"/>
      <c r="CS213" s="57"/>
      <c r="CT213" s="57"/>
      <c r="CU213" s="57"/>
      <c r="CV213" s="57"/>
      <c r="CW213" s="57"/>
      <c r="CX213" s="57"/>
      <c r="CY213" s="57"/>
      <c r="CZ213" s="57"/>
      <c r="DA213" s="57"/>
      <c r="DB213" s="57"/>
      <c r="DC213" s="57"/>
      <c r="DD213" s="57"/>
      <c r="DE213" s="57"/>
      <c r="DF213" s="57"/>
      <c r="DG213" s="57"/>
      <c r="DH213" s="57"/>
      <c r="DI213" s="57"/>
      <c r="DJ213" s="57"/>
      <c r="DK213" s="57"/>
    </row>
    <row r="214" spans="1:115" ht="30" customHeight="1" x14ac:dyDescent="0.25">
      <c r="A214" s="58" t="s">
        <v>268</v>
      </c>
      <c r="B214" s="57">
        <v>44.380001068115234</v>
      </c>
      <c r="C214" s="67">
        <v>44.41</v>
      </c>
      <c r="D214" s="67">
        <v>44.41</v>
      </c>
      <c r="E214" s="67">
        <v>44.41</v>
      </c>
      <c r="F214" s="67">
        <v>44.33</v>
      </c>
      <c r="G214" s="6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  <c r="CJ214" s="57"/>
      <c r="CK214" s="57"/>
      <c r="CL214" s="57"/>
      <c r="CM214" s="57"/>
      <c r="CN214" s="57"/>
      <c r="CO214" s="57"/>
      <c r="CP214" s="57"/>
      <c r="CQ214" s="57"/>
      <c r="CR214" s="57"/>
      <c r="CS214" s="57"/>
      <c r="CT214" s="57"/>
      <c r="CU214" s="57"/>
      <c r="CV214" s="57"/>
      <c r="CW214" s="57"/>
      <c r="CX214" s="57"/>
      <c r="CY214" s="57"/>
      <c r="CZ214" s="57"/>
      <c r="DA214" s="57"/>
      <c r="DB214" s="57"/>
      <c r="DC214" s="57"/>
      <c r="DD214" s="57"/>
      <c r="DE214" s="57"/>
      <c r="DF214" s="57"/>
      <c r="DG214" s="57"/>
      <c r="DH214" s="57"/>
      <c r="DI214" s="57"/>
      <c r="DJ214" s="57"/>
      <c r="DK214" s="57"/>
    </row>
    <row r="215" spans="1:115" ht="30" customHeight="1" x14ac:dyDescent="0.25">
      <c r="A215" s="58" t="s">
        <v>269</v>
      </c>
      <c r="B215" s="57">
        <v>18.579999923706055</v>
      </c>
      <c r="C215" s="67">
        <v>18.86</v>
      </c>
      <c r="D215" s="67">
        <v>18.86</v>
      </c>
      <c r="E215" s="67">
        <v>18.86</v>
      </c>
      <c r="F215" s="67">
        <v>19.52</v>
      </c>
      <c r="G215" s="6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  <c r="CJ215" s="57"/>
      <c r="CK215" s="57"/>
      <c r="CL215" s="57"/>
      <c r="CM215" s="57"/>
      <c r="CN215" s="57"/>
      <c r="CO215" s="57"/>
      <c r="CP215" s="57"/>
      <c r="CQ215" s="57"/>
      <c r="CR215" s="57"/>
      <c r="CS215" s="57"/>
      <c r="CT215" s="57"/>
      <c r="CU215" s="57"/>
      <c r="CV215" s="57"/>
      <c r="CW215" s="57"/>
      <c r="CX215" s="57"/>
      <c r="CY215" s="57"/>
      <c r="CZ215" s="57"/>
      <c r="DA215" s="57"/>
      <c r="DB215" s="57"/>
      <c r="DC215" s="57"/>
      <c r="DD215" s="57"/>
      <c r="DE215" s="57"/>
      <c r="DF215" s="57"/>
      <c r="DG215" s="57"/>
      <c r="DH215" s="57"/>
      <c r="DI215" s="57"/>
      <c r="DJ215" s="57"/>
      <c r="DK215" s="57"/>
    </row>
    <row r="216" spans="1:115" ht="30" customHeight="1" x14ac:dyDescent="0.25">
      <c r="A216" s="58" t="s">
        <v>374</v>
      </c>
      <c r="B216" s="57">
        <v>5.4800000190734863</v>
      </c>
      <c r="C216" s="67">
        <v>5.48</v>
      </c>
      <c r="D216" s="67">
        <v>5.48</v>
      </c>
      <c r="E216" s="67">
        <v>5.48</v>
      </c>
      <c r="F216" s="67">
        <v>5.61</v>
      </c>
      <c r="G216" s="6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  <c r="CJ216" s="57"/>
      <c r="CK216" s="57"/>
      <c r="CL216" s="57"/>
      <c r="CM216" s="57"/>
      <c r="CN216" s="57"/>
      <c r="CO216" s="57"/>
      <c r="CP216" s="57"/>
      <c r="CQ216" s="57"/>
      <c r="CR216" s="57"/>
      <c r="CS216" s="57"/>
      <c r="CT216" s="57"/>
      <c r="CU216" s="57"/>
      <c r="CV216" s="57"/>
      <c r="CW216" s="57"/>
      <c r="CX216" s="57"/>
      <c r="CY216" s="57"/>
      <c r="CZ216" s="57"/>
      <c r="DA216" s="57"/>
      <c r="DB216" s="57"/>
      <c r="DC216" s="57"/>
      <c r="DD216" s="57"/>
      <c r="DE216" s="57"/>
      <c r="DF216" s="57"/>
      <c r="DG216" s="57"/>
      <c r="DH216" s="57"/>
      <c r="DI216" s="57"/>
      <c r="DJ216" s="57"/>
      <c r="DK216" s="57"/>
    </row>
    <row r="217" spans="1:115" ht="30" customHeight="1" x14ac:dyDescent="0.25">
      <c r="A217" s="58" t="s">
        <v>270</v>
      </c>
      <c r="B217" s="57">
        <v>459.20001220703125</v>
      </c>
      <c r="C217" s="67">
        <v>460.65</v>
      </c>
      <c r="D217" s="67">
        <v>460.65</v>
      </c>
      <c r="E217" s="67">
        <v>460.65</v>
      </c>
      <c r="F217" s="67">
        <v>459.46</v>
      </c>
      <c r="G217" s="6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  <c r="CJ217" s="57"/>
      <c r="CK217" s="57"/>
      <c r="CL217" s="57"/>
      <c r="CM217" s="57"/>
      <c r="CN217" s="57"/>
      <c r="CO217" s="57"/>
      <c r="CP217" s="57"/>
      <c r="CQ217" s="57"/>
      <c r="CR217" s="57"/>
      <c r="CS217" s="57"/>
      <c r="CT217" s="57"/>
      <c r="CU217" s="57"/>
      <c r="CV217" s="57"/>
      <c r="CW217" s="57"/>
      <c r="CX217" s="57"/>
      <c r="CY217" s="57"/>
      <c r="CZ217" s="57"/>
      <c r="DA217" s="57"/>
      <c r="DB217" s="57"/>
      <c r="DC217" s="57"/>
      <c r="DD217" s="57"/>
      <c r="DE217" s="57"/>
      <c r="DF217" s="57"/>
      <c r="DG217" s="57"/>
      <c r="DH217" s="57"/>
      <c r="DI217" s="57"/>
      <c r="DJ217" s="57"/>
      <c r="DK217" s="57"/>
    </row>
    <row r="218" spans="1:115" ht="30" customHeight="1" x14ac:dyDescent="0.25">
      <c r="A218" s="58" t="s">
        <v>271</v>
      </c>
      <c r="B218" s="57">
        <v>34.290000915527344</v>
      </c>
      <c r="C218" s="67">
        <v>33.9</v>
      </c>
      <c r="D218" s="67">
        <v>33.9</v>
      </c>
      <c r="E218" s="67">
        <v>33.9</v>
      </c>
      <c r="F218" s="67">
        <v>34.51</v>
      </c>
      <c r="G218" s="6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  <c r="CJ218" s="57"/>
      <c r="CK218" s="57"/>
      <c r="CL218" s="57"/>
      <c r="CM218" s="57"/>
      <c r="CN218" s="57"/>
      <c r="CO218" s="57"/>
      <c r="CP218" s="57"/>
      <c r="CQ218" s="57"/>
      <c r="CR218" s="57"/>
      <c r="CS218" s="57"/>
      <c r="CT218" s="57"/>
      <c r="CU218" s="57"/>
      <c r="CV218" s="57"/>
      <c r="CW218" s="57"/>
      <c r="CX218" s="57"/>
      <c r="CY218" s="57"/>
      <c r="CZ218" s="57"/>
      <c r="DA218" s="57"/>
      <c r="DB218" s="57"/>
      <c r="DC218" s="57"/>
      <c r="DD218" s="57"/>
      <c r="DE218" s="57"/>
      <c r="DF218" s="57"/>
      <c r="DG218" s="57"/>
      <c r="DH218" s="57"/>
      <c r="DI218" s="57"/>
      <c r="DJ218" s="57"/>
      <c r="DK218" s="57"/>
    </row>
    <row r="219" spans="1:115" ht="30" customHeight="1" x14ac:dyDescent="0.25">
      <c r="A219" s="58" t="s">
        <v>272</v>
      </c>
      <c r="B219" s="57">
        <v>10.300000190734863</v>
      </c>
      <c r="C219" s="67">
        <v>10.49</v>
      </c>
      <c r="D219" s="67">
        <v>10.49</v>
      </c>
      <c r="E219" s="67">
        <v>10.49</v>
      </c>
      <c r="F219" s="67">
        <v>10.271000000000001</v>
      </c>
      <c r="G219" s="6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  <c r="CJ219" s="57"/>
      <c r="CK219" s="57"/>
      <c r="CL219" s="57"/>
      <c r="CM219" s="57"/>
      <c r="CN219" s="57"/>
      <c r="CO219" s="57"/>
      <c r="CP219" s="57"/>
      <c r="CQ219" s="57"/>
      <c r="CR219" s="57"/>
      <c r="CS219" s="57"/>
      <c r="CT219" s="57"/>
      <c r="CU219" s="57"/>
      <c r="CV219" s="57"/>
      <c r="CW219" s="57"/>
      <c r="CX219" s="57"/>
      <c r="CY219" s="57"/>
      <c r="CZ219" s="57"/>
      <c r="DA219" s="57"/>
      <c r="DB219" s="57"/>
      <c r="DC219" s="57"/>
      <c r="DD219" s="57"/>
      <c r="DE219" s="57"/>
      <c r="DF219" s="57"/>
      <c r="DG219" s="57"/>
      <c r="DH219" s="57"/>
      <c r="DI219" s="57"/>
      <c r="DJ219" s="57"/>
      <c r="DK219" s="57"/>
    </row>
    <row r="220" spans="1:115" ht="30" customHeight="1" x14ac:dyDescent="0.25">
      <c r="A220" s="58" t="s">
        <v>273</v>
      </c>
      <c r="B220" s="57">
        <v>89.050003051757813</v>
      </c>
      <c r="C220" s="67">
        <v>90.55</v>
      </c>
      <c r="D220" s="67">
        <v>90.55</v>
      </c>
      <c r="E220" s="67">
        <v>90.55</v>
      </c>
      <c r="F220" s="67">
        <v>90.7</v>
      </c>
      <c r="G220" s="6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  <c r="CH220" s="57"/>
      <c r="CI220" s="57"/>
      <c r="CJ220" s="57"/>
      <c r="CK220" s="57"/>
      <c r="CL220" s="57"/>
      <c r="CM220" s="57"/>
      <c r="CN220" s="57"/>
      <c r="CO220" s="57"/>
      <c r="CP220" s="57"/>
      <c r="CQ220" s="57"/>
      <c r="CR220" s="57"/>
      <c r="CS220" s="57"/>
      <c r="CT220" s="57"/>
      <c r="CU220" s="57"/>
      <c r="CV220" s="57"/>
      <c r="CW220" s="57"/>
      <c r="CX220" s="57"/>
      <c r="CY220" s="57"/>
      <c r="CZ220" s="57"/>
      <c r="DA220" s="57"/>
      <c r="DB220" s="57"/>
      <c r="DC220" s="57"/>
      <c r="DD220" s="57"/>
      <c r="DE220" s="57"/>
      <c r="DF220" s="57"/>
      <c r="DG220" s="57"/>
      <c r="DH220" s="57"/>
      <c r="DI220" s="57"/>
      <c r="DJ220" s="57"/>
      <c r="DK220" s="57"/>
    </row>
    <row r="221" spans="1:115" ht="30" customHeight="1" x14ac:dyDescent="0.25">
      <c r="A221" s="58" t="s">
        <v>274</v>
      </c>
      <c r="B221" s="57">
        <v>53.549999237060547</v>
      </c>
      <c r="C221" s="67">
        <v>54.88</v>
      </c>
      <c r="D221" s="67">
        <v>54.88</v>
      </c>
      <c r="E221" s="67">
        <v>54.88</v>
      </c>
      <c r="F221" s="67">
        <v>54.92</v>
      </c>
      <c r="G221" s="6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  <c r="CH221" s="57"/>
      <c r="CI221" s="57"/>
      <c r="CJ221" s="57"/>
      <c r="CK221" s="57"/>
      <c r="CL221" s="57"/>
      <c r="CM221" s="57"/>
      <c r="CN221" s="57"/>
      <c r="CO221" s="57"/>
      <c r="CP221" s="57"/>
      <c r="CQ221" s="57"/>
      <c r="CR221" s="57"/>
      <c r="CS221" s="57"/>
      <c r="CT221" s="57"/>
      <c r="CU221" s="57"/>
      <c r="CV221" s="57"/>
      <c r="CW221" s="57"/>
      <c r="CX221" s="57"/>
      <c r="CY221" s="57"/>
      <c r="CZ221" s="57"/>
      <c r="DA221" s="57"/>
      <c r="DB221" s="57"/>
      <c r="DC221" s="57"/>
      <c r="DD221" s="57"/>
      <c r="DE221" s="57"/>
      <c r="DF221" s="57"/>
      <c r="DG221" s="57"/>
      <c r="DH221" s="57"/>
      <c r="DI221" s="57"/>
      <c r="DJ221" s="57"/>
      <c r="DK221" s="57"/>
    </row>
    <row r="222" spans="1:115" ht="30" customHeight="1" x14ac:dyDescent="0.25">
      <c r="A222" s="58" t="s">
        <v>275</v>
      </c>
      <c r="B222" s="57">
        <v>89.30999755859375</v>
      </c>
      <c r="C222" s="67">
        <v>89.8</v>
      </c>
      <c r="D222" s="67">
        <v>89.8</v>
      </c>
      <c r="E222" s="67">
        <v>89.8</v>
      </c>
      <c r="F222" s="67">
        <v>89.67</v>
      </c>
      <c r="G222" s="6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  <c r="CH222" s="57"/>
      <c r="CI222" s="57"/>
      <c r="CJ222" s="57"/>
      <c r="CK222" s="57"/>
      <c r="CL222" s="57"/>
      <c r="CM222" s="57"/>
      <c r="CN222" s="57"/>
      <c r="CO222" s="57"/>
      <c r="CP222" s="57"/>
      <c r="CQ222" s="57"/>
      <c r="CR222" s="57"/>
      <c r="CS222" s="57"/>
      <c r="CT222" s="57"/>
      <c r="CU222" s="57"/>
      <c r="CV222" s="57"/>
      <c r="CW222" s="57"/>
      <c r="CX222" s="57"/>
      <c r="CY222" s="57"/>
      <c r="CZ222" s="57"/>
      <c r="DA222" s="57"/>
      <c r="DB222" s="57"/>
      <c r="DC222" s="57"/>
      <c r="DD222" s="57"/>
      <c r="DE222" s="57"/>
      <c r="DF222" s="57"/>
      <c r="DG222" s="57"/>
      <c r="DH222" s="57"/>
      <c r="DI222" s="57"/>
      <c r="DJ222" s="57"/>
      <c r="DK222" s="57"/>
    </row>
    <row r="223" spans="1:115" ht="30" customHeight="1" x14ac:dyDescent="0.25">
      <c r="A223" s="58" t="s">
        <v>276</v>
      </c>
      <c r="B223" s="57">
        <v>44.569999694824219</v>
      </c>
      <c r="C223" s="67">
        <v>49.56</v>
      </c>
      <c r="D223" s="67">
        <v>49.56</v>
      </c>
      <c r="E223" s="67">
        <v>49.56</v>
      </c>
      <c r="F223" s="67">
        <v>49.56</v>
      </c>
      <c r="G223" s="6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  <c r="CJ223" s="57"/>
      <c r="CK223" s="57"/>
      <c r="CL223" s="57"/>
      <c r="CM223" s="57"/>
      <c r="CN223" s="57"/>
      <c r="CO223" s="57"/>
      <c r="CP223" s="57"/>
      <c r="CQ223" s="57"/>
      <c r="CR223" s="57"/>
      <c r="CS223" s="57"/>
      <c r="CT223" s="57"/>
      <c r="CU223" s="57"/>
      <c r="CV223" s="57"/>
      <c r="CW223" s="57"/>
      <c r="CX223" s="57"/>
      <c r="CY223" s="57"/>
      <c r="CZ223" s="57"/>
      <c r="DA223" s="57"/>
      <c r="DB223" s="57"/>
      <c r="DC223" s="57"/>
      <c r="DD223" s="57"/>
      <c r="DE223" s="57"/>
      <c r="DF223" s="57"/>
      <c r="DG223" s="57"/>
      <c r="DH223" s="57"/>
      <c r="DI223" s="57"/>
      <c r="DJ223" s="57"/>
      <c r="DK223" s="57"/>
    </row>
    <row r="224" spans="1:115" ht="30" customHeight="1" x14ac:dyDescent="0.25">
      <c r="A224" s="58" t="s">
        <v>277</v>
      </c>
      <c r="B224" s="57">
        <v>90.930000305175781</v>
      </c>
      <c r="C224" s="67">
        <v>90.444999999999993</v>
      </c>
      <c r="D224" s="67">
        <v>90.444999999999993</v>
      </c>
      <c r="E224" s="67">
        <v>90.444999999999993</v>
      </c>
      <c r="F224" s="67">
        <v>93.75</v>
      </c>
      <c r="G224" s="6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  <c r="CH224" s="57"/>
      <c r="CI224" s="57"/>
      <c r="CJ224" s="57"/>
      <c r="CK224" s="57"/>
      <c r="CL224" s="57"/>
      <c r="CM224" s="57"/>
      <c r="CN224" s="57"/>
      <c r="CO224" s="57"/>
      <c r="CP224" s="57"/>
      <c r="CQ224" s="57"/>
      <c r="CR224" s="57"/>
      <c r="CS224" s="57"/>
      <c r="CT224" s="57"/>
      <c r="CU224" s="57"/>
      <c r="CV224" s="57"/>
      <c r="CW224" s="57"/>
      <c r="CX224" s="57"/>
      <c r="CY224" s="57"/>
      <c r="CZ224" s="57"/>
      <c r="DA224" s="57"/>
      <c r="DB224" s="57"/>
      <c r="DC224" s="57"/>
      <c r="DD224" s="57"/>
      <c r="DE224" s="57"/>
      <c r="DF224" s="57"/>
      <c r="DG224" s="57"/>
      <c r="DH224" s="57"/>
      <c r="DI224" s="57"/>
      <c r="DJ224" s="57"/>
      <c r="DK224" s="57"/>
    </row>
    <row r="225" spans="1:115" ht="30" customHeight="1" x14ac:dyDescent="0.25">
      <c r="A225" s="58" t="s">
        <v>278</v>
      </c>
      <c r="B225" s="57">
        <v>17.760000228881836</v>
      </c>
      <c r="C225" s="67">
        <v>17.57</v>
      </c>
      <c r="D225" s="67">
        <v>17.57</v>
      </c>
      <c r="E225" s="67">
        <v>17.57</v>
      </c>
      <c r="F225" s="67">
        <v>17.89</v>
      </c>
      <c r="G225" s="6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  <c r="CH225" s="57"/>
      <c r="CI225" s="57"/>
      <c r="CJ225" s="57"/>
      <c r="CK225" s="57"/>
      <c r="CL225" s="57"/>
      <c r="CM225" s="57"/>
      <c r="CN225" s="57"/>
      <c r="CO225" s="57"/>
      <c r="CP225" s="57"/>
      <c r="CQ225" s="57"/>
      <c r="CR225" s="57"/>
      <c r="CS225" s="57"/>
      <c r="CT225" s="57"/>
      <c r="CU225" s="57"/>
      <c r="CV225" s="57"/>
      <c r="CW225" s="57"/>
      <c r="CX225" s="57"/>
      <c r="CY225" s="57"/>
      <c r="CZ225" s="57"/>
      <c r="DA225" s="57"/>
      <c r="DB225" s="57"/>
      <c r="DC225" s="57"/>
      <c r="DD225" s="57"/>
      <c r="DE225" s="57"/>
      <c r="DF225" s="57"/>
      <c r="DG225" s="57"/>
      <c r="DH225" s="57"/>
      <c r="DI225" s="57"/>
      <c r="DJ225" s="57"/>
      <c r="DK225" s="57"/>
    </row>
    <row r="226" spans="1:115" ht="30" customHeight="1" x14ac:dyDescent="0.25">
      <c r="A226" s="58" t="s">
        <v>279</v>
      </c>
      <c r="B226" s="57">
        <v>50.369998931884766</v>
      </c>
      <c r="C226" s="67">
        <v>50</v>
      </c>
      <c r="D226" s="67">
        <v>50</v>
      </c>
      <c r="E226" s="67">
        <v>50</v>
      </c>
      <c r="F226" s="67">
        <v>49.9</v>
      </c>
      <c r="G226" s="6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  <c r="CG226" s="57"/>
      <c r="CH226" s="57"/>
      <c r="CI226" s="57"/>
      <c r="CJ226" s="57"/>
      <c r="CK226" s="57"/>
      <c r="CL226" s="57"/>
      <c r="CM226" s="57"/>
      <c r="CN226" s="57"/>
      <c r="CO226" s="57"/>
      <c r="CP226" s="57"/>
      <c r="CQ226" s="57"/>
      <c r="CR226" s="57"/>
      <c r="CS226" s="57"/>
      <c r="CT226" s="57"/>
      <c r="CU226" s="57"/>
      <c r="CV226" s="57"/>
      <c r="CW226" s="57"/>
      <c r="CX226" s="57"/>
      <c r="CY226" s="57"/>
      <c r="CZ226" s="57"/>
      <c r="DA226" s="57"/>
      <c r="DB226" s="57"/>
      <c r="DC226" s="57"/>
      <c r="DD226" s="57"/>
      <c r="DE226" s="57"/>
      <c r="DF226" s="57"/>
      <c r="DG226" s="57"/>
      <c r="DH226" s="57"/>
      <c r="DI226" s="57"/>
      <c r="DJ226" s="57"/>
      <c r="DK226" s="57"/>
    </row>
    <row r="227" spans="1:115" ht="30" customHeight="1" x14ac:dyDescent="0.25">
      <c r="A227" s="58" t="s">
        <v>280</v>
      </c>
      <c r="B227" s="57">
        <v>8.8900003433227539</v>
      </c>
      <c r="C227" s="67">
        <v>9.09</v>
      </c>
      <c r="D227" s="67">
        <v>9.09</v>
      </c>
      <c r="E227" s="67">
        <v>9.09</v>
      </c>
      <c r="F227" s="67">
        <v>8.7899999999999991</v>
      </c>
      <c r="G227" s="6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  <c r="CH227" s="57"/>
      <c r="CI227" s="57"/>
      <c r="CJ227" s="57"/>
      <c r="CK227" s="57"/>
      <c r="CL227" s="57"/>
      <c r="CM227" s="57"/>
      <c r="CN227" s="57"/>
      <c r="CO227" s="57"/>
      <c r="CP227" s="57"/>
      <c r="CQ227" s="57"/>
      <c r="CR227" s="57"/>
      <c r="CS227" s="57"/>
      <c r="CT227" s="57"/>
      <c r="CU227" s="57"/>
      <c r="CV227" s="57"/>
      <c r="CW227" s="57"/>
      <c r="CX227" s="57"/>
      <c r="CY227" s="57"/>
      <c r="CZ227" s="57"/>
      <c r="DA227" s="57"/>
      <c r="DB227" s="57"/>
      <c r="DC227" s="57"/>
      <c r="DD227" s="57"/>
      <c r="DE227" s="57"/>
      <c r="DF227" s="57"/>
      <c r="DG227" s="57"/>
      <c r="DH227" s="57"/>
      <c r="DI227" s="57"/>
      <c r="DJ227" s="57"/>
      <c r="DK227" s="57"/>
    </row>
    <row r="228" spans="1:115" ht="30" customHeight="1" x14ac:dyDescent="0.25">
      <c r="A228" s="58" t="s">
        <v>281</v>
      </c>
      <c r="B228" s="57">
        <v>11.279999732971191</v>
      </c>
      <c r="C228" s="67">
        <v>11.59</v>
      </c>
      <c r="D228" s="67">
        <v>11.59</v>
      </c>
      <c r="E228" s="67">
        <v>11.59</v>
      </c>
      <c r="F228" s="67">
        <v>11.43</v>
      </c>
      <c r="G228" s="6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  <c r="CG228" s="57"/>
      <c r="CH228" s="57"/>
      <c r="CI228" s="57"/>
      <c r="CJ228" s="57"/>
      <c r="CK228" s="57"/>
      <c r="CL228" s="57"/>
      <c r="CM228" s="57"/>
      <c r="CN228" s="57"/>
      <c r="CO228" s="57"/>
      <c r="CP228" s="57"/>
      <c r="CQ228" s="57"/>
      <c r="CR228" s="57"/>
      <c r="CS228" s="57"/>
      <c r="CT228" s="57"/>
      <c r="CU228" s="57"/>
      <c r="CV228" s="57"/>
      <c r="CW228" s="57"/>
      <c r="CX228" s="57"/>
      <c r="CY228" s="57"/>
      <c r="CZ228" s="57"/>
      <c r="DA228" s="57"/>
      <c r="DB228" s="57"/>
      <c r="DC228" s="57"/>
      <c r="DD228" s="57"/>
      <c r="DE228" s="57"/>
      <c r="DF228" s="57"/>
      <c r="DG228" s="57"/>
      <c r="DH228" s="57"/>
      <c r="DI228" s="57"/>
      <c r="DJ228" s="57"/>
      <c r="DK228" s="57"/>
    </row>
    <row r="229" spans="1:115" ht="30" customHeight="1" x14ac:dyDescent="0.25">
      <c r="A229" s="58" t="s">
        <v>282</v>
      </c>
      <c r="B229" s="57">
        <v>10.430000305175781</v>
      </c>
      <c r="C229" s="67">
        <v>10.38</v>
      </c>
      <c r="D229" s="67">
        <v>10.38</v>
      </c>
      <c r="E229" s="67">
        <v>10.38</v>
      </c>
      <c r="F229" s="67">
        <v>10.3</v>
      </c>
      <c r="G229" s="6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  <c r="CG229" s="57"/>
      <c r="CH229" s="57"/>
      <c r="CI229" s="57"/>
      <c r="CJ229" s="57"/>
      <c r="CK229" s="57"/>
      <c r="CL229" s="57"/>
      <c r="CM229" s="57"/>
      <c r="CN229" s="57"/>
      <c r="CO229" s="57"/>
      <c r="CP229" s="57"/>
      <c r="CQ229" s="57"/>
      <c r="CR229" s="57"/>
      <c r="CS229" s="57"/>
      <c r="CT229" s="57"/>
      <c r="CU229" s="57"/>
      <c r="CV229" s="57"/>
      <c r="CW229" s="57"/>
      <c r="CX229" s="57"/>
      <c r="CY229" s="57"/>
      <c r="CZ229" s="57"/>
      <c r="DA229" s="57"/>
      <c r="DB229" s="57"/>
      <c r="DC229" s="57"/>
      <c r="DD229" s="57"/>
      <c r="DE229" s="57"/>
      <c r="DF229" s="57"/>
      <c r="DG229" s="57"/>
      <c r="DH229" s="57"/>
      <c r="DI229" s="57"/>
      <c r="DJ229" s="57"/>
      <c r="DK229" s="57"/>
    </row>
    <row r="230" spans="1:115" ht="30" customHeight="1" x14ac:dyDescent="0.25">
      <c r="A230" s="58" t="s">
        <v>283</v>
      </c>
      <c r="B230" s="57">
        <v>34.200000762939453</v>
      </c>
      <c r="C230" s="67">
        <v>34.450000000000003</v>
      </c>
      <c r="D230" s="67">
        <v>34.450000000000003</v>
      </c>
      <c r="E230" s="67">
        <v>34.450000000000003</v>
      </c>
      <c r="F230" s="67">
        <v>33.630000000000003</v>
      </c>
      <c r="G230" s="6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  <c r="CH230" s="57"/>
      <c r="CI230" s="57"/>
      <c r="CJ230" s="57"/>
      <c r="CK230" s="57"/>
      <c r="CL230" s="57"/>
      <c r="CM230" s="57"/>
      <c r="CN230" s="57"/>
      <c r="CO230" s="57"/>
      <c r="CP230" s="57"/>
      <c r="CQ230" s="57"/>
      <c r="CR230" s="57"/>
      <c r="CS230" s="57"/>
      <c r="CT230" s="57"/>
      <c r="CU230" s="57"/>
      <c r="CV230" s="57"/>
      <c r="CW230" s="57"/>
      <c r="CX230" s="57"/>
      <c r="CY230" s="57"/>
      <c r="CZ230" s="57"/>
      <c r="DA230" s="57"/>
      <c r="DB230" s="57"/>
      <c r="DC230" s="57"/>
      <c r="DD230" s="57"/>
      <c r="DE230" s="57"/>
      <c r="DF230" s="57"/>
      <c r="DG230" s="57"/>
      <c r="DH230" s="57"/>
      <c r="DI230" s="57"/>
      <c r="DJ230" s="57"/>
      <c r="DK230" s="57"/>
    </row>
    <row r="231" spans="1:115" ht="30" customHeight="1" x14ac:dyDescent="0.25">
      <c r="A231" s="58" t="s">
        <v>284</v>
      </c>
      <c r="B231" s="57">
        <v>79.680000305175781</v>
      </c>
      <c r="C231" s="67">
        <v>80.540000000000006</v>
      </c>
      <c r="D231" s="67">
        <v>80.540000000000006</v>
      </c>
      <c r="E231" s="67">
        <v>80.540000000000006</v>
      </c>
      <c r="F231" s="67">
        <v>84.25</v>
      </c>
      <c r="G231" s="6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  <c r="CH231" s="57"/>
      <c r="CI231" s="57"/>
      <c r="CJ231" s="57"/>
      <c r="CK231" s="57"/>
      <c r="CL231" s="57"/>
      <c r="CM231" s="57"/>
      <c r="CN231" s="57"/>
      <c r="CO231" s="57"/>
      <c r="CP231" s="57"/>
      <c r="CQ231" s="57"/>
      <c r="CR231" s="57"/>
      <c r="CS231" s="57"/>
      <c r="CT231" s="57"/>
      <c r="CU231" s="57"/>
      <c r="CV231" s="57"/>
      <c r="CW231" s="57"/>
      <c r="CX231" s="57"/>
      <c r="CY231" s="57"/>
      <c r="CZ231" s="57"/>
      <c r="DA231" s="57"/>
      <c r="DB231" s="57"/>
      <c r="DC231" s="57"/>
      <c r="DD231" s="57"/>
      <c r="DE231" s="57"/>
      <c r="DF231" s="57"/>
      <c r="DG231" s="57"/>
      <c r="DH231" s="57"/>
      <c r="DI231" s="57"/>
      <c r="DJ231" s="57"/>
      <c r="DK231" s="57"/>
    </row>
    <row r="232" spans="1:115" ht="30" customHeight="1" x14ac:dyDescent="0.25">
      <c r="A232" s="58" t="s">
        <v>285</v>
      </c>
      <c r="B232" s="57">
        <v>147.66999816894531</v>
      </c>
      <c r="C232" s="67">
        <v>147.84</v>
      </c>
      <c r="D232" s="67">
        <v>147.84</v>
      </c>
      <c r="E232" s="67">
        <v>147.84</v>
      </c>
      <c r="F232" s="67">
        <v>147.75</v>
      </c>
      <c r="G232" s="6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  <c r="CG232" s="57"/>
      <c r="CH232" s="57"/>
      <c r="CI232" s="57"/>
      <c r="CJ232" s="57"/>
      <c r="CK232" s="57"/>
      <c r="CL232" s="57"/>
      <c r="CM232" s="57"/>
      <c r="CN232" s="57"/>
      <c r="CO232" s="57"/>
      <c r="CP232" s="57"/>
      <c r="CQ232" s="57"/>
      <c r="CR232" s="57"/>
      <c r="CS232" s="57"/>
      <c r="CT232" s="57"/>
      <c r="CU232" s="57"/>
      <c r="CV232" s="57"/>
      <c r="CW232" s="57"/>
      <c r="CX232" s="57"/>
      <c r="CY232" s="57"/>
      <c r="CZ232" s="57"/>
      <c r="DA232" s="57"/>
      <c r="DB232" s="57"/>
      <c r="DC232" s="57"/>
      <c r="DD232" s="57"/>
      <c r="DE232" s="57"/>
      <c r="DF232" s="57"/>
      <c r="DG232" s="57"/>
      <c r="DH232" s="57"/>
      <c r="DI232" s="57"/>
      <c r="DJ232" s="57"/>
      <c r="DK232" s="57"/>
    </row>
    <row r="233" spans="1:115" ht="30" customHeight="1" x14ac:dyDescent="0.25">
      <c r="A233" s="58" t="s">
        <v>286</v>
      </c>
      <c r="B233" s="57">
        <v>38.970001220703125</v>
      </c>
      <c r="C233" s="67">
        <v>39.15</v>
      </c>
      <c r="D233" s="67">
        <v>39.15</v>
      </c>
      <c r="E233" s="67">
        <v>39.15</v>
      </c>
      <c r="F233" s="67">
        <v>38.99</v>
      </c>
      <c r="G233" s="6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  <c r="CH233" s="57"/>
      <c r="CI233" s="57"/>
      <c r="CJ233" s="57"/>
      <c r="CK233" s="57"/>
      <c r="CL233" s="57"/>
      <c r="CM233" s="57"/>
      <c r="CN233" s="57"/>
      <c r="CO233" s="57"/>
      <c r="CP233" s="57"/>
      <c r="CQ233" s="57"/>
      <c r="CR233" s="57"/>
      <c r="CS233" s="57"/>
      <c r="CT233" s="57"/>
      <c r="CU233" s="57"/>
      <c r="CV233" s="57"/>
      <c r="CW233" s="57"/>
      <c r="CX233" s="57"/>
      <c r="CY233" s="57"/>
      <c r="CZ233" s="57"/>
      <c r="DA233" s="57"/>
      <c r="DB233" s="57"/>
      <c r="DC233" s="57"/>
      <c r="DD233" s="57"/>
      <c r="DE233" s="57"/>
      <c r="DF233" s="57"/>
      <c r="DG233" s="57"/>
      <c r="DH233" s="57"/>
      <c r="DI233" s="57"/>
      <c r="DJ233" s="57"/>
      <c r="DK233" s="57"/>
    </row>
    <row r="234" spans="1:115" ht="30" customHeight="1" x14ac:dyDescent="0.25">
      <c r="A234" s="58" t="s">
        <v>287</v>
      </c>
      <c r="B234" s="57">
        <v>135.85000610351563</v>
      </c>
      <c r="C234" s="67">
        <v>135.94999999999999</v>
      </c>
      <c r="D234" s="67">
        <v>135.94999999999999</v>
      </c>
      <c r="E234" s="67">
        <v>135.94999999999999</v>
      </c>
      <c r="F234" s="67">
        <v>136.41999999999999</v>
      </c>
      <c r="G234" s="6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  <c r="CH234" s="57"/>
      <c r="CI234" s="57"/>
      <c r="CJ234" s="57"/>
      <c r="CK234" s="57"/>
      <c r="CL234" s="57"/>
      <c r="CM234" s="57"/>
      <c r="CN234" s="57"/>
      <c r="CO234" s="57"/>
      <c r="CP234" s="57"/>
      <c r="CQ234" s="57"/>
      <c r="CR234" s="57"/>
      <c r="CS234" s="57"/>
      <c r="CT234" s="57"/>
      <c r="CU234" s="57"/>
      <c r="CV234" s="57"/>
      <c r="CW234" s="57"/>
      <c r="CX234" s="57"/>
      <c r="CY234" s="57"/>
      <c r="CZ234" s="57"/>
      <c r="DA234" s="57"/>
      <c r="DB234" s="57"/>
      <c r="DC234" s="57"/>
      <c r="DD234" s="57"/>
      <c r="DE234" s="57"/>
      <c r="DF234" s="57"/>
      <c r="DG234" s="57"/>
      <c r="DH234" s="57"/>
      <c r="DI234" s="57"/>
      <c r="DJ234" s="57"/>
      <c r="DK234" s="57"/>
    </row>
    <row r="235" spans="1:115" ht="30" customHeight="1" x14ac:dyDescent="0.25">
      <c r="A235" s="58" t="s">
        <v>288</v>
      </c>
      <c r="B235" s="57">
        <v>55.810001373291016</v>
      </c>
      <c r="C235" s="67">
        <v>56.33</v>
      </c>
      <c r="D235" s="67">
        <v>56.33</v>
      </c>
      <c r="E235" s="67">
        <v>56.33</v>
      </c>
      <c r="F235" s="67">
        <v>56.24</v>
      </c>
      <c r="G235" s="6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  <c r="CH235" s="57"/>
      <c r="CI235" s="57"/>
      <c r="CJ235" s="57"/>
      <c r="CK235" s="57"/>
      <c r="CL235" s="57"/>
      <c r="CM235" s="57"/>
      <c r="CN235" s="57"/>
      <c r="CO235" s="57"/>
      <c r="CP235" s="57"/>
      <c r="CQ235" s="57"/>
      <c r="CR235" s="57"/>
      <c r="CS235" s="57"/>
      <c r="CT235" s="57"/>
      <c r="CU235" s="57"/>
      <c r="CV235" s="57"/>
      <c r="CW235" s="57"/>
      <c r="CX235" s="57"/>
      <c r="CY235" s="57"/>
      <c r="CZ235" s="57"/>
      <c r="DA235" s="57"/>
      <c r="DB235" s="57"/>
      <c r="DC235" s="57"/>
      <c r="DD235" s="57"/>
      <c r="DE235" s="57"/>
      <c r="DF235" s="57"/>
      <c r="DG235" s="57"/>
      <c r="DH235" s="57"/>
      <c r="DI235" s="57"/>
      <c r="DJ235" s="57"/>
      <c r="DK235" s="57"/>
    </row>
    <row r="236" spans="1:115" ht="30" customHeight="1" x14ac:dyDescent="0.25">
      <c r="A236" s="58" t="s">
        <v>289</v>
      </c>
      <c r="B236" s="57">
        <v>56.310001373291016</v>
      </c>
      <c r="C236" s="67">
        <v>56.95</v>
      </c>
      <c r="D236" s="67">
        <v>56.95</v>
      </c>
      <c r="E236" s="67">
        <v>56.95</v>
      </c>
      <c r="F236" s="67">
        <v>56.71</v>
      </c>
      <c r="G236" s="6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  <c r="CH236" s="57"/>
      <c r="CI236" s="57"/>
      <c r="CJ236" s="57"/>
      <c r="CK236" s="57"/>
      <c r="CL236" s="57"/>
      <c r="CM236" s="57"/>
      <c r="CN236" s="57"/>
      <c r="CO236" s="57"/>
      <c r="CP236" s="57"/>
      <c r="CQ236" s="57"/>
      <c r="CR236" s="57"/>
      <c r="CS236" s="57"/>
      <c r="CT236" s="57"/>
      <c r="CU236" s="57"/>
      <c r="CV236" s="57"/>
      <c r="CW236" s="57"/>
      <c r="CX236" s="57"/>
      <c r="CY236" s="57"/>
      <c r="CZ236" s="57"/>
      <c r="DA236" s="57"/>
      <c r="DB236" s="57"/>
      <c r="DC236" s="57"/>
      <c r="DD236" s="57"/>
      <c r="DE236" s="57"/>
      <c r="DF236" s="57"/>
      <c r="DG236" s="57"/>
      <c r="DH236" s="57"/>
      <c r="DI236" s="57"/>
      <c r="DJ236" s="57"/>
      <c r="DK236" s="57"/>
    </row>
    <row r="237" spans="1:115" ht="30" customHeight="1" x14ac:dyDescent="0.25">
      <c r="A237" s="58" t="s">
        <v>376</v>
      </c>
      <c r="B237" s="57">
        <v>23.629999160766602</v>
      </c>
      <c r="C237" s="67">
        <v>24.03</v>
      </c>
      <c r="D237" s="67">
        <v>24.03</v>
      </c>
      <c r="E237" s="67">
        <v>24.03</v>
      </c>
      <c r="F237" s="67">
        <v>24.46</v>
      </c>
      <c r="G237" s="6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  <c r="CG237" s="57"/>
      <c r="CH237" s="57"/>
      <c r="CI237" s="57"/>
      <c r="CJ237" s="57"/>
      <c r="CK237" s="57"/>
      <c r="CL237" s="57"/>
      <c r="CM237" s="57"/>
      <c r="CN237" s="57"/>
      <c r="CO237" s="57"/>
      <c r="CP237" s="57"/>
      <c r="CQ237" s="57"/>
      <c r="CR237" s="57"/>
      <c r="CS237" s="57"/>
      <c r="CT237" s="57"/>
      <c r="CU237" s="57"/>
      <c r="CV237" s="57"/>
      <c r="CW237" s="57"/>
      <c r="CX237" s="57"/>
      <c r="CY237" s="57"/>
      <c r="CZ237" s="57"/>
      <c r="DA237" s="57"/>
      <c r="DB237" s="57"/>
      <c r="DC237" s="57"/>
      <c r="DD237" s="57"/>
      <c r="DE237" s="57"/>
      <c r="DF237" s="57"/>
      <c r="DG237" s="57"/>
      <c r="DH237" s="57"/>
      <c r="DI237" s="57"/>
      <c r="DJ237" s="57"/>
      <c r="DK237" s="57"/>
    </row>
    <row r="238" spans="1:115" ht="30" customHeight="1" x14ac:dyDescent="0.25">
      <c r="A238" s="58" t="s">
        <v>290</v>
      </c>
      <c r="B238" s="57">
        <v>91.879997253417969</v>
      </c>
      <c r="C238" s="67">
        <v>91.92</v>
      </c>
      <c r="D238" s="67">
        <v>91.92</v>
      </c>
      <c r="E238" s="67">
        <v>91.92</v>
      </c>
      <c r="F238" s="67">
        <v>91.17</v>
      </c>
      <c r="G238" s="6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  <c r="CG238" s="57"/>
      <c r="CH238" s="57"/>
      <c r="CI238" s="57"/>
      <c r="CJ238" s="57"/>
      <c r="CK238" s="57"/>
      <c r="CL238" s="57"/>
      <c r="CM238" s="57"/>
      <c r="CN238" s="57"/>
      <c r="CO238" s="57"/>
      <c r="CP238" s="57"/>
      <c r="CQ238" s="57"/>
      <c r="CR238" s="57"/>
      <c r="CS238" s="57"/>
      <c r="CT238" s="57"/>
      <c r="CU238" s="57"/>
      <c r="CV238" s="57"/>
      <c r="CW238" s="57"/>
      <c r="CX238" s="57"/>
      <c r="CY238" s="57"/>
      <c r="CZ238" s="57"/>
      <c r="DA238" s="57"/>
      <c r="DB238" s="57"/>
      <c r="DC238" s="57"/>
      <c r="DD238" s="57"/>
      <c r="DE238" s="57"/>
      <c r="DF238" s="57"/>
      <c r="DG238" s="57"/>
      <c r="DH238" s="57"/>
      <c r="DI238" s="57"/>
      <c r="DJ238" s="57"/>
      <c r="DK238" s="57"/>
    </row>
    <row r="239" spans="1:115" ht="30" customHeight="1" x14ac:dyDescent="0.25">
      <c r="A239" s="58" t="s">
        <v>291</v>
      </c>
      <c r="B239" s="57">
        <v>97.370002746582031</v>
      </c>
      <c r="C239" s="67">
        <v>97.9</v>
      </c>
      <c r="D239" s="67">
        <v>97.9</v>
      </c>
      <c r="E239" s="67">
        <v>97.9</v>
      </c>
      <c r="F239" s="67">
        <v>98.56</v>
      </c>
      <c r="G239" s="6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  <c r="CG239" s="57"/>
      <c r="CH239" s="57"/>
      <c r="CI239" s="57"/>
      <c r="CJ239" s="57"/>
      <c r="CK239" s="57"/>
      <c r="CL239" s="57"/>
      <c r="CM239" s="57"/>
      <c r="CN239" s="57"/>
      <c r="CO239" s="57"/>
      <c r="CP239" s="57"/>
      <c r="CQ239" s="57"/>
      <c r="CR239" s="57"/>
      <c r="CS239" s="57"/>
      <c r="CT239" s="57"/>
      <c r="CU239" s="57"/>
      <c r="CV239" s="57"/>
      <c r="CW239" s="57"/>
      <c r="CX239" s="57"/>
      <c r="CY239" s="57"/>
      <c r="CZ239" s="57"/>
      <c r="DA239" s="57"/>
      <c r="DB239" s="57"/>
      <c r="DC239" s="57"/>
      <c r="DD239" s="57"/>
      <c r="DE239" s="57"/>
      <c r="DF239" s="57"/>
      <c r="DG239" s="57"/>
      <c r="DH239" s="57"/>
      <c r="DI239" s="57"/>
      <c r="DJ239" s="57"/>
      <c r="DK239" s="57"/>
    </row>
    <row r="240" spans="1:115" ht="30" customHeight="1" x14ac:dyDescent="0.25">
      <c r="A240" s="58" t="s">
        <v>394</v>
      </c>
      <c r="B240" s="57">
        <v>0.18999999761581421</v>
      </c>
      <c r="C240" s="67">
        <v>0.2</v>
      </c>
      <c r="D240" s="67">
        <v>0.2</v>
      </c>
      <c r="E240" s="67">
        <v>0.2</v>
      </c>
      <c r="F240" s="67">
        <v>0.26</v>
      </c>
      <c r="G240" s="6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  <c r="CH240" s="57"/>
      <c r="CI240" s="57"/>
      <c r="CJ240" s="57"/>
      <c r="CK240" s="57"/>
      <c r="CL240" s="57"/>
      <c r="CM240" s="57"/>
      <c r="CN240" s="57"/>
      <c r="CO240" s="57"/>
      <c r="CP240" s="57"/>
      <c r="CQ240" s="57"/>
      <c r="CR240" s="57"/>
      <c r="CS240" s="57"/>
      <c r="CT240" s="57"/>
      <c r="CU240" s="57"/>
      <c r="CV240" s="57"/>
      <c r="CW240" s="57"/>
      <c r="CX240" s="57"/>
      <c r="CY240" s="57"/>
      <c r="CZ240" s="57"/>
      <c r="DA240" s="57"/>
      <c r="DB240" s="57"/>
      <c r="DC240" s="57"/>
      <c r="DD240" s="57"/>
      <c r="DE240" s="57"/>
      <c r="DF240" s="57"/>
      <c r="DG240" s="57"/>
      <c r="DH240" s="57"/>
      <c r="DI240" s="57"/>
      <c r="DJ240" s="57"/>
      <c r="DK240" s="57"/>
    </row>
    <row r="241" spans="1:115" ht="30" customHeight="1" x14ac:dyDescent="0.25">
      <c r="A241" s="58" t="s">
        <v>292</v>
      </c>
      <c r="B241" s="57">
        <v>23.629999160766602</v>
      </c>
      <c r="C241" s="67">
        <v>23.16</v>
      </c>
      <c r="D241" s="67">
        <v>23.16</v>
      </c>
      <c r="E241" s="67">
        <v>23.16</v>
      </c>
      <c r="F241" s="67">
        <v>23.03</v>
      </c>
      <c r="G241" s="6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  <c r="CG241" s="57"/>
      <c r="CH241" s="57"/>
      <c r="CI241" s="57"/>
      <c r="CJ241" s="57"/>
      <c r="CK241" s="57"/>
      <c r="CL241" s="57"/>
      <c r="CM241" s="57"/>
      <c r="CN241" s="57"/>
      <c r="CO241" s="57"/>
      <c r="CP241" s="57"/>
      <c r="CQ241" s="57"/>
      <c r="CR241" s="57"/>
      <c r="CS241" s="57"/>
      <c r="CT241" s="57"/>
      <c r="CU241" s="57"/>
      <c r="CV241" s="57"/>
      <c r="CW241" s="57"/>
      <c r="CX241" s="57"/>
      <c r="CY241" s="57"/>
      <c r="CZ241" s="57"/>
      <c r="DA241" s="57"/>
      <c r="DB241" s="57"/>
      <c r="DC241" s="57"/>
      <c r="DD241" s="57"/>
      <c r="DE241" s="57"/>
      <c r="DF241" s="57"/>
      <c r="DG241" s="57"/>
      <c r="DH241" s="57"/>
      <c r="DI241" s="57"/>
      <c r="DJ241" s="57"/>
      <c r="DK241" s="57"/>
    </row>
    <row r="242" spans="1:115" ht="30" customHeight="1" x14ac:dyDescent="0.25">
      <c r="A242" s="58" t="s">
        <v>293</v>
      </c>
      <c r="B242" s="57">
        <v>29.020000457763672</v>
      </c>
      <c r="C242" s="67">
        <v>28.99</v>
      </c>
      <c r="D242" s="67">
        <v>28.99</v>
      </c>
      <c r="E242" s="67">
        <v>28.99</v>
      </c>
      <c r="F242" s="67">
        <v>29.08</v>
      </c>
      <c r="G242" s="6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  <c r="CG242" s="57"/>
      <c r="CH242" s="57"/>
      <c r="CI242" s="57"/>
      <c r="CJ242" s="57"/>
      <c r="CK242" s="57"/>
      <c r="CL242" s="57"/>
      <c r="CM242" s="57"/>
      <c r="CN242" s="57"/>
      <c r="CO242" s="57"/>
      <c r="CP242" s="57"/>
      <c r="CQ242" s="57"/>
      <c r="CR242" s="57"/>
      <c r="CS242" s="57"/>
      <c r="CT242" s="57"/>
      <c r="CU242" s="57"/>
      <c r="CV242" s="57"/>
      <c r="CW242" s="57"/>
      <c r="CX242" s="57"/>
      <c r="CY242" s="57"/>
      <c r="CZ242" s="57"/>
      <c r="DA242" s="57"/>
      <c r="DB242" s="57"/>
      <c r="DC242" s="57"/>
      <c r="DD242" s="57"/>
      <c r="DE242" s="57"/>
      <c r="DF242" s="57"/>
      <c r="DG242" s="57"/>
      <c r="DH242" s="57"/>
      <c r="DI242" s="57"/>
      <c r="DJ242" s="57"/>
      <c r="DK242" s="57"/>
    </row>
    <row r="243" spans="1:115" ht="30" customHeight="1" x14ac:dyDescent="0.25">
      <c r="A243" s="58" t="s">
        <v>294</v>
      </c>
      <c r="B243" s="57">
        <v>17.790000915527344</v>
      </c>
      <c r="C243" s="67">
        <v>17.829999999999998</v>
      </c>
      <c r="D243" s="67">
        <v>17.829999999999998</v>
      </c>
      <c r="E243" s="67">
        <v>17.829999999999998</v>
      </c>
      <c r="F243" s="67">
        <v>17.95</v>
      </c>
      <c r="G243" s="6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  <c r="CH243" s="57"/>
      <c r="CI243" s="57"/>
      <c r="CJ243" s="57"/>
      <c r="CK243" s="57"/>
      <c r="CL243" s="57"/>
      <c r="CM243" s="57"/>
      <c r="CN243" s="57"/>
      <c r="CO243" s="57"/>
      <c r="CP243" s="57"/>
      <c r="CQ243" s="57"/>
      <c r="CR243" s="57"/>
      <c r="CS243" s="57"/>
      <c r="CT243" s="57"/>
      <c r="CU243" s="57"/>
      <c r="CV243" s="57"/>
      <c r="CW243" s="57"/>
      <c r="CX243" s="57"/>
      <c r="CY243" s="57"/>
      <c r="CZ243" s="57"/>
      <c r="DA243" s="57"/>
      <c r="DB243" s="57"/>
      <c r="DC243" s="57"/>
      <c r="DD243" s="57"/>
      <c r="DE243" s="57"/>
      <c r="DF243" s="57"/>
      <c r="DG243" s="57"/>
      <c r="DH243" s="57"/>
      <c r="DI243" s="57"/>
      <c r="DJ243" s="57"/>
      <c r="DK243" s="57"/>
    </row>
    <row r="244" spans="1:115" ht="30" customHeight="1" x14ac:dyDescent="0.25">
      <c r="A244" s="58" t="s">
        <v>64</v>
      </c>
      <c r="B244" s="57">
        <v>330</v>
      </c>
      <c r="C244" s="67">
        <v>335.6</v>
      </c>
      <c r="D244" s="67">
        <v>335.6</v>
      </c>
      <c r="E244" s="67">
        <v>335.6</v>
      </c>
      <c r="F244" s="67">
        <v>336.6</v>
      </c>
      <c r="G244" s="6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  <c r="CH244" s="57"/>
      <c r="CI244" s="57"/>
      <c r="CJ244" s="57"/>
      <c r="CK244" s="57"/>
      <c r="CL244" s="57"/>
      <c r="CM244" s="57"/>
      <c r="CN244" s="57"/>
      <c r="CO244" s="57"/>
      <c r="CP244" s="57"/>
      <c r="CQ244" s="57"/>
      <c r="CR244" s="57"/>
      <c r="CS244" s="57"/>
      <c r="CT244" s="57"/>
      <c r="CU244" s="57"/>
      <c r="CV244" s="57"/>
      <c r="CW244" s="57"/>
      <c r="CX244" s="57"/>
      <c r="CY244" s="57"/>
      <c r="CZ244" s="57"/>
      <c r="DA244" s="57"/>
      <c r="DB244" s="57"/>
      <c r="DC244" s="57"/>
      <c r="DD244" s="57"/>
      <c r="DE244" s="57"/>
      <c r="DF244" s="57"/>
      <c r="DG244" s="57"/>
      <c r="DH244" s="57"/>
      <c r="DI244" s="57"/>
      <c r="DJ244" s="57"/>
      <c r="DK244" s="57"/>
    </row>
    <row r="245" spans="1:115" ht="30" customHeight="1" x14ac:dyDescent="0.25">
      <c r="A245" s="58" t="s">
        <v>295</v>
      </c>
      <c r="B245" s="57">
        <v>69.120002746582031</v>
      </c>
      <c r="C245" s="67">
        <v>69.180000000000007</v>
      </c>
      <c r="D245" s="67">
        <v>69.180000000000007</v>
      </c>
      <c r="E245" s="67">
        <v>69.180000000000007</v>
      </c>
      <c r="F245" s="67">
        <v>68.67</v>
      </c>
      <c r="G245" s="6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  <c r="CJ245" s="57"/>
      <c r="CK245" s="57"/>
      <c r="CL245" s="57"/>
      <c r="CM245" s="57"/>
      <c r="CN245" s="57"/>
      <c r="CO245" s="57"/>
      <c r="CP245" s="57"/>
      <c r="CQ245" s="57"/>
      <c r="CR245" s="57"/>
      <c r="CS245" s="57"/>
      <c r="CT245" s="57"/>
      <c r="CU245" s="57"/>
      <c r="CV245" s="57"/>
      <c r="CW245" s="57"/>
      <c r="CX245" s="57"/>
      <c r="CY245" s="57"/>
      <c r="CZ245" s="57"/>
      <c r="DA245" s="57"/>
      <c r="DB245" s="57"/>
      <c r="DC245" s="57"/>
      <c r="DD245" s="57"/>
      <c r="DE245" s="57"/>
      <c r="DF245" s="57"/>
      <c r="DG245" s="57"/>
      <c r="DH245" s="57"/>
      <c r="DI245" s="57"/>
      <c r="DJ245" s="57"/>
      <c r="DK245" s="57"/>
    </row>
    <row r="246" spans="1:115" ht="30" customHeight="1" x14ac:dyDescent="0.25">
      <c r="A246" s="58" t="s">
        <v>296</v>
      </c>
      <c r="B246" s="57">
        <v>18.440000534057617</v>
      </c>
      <c r="C246" s="67">
        <v>18.690000000000001</v>
      </c>
      <c r="D246" s="67">
        <v>18.690000000000001</v>
      </c>
      <c r="E246" s="67">
        <v>18.690000000000001</v>
      </c>
      <c r="F246" s="67">
        <v>18.577500000000001</v>
      </c>
      <c r="G246" s="6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  <c r="CJ246" s="57"/>
      <c r="CK246" s="57"/>
      <c r="CL246" s="57"/>
      <c r="CM246" s="57"/>
      <c r="CN246" s="57"/>
      <c r="CO246" s="57"/>
      <c r="CP246" s="57"/>
      <c r="CQ246" s="57"/>
      <c r="CR246" s="57"/>
      <c r="CS246" s="57"/>
      <c r="CT246" s="57"/>
      <c r="CU246" s="57"/>
      <c r="CV246" s="57"/>
      <c r="CW246" s="57"/>
      <c r="CX246" s="57"/>
      <c r="CY246" s="57"/>
      <c r="CZ246" s="57"/>
      <c r="DA246" s="57"/>
      <c r="DB246" s="57"/>
      <c r="DC246" s="57"/>
      <c r="DD246" s="57"/>
      <c r="DE246" s="57"/>
      <c r="DF246" s="57"/>
      <c r="DG246" s="57"/>
      <c r="DH246" s="57"/>
      <c r="DI246" s="57"/>
      <c r="DJ246" s="57"/>
      <c r="DK246" s="57"/>
    </row>
    <row r="247" spans="1:115" ht="30" customHeight="1" x14ac:dyDescent="0.25">
      <c r="A247" s="58" t="s">
        <v>297</v>
      </c>
      <c r="B247" s="57">
        <v>60.349998474121094</v>
      </c>
      <c r="C247" s="67">
        <v>60.1</v>
      </c>
      <c r="D247" s="67">
        <v>60.1</v>
      </c>
      <c r="E247" s="67">
        <v>60.1</v>
      </c>
      <c r="F247" s="67">
        <v>63.17</v>
      </c>
      <c r="G247" s="6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  <c r="CH247" s="57"/>
      <c r="CI247" s="57"/>
      <c r="CJ247" s="57"/>
      <c r="CK247" s="57"/>
      <c r="CL247" s="57"/>
      <c r="CM247" s="57"/>
      <c r="CN247" s="57"/>
      <c r="CO247" s="57"/>
      <c r="CP247" s="57"/>
      <c r="CQ247" s="57"/>
      <c r="CR247" s="57"/>
      <c r="CS247" s="57"/>
      <c r="CT247" s="57"/>
      <c r="CU247" s="57"/>
      <c r="CV247" s="57"/>
      <c r="CW247" s="57"/>
      <c r="CX247" s="57"/>
      <c r="CY247" s="57"/>
      <c r="CZ247" s="57"/>
      <c r="DA247" s="57"/>
      <c r="DB247" s="57"/>
      <c r="DC247" s="57"/>
      <c r="DD247" s="57"/>
      <c r="DE247" s="57"/>
      <c r="DF247" s="57"/>
      <c r="DG247" s="57"/>
      <c r="DH247" s="57"/>
      <c r="DI247" s="57"/>
      <c r="DJ247" s="57"/>
      <c r="DK247" s="57"/>
    </row>
    <row r="248" spans="1:115" ht="30" customHeight="1" x14ac:dyDescent="0.25">
      <c r="A248" s="58" t="s">
        <v>298</v>
      </c>
      <c r="B248" s="57">
        <v>21.549999237060547</v>
      </c>
      <c r="C248" s="67">
        <v>21.55</v>
      </c>
      <c r="D248" s="67">
        <v>21.55</v>
      </c>
      <c r="E248" s="67">
        <v>21.55</v>
      </c>
      <c r="F248" s="67">
        <v>21.7</v>
      </c>
      <c r="G248" s="6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  <c r="CH248" s="57"/>
      <c r="CI248" s="57"/>
      <c r="CJ248" s="57"/>
      <c r="CK248" s="57"/>
      <c r="CL248" s="57"/>
      <c r="CM248" s="57"/>
      <c r="CN248" s="57"/>
      <c r="CO248" s="57"/>
      <c r="CP248" s="57"/>
      <c r="CQ248" s="57"/>
      <c r="CR248" s="57"/>
      <c r="CS248" s="57"/>
      <c r="CT248" s="57"/>
      <c r="CU248" s="57"/>
      <c r="CV248" s="57"/>
      <c r="CW248" s="57"/>
      <c r="CX248" s="57"/>
      <c r="CY248" s="57"/>
      <c r="CZ248" s="57"/>
      <c r="DA248" s="57"/>
      <c r="DB248" s="57"/>
      <c r="DC248" s="57"/>
      <c r="DD248" s="57"/>
      <c r="DE248" s="57"/>
      <c r="DF248" s="57"/>
      <c r="DG248" s="57"/>
      <c r="DH248" s="57"/>
      <c r="DI248" s="57"/>
      <c r="DJ248" s="57"/>
      <c r="DK248" s="57"/>
    </row>
    <row r="249" spans="1:115" ht="30" customHeight="1" x14ac:dyDescent="0.25">
      <c r="A249" s="58" t="s">
        <v>299</v>
      </c>
      <c r="B249" s="57">
        <v>26.25</v>
      </c>
      <c r="C249" s="67">
        <v>26.7</v>
      </c>
      <c r="D249" s="67">
        <v>26.7</v>
      </c>
      <c r="E249" s="67">
        <v>26.7</v>
      </c>
      <c r="F249" s="67">
        <v>29.6</v>
      </c>
      <c r="G249" s="6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  <c r="CH249" s="57"/>
      <c r="CI249" s="57"/>
      <c r="CJ249" s="57"/>
      <c r="CK249" s="57"/>
      <c r="CL249" s="57"/>
      <c r="CM249" s="57"/>
      <c r="CN249" s="57"/>
      <c r="CO249" s="57"/>
      <c r="CP249" s="57"/>
      <c r="CQ249" s="57"/>
      <c r="CR249" s="57"/>
      <c r="CS249" s="57"/>
      <c r="CT249" s="57"/>
      <c r="CU249" s="57"/>
      <c r="CV249" s="57"/>
      <c r="CW249" s="57"/>
      <c r="CX249" s="57"/>
      <c r="CY249" s="57"/>
      <c r="CZ249" s="57"/>
      <c r="DA249" s="57"/>
      <c r="DB249" s="57"/>
      <c r="DC249" s="57"/>
      <c r="DD249" s="57"/>
      <c r="DE249" s="57"/>
      <c r="DF249" s="57"/>
      <c r="DG249" s="57"/>
      <c r="DH249" s="57"/>
      <c r="DI249" s="57"/>
      <c r="DJ249" s="57"/>
      <c r="DK249" s="57"/>
    </row>
    <row r="250" spans="1:115" ht="30" customHeight="1" x14ac:dyDescent="0.25">
      <c r="A250" s="58" t="s">
        <v>300</v>
      </c>
      <c r="B250" s="57">
        <v>6.070000171661377</v>
      </c>
      <c r="C250" s="67">
        <v>6.14</v>
      </c>
      <c r="D250" s="67">
        <v>6.14</v>
      </c>
      <c r="E250" s="67">
        <v>6.14</v>
      </c>
      <c r="F250" s="67">
        <v>6</v>
      </c>
      <c r="G250" s="6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  <c r="CH250" s="57"/>
      <c r="CI250" s="57"/>
      <c r="CJ250" s="57"/>
      <c r="CK250" s="57"/>
      <c r="CL250" s="57"/>
      <c r="CM250" s="57"/>
      <c r="CN250" s="57"/>
      <c r="CO250" s="57"/>
      <c r="CP250" s="57"/>
      <c r="CQ250" s="57"/>
      <c r="CR250" s="57"/>
      <c r="CS250" s="57"/>
      <c r="CT250" s="57"/>
      <c r="CU250" s="57"/>
      <c r="CV250" s="57"/>
      <c r="CW250" s="57"/>
      <c r="CX250" s="57"/>
      <c r="CY250" s="57"/>
      <c r="CZ250" s="57"/>
      <c r="DA250" s="57"/>
      <c r="DB250" s="57"/>
      <c r="DC250" s="57"/>
      <c r="DD250" s="57"/>
      <c r="DE250" s="57"/>
      <c r="DF250" s="57"/>
      <c r="DG250" s="57"/>
      <c r="DH250" s="57"/>
      <c r="DI250" s="57"/>
      <c r="DJ250" s="57"/>
      <c r="DK250" s="57"/>
    </row>
    <row r="251" spans="1:115" ht="30" customHeight="1" x14ac:dyDescent="0.25">
      <c r="A251" s="58" t="s">
        <v>301</v>
      </c>
      <c r="B251" s="57">
        <v>18.610000610351563</v>
      </c>
      <c r="C251" s="67">
        <v>19.260000000000002</v>
      </c>
      <c r="D251" s="67">
        <v>19.260000000000002</v>
      </c>
      <c r="E251" s="67">
        <v>19.260000000000002</v>
      </c>
      <c r="F251" s="67">
        <v>19.62</v>
      </c>
      <c r="G251" s="6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  <c r="CH251" s="57"/>
      <c r="CI251" s="57"/>
      <c r="CJ251" s="57"/>
      <c r="CK251" s="57"/>
      <c r="CL251" s="57"/>
      <c r="CM251" s="57"/>
      <c r="CN251" s="57"/>
      <c r="CO251" s="57"/>
      <c r="CP251" s="57"/>
      <c r="CQ251" s="57"/>
      <c r="CR251" s="57"/>
      <c r="CS251" s="57"/>
      <c r="CT251" s="57"/>
      <c r="CU251" s="57"/>
      <c r="CV251" s="57"/>
      <c r="CW251" s="57"/>
      <c r="CX251" s="57"/>
      <c r="CY251" s="57"/>
      <c r="CZ251" s="57"/>
      <c r="DA251" s="57"/>
      <c r="DB251" s="57"/>
      <c r="DC251" s="57"/>
      <c r="DD251" s="57"/>
      <c r="DE251" s="57"/>
      <c r="DF251" s="57"/>
      <c r="DG251" s="57"/>
      <c r="DH251" s="57"/>
      <c r="DI251" s="57"/>
      <c r="DJ251" s="57"/>
      <c r="DK251" s="57"/>
    </row>
    <row r="252" spans="1:115" ht="30" customHeight="1" x14ac:dyDescent="0.25">
      <c r="A252" s="58" t="s">
        <v>302</v>
      </c>
      <c r="B252" s="57">
        <v>14.359999656677246</v>
      </c>
      <c r="C252" s="67">
        <v>14.27</v>
      </c>
      <c r="D252" s="67">
        <v>14.27</v>
      </c>
      <c r="E252" s="67">
        <v>14.27</v>
      </c>
      <c r="F252" s="67">
        <v>13.6</v>
      </c>
      <c r="G252" s="6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L252" s="57"/>
      <c r="BM252" s="57"/>
      <c r="BN252" s="57"/>
      <c r="BO252" s="57"/>
      <c r="BP252" s="57"/>
      <c r="BQ252" s="57"/>
      <c r="BR252" s="57"/>
      <c r="BS252" s="57"/>
      <c r="BT252" s="57"/>
      <c r="BU252" s="57"/>
      <c r="BV252" s="57"/>
      <c r="BW252" s="57"/>
      <c r="BX252" s="57"/>
      <c r="BY252" s="57"/>
      <c r="BZ252" s="57"/>
      <c r="CA252" s="57"/>
      <c r="CB252" s="57"/>
      <c r="CC252" s="57"/>
      <c r="CD252" s="57"/>
      <c r="CE252" s="57"/>
      <c r="CF252" s="57"/>
      <c r="CG252" s="57"/>
      <c r="CH252" s="57"/>
      <c r="CI252" s="57"/>
      <c r="CJ252" s="57"/>
      <c r="CK252" s="57"/>
      <c r="CL252" s="57"/>
      <c r="CM252" s="57"/>
      <c r="CN252" s="57"/>
      <c r="CO252" s="57"/>
      <c r="CP252" s="57"/>
      <c r="CQ252" s="57"/>
      <c r="CR252" s="57"/>
      <c r="CS252" s="57"/>
      <c r="CT252" s="57"/>
      <c r="CU252" s="57"/>
      <c r="CV252" s="57"/>
      <c r="CW252" s="57"/>
      <c r="CX252" s="57"/>
      <c r="CY252" s="57"/>
      <c r="CZ252" s="57"/>
      <c r="DA252" s="57"/>
      <c r="DB252" s="57"/>
      <c r="DC252" s="57"/>
      <c r="DD252" s="57"/>
      <c r="DE252" s="57"/>
      <c r="DF252" s="57"/>
      <c r="DG252" s="57"/>
      <c r="DH252" s="57"/>
      <c r="DI252" s="57"/>
      <c r="DJ252" s="57"/>
      <c r="DK252" s="57"/>
    </row>
    <row r="253" spans="1:115" ht="30" customHeight="1" x14ac:dyDescent="0.25">
      <c r="A253" s="58" t="s">
        <v>303</v>
      </c>
      <c r="B253" s="57">
        <v>611.53997802734375</v>
      </c>
      <c r="C253" s="67">
        <v>613.22</v>
      </c>
      <c r="D253" s="67">
        <v>613.22</v>
      </c>
      <c r="E253" s="67">
        <v>613.22</v>
      </c>
      <c r="F253" s="67">
        <v>624.41999999999996</v>
      </c>
      <c r="G253" s="6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L253" s="57"/>
      <c r="BM253" s="57"/>
      <c r="BN253" s="57"/>
      <c r="BO253" s="57"/>
      <c r="BP253" s="57"/>
      <c r="BQ253" s="57"/>
      <c r="BR253" s="57"/>
      <c r="BS253" s="57"/>
      <c r="BT253" s="57"/>
      <c r="BU253" s="57"/>
      <c r="BV253" s="57"/>
      <c r="BW253" s="57"/>
      <c r="BX253" s="57"/>
      <c r="BY253" s="57"/>
      <c r="BZ253" s="57"/>
      <c r="CA253" s="57"/>
      <c r="CB253" s="57"/>
      <c r="CC253" s="57"/>
      <c r="CD253" s="57"/>
      <c r="CE253" s="57"/>
      <c r="CF253" s="57"/>
      <c r="CG253" s="57"/>
      <c r="CH253" s="57"/>
      <c r="CI253" s="57"/>
      <c r="CJ253" s="57"/>
      <c r="CK253" s="57"/>
      <c r="CL253" s="57"/>
      <c r="CM253" s="57"/>
      <c r="CN253" s="57"/>
      <c r="CO253" s="57"/>
      <c r="CP253" s="57"/>
      <c r="CQ253" s="57"/>
      <c r="CR253" s="57"/>
      <c r="CS253" s="57"/>
      <c r="CT253" s="57"/>
      <c r="CU253" s="57"/>
      <c r="CV253" s="57"/>
      <c r="CW253" s="57"/>
      <c r="CX253" s="57"/>
      <c r="CY253" s="57"/>
      <c r="CZ253" s="57"/>
      <c r="DA253" s="57"/>
      <c r="DB253" s="57"/>
      <c r="DC253" s="57"/>
      <c r="DD253" s="57"/>
      <c r="DE253" s="57"/>
      <c r="DF253" s="57"/>
      <c r="DG253" s="57"/>
      <c r="DH253" s="57"/>
      <c r="DI253" s="57"/>
      <c r="DJ253" s="57"/>
      <c r="DK253" s="57"/>
    </row>
    <row r="254" spans="1:115" ht="30" customHeight="1" x14ac:dyDescent="0.25">
      <c r="A254" s="58" t="s">
        <v>304</v>
      </c>
      <c r="B254" s="57">
        <v>43.700000762939453</v>
      </c>
      <c r="C254" s="67">
        <v>44.4</v>
      </c>
      <c r="D254" s="67">
        <v>44.4</v>
      </c>
      <c r="E254" s="67">
        <v>44.4</v>
      </c>
      <c r="F254" s="67">
        <v>45.93</v>
      </c>
      <c r="G254" s="6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57"/>
      <c r="BY254" s="57"/>
      <c r="BZ254" s="57"/>
      <c r="CA254" s="57"/>
      <c r="CB254" s="57"/>
      <c r="CC254" s="57"/>
      <c r="CD254" s="57"/>
      <c r="CE254" s="57"/>
      <c r="CF254" s="57"/>
      <c r="CG254" s="57"/>
      <c r="CH254" s="57"/>
      <c r="CI254" s="57"/>
      <c r="CJ254" s="57"/>
      <c r="CK254" s="57"/>
      <c r="CL254" s="57"/>
      <c r="CM254" s="57"/>
      <c r="CN254" s="57"/>
      <c r="CO254" s="57"/>
      <c r="CP254" s="57"/>
      <c r="CQ254" s="57"/>
      <c r="CR254" s="57"/>
      <c r="CS254" s="57"/>
      <c r="CT254" s="57"/>
      <c r="CU254" s="57"/>
      <c r="CV254" s="57"/>
      <c r="CW254" s="57"/>
      <c r="CX254" s="57"/>
      <c r="CY254" s="57"/>
      <c r="CZ254" s="57"/>
      <c r="DA254" s="57"/>
      <c r="DB254" s="57"/>
      <c r="DC254" s="57"/>
      <c r="DD254" s="57"/>
      <c r="DE254" s="57"/>
      <c r="DF254" s="57"/>
      <c r="DG254" s="57"/>
      <c r="DH254" s="57"/>
      <c r="DI254" s="57"/>
      <c r="DJ254" s="57"/>
      <c r="DK254" s="57"/>
    </row>
    <row r="255" spans="1:115" ht="30" customHeight="1" x14ac:dyDescent="0.25">
      <c r="A255" s="58" t="s">
        <v>305</v>
      </c>
      <c r="B255" s="57">
        <v>121.13999938964844</v>
      </c>
      <c r="C255" s="67">
        <v>120.77</v>
      </c>
      <c r="D255" s="67">
        <v>120.77</v>
      </c>
      <c r="E255" s="67">
        <v>120.77</v>
      </c>
      <c r="F255" s="67">
        <v>121.14</v>
      </c>
      <c r="G255" s="6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BY255" s="57"/>
      <c r="BZ255" s="57"/>
      <c r="CA255" s="57"/>
      <c r="CB255" s="57"/>
      <c r="CC255" s="57"/>
      <c r="CD255" s="57"/>
      <c r="CE255" s="57"/>
      <c r="CF255" s="57"/>
      <c r="CG255" s="57"/>
      <c r="CH255" s="57"/>
      <c r="CI255" s="57"/>
      <c r="CJ255" s="57"/>
      <c r="CK255" s="57"/>
      <c r="CL255" s="57"/>
      <c r="CM255" s="57"/>
      <c r="CN255" s="57"/>
      <c r="CO255" s="57"/>
      <c r="CP255" s="57"/>
      <c r="CQ255" s="57"/>
      <c r="CR255" s="57"/>
      <c r="CS255" s="57"/>
      <c r="CT255" s="57"/>
      <c r="CU255" s="57"/>
      <c r="CV255" s="57"/>
      <c r="CW255" s="57"/>
      <c r="CX255" s="57"/>
      <c r="CY255" s="57"/>
      <c r="CZ255" s="57"/>
      <c r="DA255" s="57"/>
      <c r="DB255" s="57"/>
      <c r="DC255" s="57"/>
      <c r="DD255" s="57"/>
      <c r="DE255" s="57"/>
      <c r="DF255" s="57"/>
      <c r="DG255" s="57"/>
      <c r="DH255" s="57"/>
      <c r="DI255" s="57"/>
      <c r="DJ255" s="57"/>
      <c r="DK255" s="57"/>
    </row>
    <row r="256" spans="1:115" ht="30" customHeight="1" x14ac:dyDescent="0.25">
      <c r="A256" s="58" t="s">
        <v>306</v>
      </c>
      <c r="B256" s="57">
        <v>14.409999847412109</v>
      </c>
      <c r="C256" s="67">
        <v>14.23</v>
      </c>
      <c r="D256" s="67">
        <v>14.23</v>
      </c>
      <c r="E256" s="67">
        <v>14.23</v>
      </c>
      <c r="F256" s="67">
        <v>14.41</v>
      </c>
      <c r="G256" s="6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B256" s="57"/>
      <c r="CC256" s="57"/>
      <c r="CD256" s="57"/>
      <c r="CE256" s="57"/>
      <c r="CF256" s="57"/>
      <c r="CG256" s="57"/>
      <c r="CH256" s="57"/>
      <c r="CI256" s="57"/>
      <c r="CJ256" s="57"/>
      <c r="CK256" s="57"/>
      <c r="CL256" s="57"/>
      <c r="CM256" s="57"/>
      <c r="CN256" s="57"/>
      <c r="CO256" s="57"/>
      <c r="CP256" s="57"/>
      <c r="CQ256" s="57"/>
      <c r="CR256" s="57"/>
      <c r="CS256" s="57"/>
      <c r="CT256" s="57"/>
      <c r="CU256" s="57"/>
      <c r="CV256" s="57"/>
      <c r="CW256" s="57"/>
      <c r="CX256" s="57"/>
      <c r="CY256" s="57"/>
      <c r="CZ256" s="57"/>
      <c r="DA256" s="57"/>
      <c r="DB256" s="57"/>
      <c r="DC256" s="57"/>
      <c r="DD256" s="57"/>
      <c r="DE256" s="57"/>
      <c r="DF256" s="57"/>
      <c r="DG256" s="57"/>
      <c r="DH256" s="57"/>
      <c r="DI256" s="57"/>
      <c r="DJ256" s="57"/>
      <c r="DK256" s="57"/>
    </row>
    <row r="257" spans="1:115" ht="30" customHeight="1" x14ac:dyDescent="0.25">
      <c r="A257" s="58" t="s">
        <v>307</v>
      </c>
      <c r="B257" s="57">
        <v>46.990001678466797</v>
      </c>
      <c r="C257" s="67">
        <v>46.9</v>
      </c>
      <c r="D257" s="67">
        <v>46.9</v>
      </c>
      <c r="E257" s="67">
        <v>46.9</v>
      </c>
      <c r="F257" s="67">
        <v>46.99</v>
      </c>
      <c r="G257" s="6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BY257" s="57"/>
      <c r="BZ257" s="57"/>
      <c r="CA257" s="57"/>
      <c r="CB257" s="57"/>
      <c r="CC257" s="57"/>
      <c r="CD257" s="57"/>
      <c r="CE257" s="57"/>
      <c r="CF257" s="57"/>
      <c r="CG257" s="57"/>
      <c r="CH257" s="57"/>
      <c r="CI257" s="57"/>
      <c r="CJ257" s="57"/>
      <c r="CK257" s="57"/>
      <c r="CL257" s="57"/>
      <c r="CM257" s="57"/>
      <c r="CN257" s="57"/>
      <c r="CO257" s="57"/>
      <c r="CP257" s="57"/>
      <c r="CQ257" s="57"/>
      <c r="CR257" s="57"/>
      <c r="CS257" s="57"/>
      <c r="CT257" s="57"/>
      <c r="CU257" s="57"/>
      <c r="CV257" s="57"/>
      <c r="CW257" s="57"/>
      <c r="CX257" s="57"/>
      <c r="CY257" s="57"/>
      <c r="CZ257" s="57"/>
      <c r="DA257" s="57"/>
      <c r="DB257" s="57"/>
      <c r="DC257" s="57"/>
      <c r="DD257" s="57"/>
      <c r="DE257" s="57"/>
      <c r="DF257" s="57"/>
      <c r="DG257" s="57"/>
      <c r="DH257" s="57"/>
      <c r="DI257" s="57"/>
      <c r="DJ257" s="57"/>
      <c r="DK257" s="57"/>
    </row>
    <row r="258" spans="1:115" ht="30" customHeight="1" x14ac:dyDescent="0.25">
      <c r="A258" s="58" t="s">
        <v>78</v>
      </c>
      <c r="B258" s="57">
        <v>21.329999923706055</v>
      </c>
      <c r="C258" s="67">
        <v>21.23</v>
      </c>
      <c r="D258" s="67">
        <v>21.23</v>
      </c>
      <c r="E258" s="67">
        <v>21.23</v>
      </c>
      <c r="F258" s="67">
        <v>21.33</v>
      </c>
      <c r="G258" s="6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BY258" s="57"/>
      <c r="BZ258" s="57"/>
      <c r="CA258" s="57"/>
      <c r="CB258" s="57"/>
      <c r="CC258" s="57"/>
      <c r="CD258" s="57"/>
      <c r="CE258" s="57"/>
      <c r="CF258" s="57"/>
      <c r="CG258" s="57"/>
      <c r="CH258" s="57"/>
      <c r="CI258" s="57"/>
      <c r="CJ258" s="57"/>
      <c r="CK258" s="57"/>
      <c r="CL258" s="57"/>
      <c r="CM258" s="57"/>
      <c r="CN258" s="57"/>
      <c r="CO258" s="57"/>
      <c r="CP258" s="57"/>
      <c r="CQ258" s="57"/>
      <c r="CR258" s="57"/>
      <c r="CS258" s="57"/>
      <c r="CT258" s="57"/>
      <c r="CU258" s="57"/>
      <c r="CV258" s="57"/>
      <c r="CW258" s="57"/>
      <c r="CX258" s="57"/>
      <c r="CY258" s="57"/>
      <c r="CZ258" s="57"/>
      <c r="DA258" s="57"/>
      <c r="DB258" s="57"/>
      <c r="DC258" s="57"/>
      <c r="DD258" s="57"/>
      <c r="DE258" s="57"/>
      <c r="DF258" s="57"/>
      <c r="DG258" s="57"/>
      <c r="DH258" s="57"/>
      <c r="DI258" s="57"/>
      <c r="DJ258" s="57"/>
      <c r="DK258" s="57"/>
    </row>
    <row r="259" spans="1:115" ht="30" customHeight="1" x14ac:dyDescent="0.25">
      <c r="A259" s="58" t="s">
        <v>308</v>
      </c>
      <c r="B259" s="57">
        <v>111.12000274658203</v>
      </c>
      <c r="C259" s="67">
        <v>111.99</v>
      </c>
      <c r="D259" s="67">
        <v>111.99</v>
      </c>
      <c r="E259" s="67">
        <v>111.99</v>
      </c>
      <c r="F259" s="67">
        <v>111.12</v>
      </c>
      <c r="G259" s="6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BY259" s="57"/>
      <c r="BZ259" s="57"/>
      <c r="CA259" s="57"/>
      <c r="CB259" s="57"/>
      <c r="CC259" s="57"/>
      <c r="CD259" s="57"/>
      <c r="CE259" s="57"/>
      <c r="CF259" s="57"/>
      <c r="CG259" s="57"/>
      <c r="CH259" s="57"/>
      <c r="CI259" s="57"/>
      <c r="CJ259" s="57"/>
      <c r="CK259" s="57"/>
      <c r="CL259" s="57"/>
      <c r="CM259" s="57"/>
      <c r="CN259" s="57"/>
      <c r="CO259" s="57"/>
      <c r="CP259" s="57"/>
      <c r="CQ259" s="57"/>
      <c r="CR259" s="57"/>
      <c r="CS259" s="57"/>
      <c r="CT259" s="57"/>
      <c r="CU259" s="57"/>
      <c r="CV259" s="57"/>
      <c r="CW259" s="57"/>
      <c r="CX259" s="57"/>
      <c r="CY259" s="57"/>
      <c r="CZ259" s="57"/>
      <c r="DA259" s="57"/>
      <c r="DB259" s="57"/>
      <c r="DC259" s="57"/>
      <c r="DD259" s="57"/>
      <c r="DE259" s="57"/>
      <c r="DF259" s="57"/>
      <c r="DG259" s="57"/>
      <c r="DH259" s="57"/>
      <c r="DI259" s="57"/>
      <c r="DJ259" s="57"/>
      <c r="DK259" s="57"/>
    </row>
    <row r="260" spans="1:115" ht="30" customHeight="1" x14ac:dyDescent="0.25">
      <c r="A260" s="58" t="s">
        <v>79</v>
      </c>
      <c r="B260" s="57">
        <v>101.73999786376953</v>
      </c>
      <c r="C260" s="67">
        <v>102.63</v>
      </c>
      <c r="D260" s="67">
        <v>102.63</v>
      </c>
      <c r="E260" s="67">
        <v>102.63</v>
      </c>
      <c r="F260" s="67">
        <v>101.74</v>
      </c>
      <c r="G260" s="6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L260" s="57"/>
      <c r="BM260" s="57"/>
      <c r="BN260" s="57"/>
      <c r="BO260" s="57"/>
      <c r="BP260" s="57"/>
      <c r="BQ260" s="57"/>
      <c r="BR260" s="57"/>
      <c r="BS260" s="57"/>
      <c r="BT260" s="57"/>
      <c r="BU260" s="57"/>
      <c r="BV260" s="57"/>
      <c r="BW260" s="57"/>
      <c r="BX260" s="57"/>
      <c r="BY260" s="57"/>
      <c r="BZ260" s="57"/>
      <c r="CA260" s="57"/>
      <c r="CB260" s="57"/>
      <c r="CC260" s="57"/>
      <c r="CD260" s="57"/>
      <c r="CE260" s="57"/>
      <c r="CF260" s="57"/>
      <c r="CG260" s="57"/>
      <c r="CH260" s="57"/>
      <c r="CI260" s="57"/>
      <c r="CJ260" s="57"/>
      <c r="CK260" s="57"/>
      <c r="CL260" s="57"/>
      <c r="CM260" s="57"/>
      <c r="CN260" s="57"/>
      <c r="CO260" s="57"/>
      <c r="CP260" s="57"/>
      <c r="CQ260" s="57"/>
      <c r="CR260" s="57"/>
      <c r="CS260" s="57"/>
      <c r="CT260" s="57"/>
      <c r="CU260" s="57"/>
      <c r="CV260" s="57"/>
      <c r="CW260" s="57"/>
      <c r="CX260" s="57"/>
      <c r="CY260" s="57"/>
      <c r="CZ260" s="57"/>
      <c r="DA260" s="57"/>
      <c r="DB260" s="57"/>
      <c r="DC260" s="57"/>
      <c r="DD260" s="57"/>
      <c r="DE260" s="57"/>
      <c r="DF260" s="57"/>
      <c r="DG260" s="57"/>
      <c r="DH260" s="57"/>
      <c r="DI260" s="57"/>
      <c r="DJ260" s="57"/>
      <c r="DK260" s="57"/>
    </row>
    <row r="261" spans="1:115" ht="30" customHeight="1" x14ac:dyDescent="0.25">
      <c r="A261" s="58" t="s">
        <v>309</v>
      </c>
      <c r="B261" s="57">
        <v>57.470001220703125</v>
      </c>
      <c r="C261" s="67">
        <v>56.86</v>
      </c>
      <c r="D261" s="67">
        <v>56.86</v>
      </c>
      <c r="E261" s="67">
        <v>56.86</v>
      </c>
      <c r="F261" s="67">
        <v>57.47</v>
      </c>
      <c r="G261" s="6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L261" s="57"/>
      <c r="BM261" s="57"/>
      <c r="BN261" s="57"/>
      <c r="BO261" s="57"/>
      <c r="BP261" s="57"/>
      <c r="BQ261" s="57"/>
      <c r="BR261" s="57"/>
      <c r="BS261" s="57"/>
      <c r="BT261" s="57"/>
      <c r="BU261" s="57"/>
      <c r="BV261" s="57"/>
      <c r="BW261" s="57"/>
      <c r="BX261" s="57"/>
      <c r="BY261" s="57"/>
      <c r="BZ261" s="57"/>
      <c r="CA261" s="57"/>
      <c r="CB261" s="57"/>
      <c r="CC261" s="57"/>
      <c r="CD261" s="57"/>
      <c r="CE261" s="57"/>
      <c r="CF261" s="57"/>
      <c r="CG261" s="57"/>
      <c r="CH261" s="57"/>
      <c r="CI261" s="57"/>
      <c r="CJ261" s="57"/>
      <c r="CK261" s="57"/>
      <c r="CL261" s="57"/>
      <c r="CM261" s="57"/>
      <c r="CN261" s="57"/>
      <c r="CO261" s="57"/>
      <c r="CP261" s="57"/>
      <c r="CQ261" s="57"/>
      <c r="CR261" s="57"/>
      <c r="CS261" s="57"/>
      <c r="CT261" s="57"/>
      <c r="CU261" s="57"/>
      <c r="CV261" s="57"/>
      <c r="CW261" s="57"/>
      <c r="CX261" s="57"/>
      <c r="CY261" s="57"/>
      <c r="CZ261" s="57"/>
      <c r="DA261" s="57"/>
      <c r="DB261" s="57"/>
      <c r="DC261" s="57"/>
      <c r="DD261" s="57"/>
      <c r="DE261" s="57"/>
      <c r="DF261" s="57"/>
      <c r="DG261" s="57"/>
      <c r="DH261" s="57"/>
      <c r="DI261" s="57"/>
      <c r="DJ261" s="57"/>
      <c r="DK261" s="57"/>
    </row>
    <row r="262" spans="1:115" ht="30" customHeight="1" x14ac:dyDescent="0.25">
      <c r="A262" s="58" t="s">
        <v>80</v>
      </c>
      <c r="B262" s="57">
        <v>32.959999084472656</v>
      </c>
      <c r="C262" s="67">
        <v>32.42</v>
      </c>
      <c r="D262" s="67">
        <v>32.42</v>
      </c>
      <c r="E262" s="67">
        <v>32.42</v>
      </c>
      <c r="F262" s="67">
        <v>32.96</v>
      </c>
      <c r="G262" s="6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7"/>
      <c r="CA262" s="57"/>
      <c r="CB262" s="57"/>
      <c r="CC262" s="57"/>
      <c r="CD262" s="57"/>
      <c r="CE262" s="57"/>
      <c r="CF262" s="57"/>
      <c r="CG262" s="57"/>
      <c r="CH262" s="57"/>
      <c r="CI262" s="57"/>
      <c r="CJ262" s="57"/>
      <c r="CK262" s="57"/>
      <c r="CL262" s="57"/>
      <c r="CM262" s="57"/>
      <c r="CN262" s="57"/>
      <c r="CO262" s="57"/>
      <c r="CP262" s="57"/>
      <c r="CQ262" s="57"/>
      <c r="CR262" s="57"/>
      <c r="CS262" s="57"/>
      <c r="CT262" s="57"/>
      <c r="CU262" s="57"/>
      <c r="CV262" s="57"/>
      <c r="CW262" s="57"/>
      <c r="CX262" s="57"/>
      <c r="CY262" s="57"/>
      <c r="CZ262" s="57"/>
      <c r="DA262" s="57"/>
      <c r="DB262" s="57"/>
      <c r="DC262" s="57"/>
      <c r="DD262" s="57"/>
      <c r="DE262" s="57"/>
      <c r="DF262" s="57"/>
      <c r="DG262" s="57"/>
      <c r="DH262" s="57"/>
      <c r="DI262" s="57"/>
      <c r="DJ262" s="57"/>
      <c r="DK262" s="57"/>
    </row>
    <row r="263" spans="1:115" ht="30" customHeight="1" x14ac:dyDescent="0.25">
      <c r="A263" s="58" t="s">
        <v>81</v>
      </c>
      <c r="B263" s="57">
        <v>9.5399999618530273</v>
      </c>
      <c r="C263" s="67">
        <v>9.36</v>
      </c>
      <c r="D263" s="67">
        <v>9.36</v>
      </c>
      <c r="E263" s="67">
        <v>9.36</v>
      </c>
      <c r="F263" s="67">
        <v>9.5399999999999991</v>
      </c>
      <c r="G263" s="6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7"/>
      <c r="CL263" s="57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7"/>
      <c r="CX263" s="57"/>
      <c r="CY263" s="57"/>
      <c r="CZ263" s="57"/>
      <c r="DA263" s="57"/>
      <c r="DB263" s="57"/>
      <c r="DC263" s="57"/>
      <c r="DD263" s="57"/>
      <c r="DE263" s="57"/>
      <c r="DF263" s="57"/>
      <c r="DG263" s="57"/>
      <c r="DH263" s="57"/>
      <c r="DI263" s="57"/>
      <c r="DJ263" s="57"/>
      <c r="DK263" s="57"/>
    </row>
    <row r="264" spans="1:115" ht="30" customHeight="1" x14ac:dyDescent="0.25">
      <c r="A264" s="58" t="s">
        <v>310</v>
      </c>
      <c r="B264" s="57">
        <v>39.549999237060547</v>
      </c>
      <c r="C264" s="67">
        <v>39.94</v>
      </c>
      <c r="D264" s="67">
        <v>39.94</v>
      </c>
      <c r="E264" s="67">
        <v>39.94</v>
      </c>
      <c r="F264" s="67">
        <v>39.549999999999997</v>
      </c>
      <c r="G264" s="6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B264" s="57"/>
      <c r="CC264" s="57"/>
      <c r="CD264" s="57"/>
      <c r="CE264" s="57"/>
      <c r="CF264" s="57"/>
      <c r="CG264" s="57"/>
      <c r="CH264" s="57"/>
      <c r="CI264" s="57"/>
      <c r="CJ264" s="57"/>
      <c r="CK264" s="57"/>
      <c r="CL264" s="57"/>
      <c r="CM264" s="57"/>
      <c r="CN264" s="57"/>
      <c r="CO264" s="57"/>
      <c r="CP264" s="57"/>
      <c r="CQ264" s="57"/>
      <c r="CR264" s="57"/>
      <c r="CS264" s="57"/>
      <c r="CT264" s="57"/>
      <c r="CU264" s="57"/>
      <c r="CV264" s="57"/>
      <c r="CW264" s="57"/>
      <c r="CX264" s="57"/>
      <c r="CY264" s="57"/>
      <c r="CZ264" s="57"/>
      <c r="DA264" s="57"/>
      <c r="DB264" s="57"/>
      <c r="DC264" s="57"/>
      <c r="DD264" s="57"/>
      <c r="DE264" s="57"/>
      <c r="DF264" s="57"/>
      <c r="DG264" s="57"/>
      <c r="DH264" s="57"/>
      <c r="DI264" s="57"/>
      <c r="DJ264" s="57"/>
      <c r="DK264" s="57"/>
    </row>
    <row r="265" spans="1:115" ht="30" customHeight="1" x14ac:dyDescent="0.25">
      <c r="A265" s="58" t="s">
        <v>311</v>
      </c>
      <c r="B265" s="57">
        <v>73.569999694824219</v>
      </c>
      <c r="C265" s="67">
        <v>73.59</v>
      </c>
      <c r="D265" s="67">
        <v>73.59</v>
      </c>
      <c r="E265" s="67">
        <v>73.59</v>
      </c>
      <c r="F265" s="67">
        <v>73.569999999999993</v>
      </c>
      <c r="G265" s="6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7"/>
      <c r="CL265" s="57"/>
      <c r="CM265" s="57"/>
      <c r="CN265" s="57"/>
      <c r="CO265" s="57"/>
      <c r="CP265" s="57"/>
      <c r="CQ265" s="57"/>
      <c r="CR265" s="57"/>
      <c r="CS265" s="57"/>
      <c r="CT265" s="57"/>
      <c r="CU265" s="57"/>
      <c r="CV265" s="57"/>
      <c r="CW265" s="57"/>
      <c r="CX265" s="57"/>
      <c r="CY265" s="57"/>
      <c r="CZ265" s="57"/>
      <c r="DA265" s="57"/>
      <c r="DB265" s="57"/>
      <c r="DC265" s="57"/>
      <c r="DD265" s="57"/>
      <c r="DE265" s="57"/>
      <c r="DF265" s="57"/>
      <c r="DG265" s="57"/>
      <c r="DH265" s="57"/>
      <c r="DI265" s="57"/>
      <c r="DJ265" s="57"/>
      <c r="DK265" s="57"/>
    </row>
    <row r="266" spans="1:115" ht="30" customHeight="1" x14ac:dyDescent="0.25">
      <c r="A266" s="58" t="s">
        <v>82</v>
      </c>
      <c r="B266" s="57">
        <v>15.800000190734863</v>
      </c>
      <c r="C266" s="67">
        <v>15.66</v>
      </c>
      <c r="D266" s="67">
        <v>15.66</v>
      </c>
      <c r="E266" s="67">
        <v>15.66</v>
      </c>
      <c r="F266" s="67">
        <v>15.8</v>
      </c>
      <c r="G266" s="6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B266" s="57"/>
      <c r="CC266" s="57"/>
      <c r="CD266" s="57"/>
      <c r="CE266" s="57"/>
      <c r="CF266" s="57"/>
      <c r="CG266" s="57"/>
      <c r="CH266" s="57"/>
      <c r="CI266" s="57"/>
      <c r="CJ266" s="57"/>
      <c r="CK266" s="57"/>
      <c r="CL266" s="57"/>
      <c r="CM266" s="57"/>
      <c r="CN266" s="57"/>
      <c r="CO266" s="57"/>
      <c r="CP266" s="57"/>
      <c r="CQ266" s="57"/>
      <c r="CR266" s="57"/>
      <c r="CS266" s="57"/>
      <c r="CT266" s="57"/>
      <c r="CU266" s="57"/>
      <c r="CV266" s="57"/>
      <c r="CW266" s="57"/>
      <c r="CX266" s="57"/>
      <c r="CY266" s="57"/>
      <c r="CZ266" s="57"/>
      <c r="DA266" s="57"/>
      <c r="DB266" s="57"/>
      <c r="DC266" s="57"/>
      <c r="DD266" s="57"/>
      <c r="DE266" s="57"/>
      <c r="DF266" s="57"/>
      <c r="DG266" s="57"/>
      <c r="DH266" s="57"/>
      <c r="DI266" s="57"/>
      <c r="DJ266" s="57"/>
      <c r="DK266" s="57"/>
    </row>
    <row r="267" spans="1:115" ht="30" customHeight="1" x14ac:dyDescent="0.25">
      <c r="A267" s="58" t="s">
        <v>312</v>
      </c>
      <c r="B267" s="57">
        <v>51.729999542236328</v>
      </c>
      <c r="C267" s="67">
        <v>52.72</v>
      </c>
      <c r="D267" s="67">
        <v>52.72</v>
      </c>
      <c r="E267" s="67">
        <v>52.72</v>
      </c>
      <c r="F267" s="67">
        <v>51.73</v>
      </c>
      <c r="G267" s="6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7"/>
      <c r="CL267" s="57"/>
      <c r="CM267" s="57"/>
      <c r="CN267" s="57"/>
      <c r="CO267" s="57"/>
      <c r="CP267" s="57"/>
      <c r="CQ267" s="57"/>
      <c r="CR267" s="57"/>
      <c r="CS267" s="57"/>
      <c r="CT267" s="57"/>
      <c r="CU267" s="57"/>
      <c r="CV267" s="57"/>
      <c r="CW267" s="57"/>
      <c r="CX267" s="57"/>
      <c r="CY267" s="57"/>
      <c r="CZ267" s="57"/>
      <c r="DA267" s="57"/>
      <c r="DB267" s="57"/>
      <c r="DC267" s="57"/>
      <c r="DD267" s="57"/>
      <c r="DE267" s="57"/>
      <c r="DF267" s="57"/>
      <c r="DG267" s="57"/>
      <c r="DH267" s="57"/>
      <c r="DI267" s="57"/>
      <c r="DJ267" s="57"/>
      <c r="DK267" s="57"/>
    </row>
    <row r="268" spans="1:115" ht="30" customHeight="1" x14ac:dyDescent="0.25">
      <c r="A268" s="58" t="s">
        <v>313</v>
      </c>
      <c r="B268" s="57">
        <v>49.099998474121094</v>
      </c>
      <c r="C268" s="67">
        <v>48.02</v>
      </c>
      <c r="D268" s="67">
        <v>48.02</v>
      </c>
      <c r="E268" s="67">
        <v>48.02</v>
      </c>
      <c r="F268" s="67">
        <v>49.1</v>
      </c>
      <c r="G268" s="6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B268" s="57"/>
      <c r="CC268" s="57"/>
      <c r="CD268" s="57"/>
      <c r="CE268" s="57"/>
      <c r="CF268" s="57"/>
      <c r="CG268" s="57"/>
      <c r="CH268" s="57"/>
      <c r="CI268" s="57"/>
      <c r="CJ268" s="57"/>
      <c r="CK268" s="57"/>
      <c r="CL268" s="57"/>
      <c r="CM268" s="57"/>
      <c r="CN268" s="57"/>
      <c r="CO268" s="57"/>
      <c r="CP268" s="57"/>
      <c r="CQ268" s="57"/>
      <c r="CR268" s="57"/>
      <c r="CS268" s="57"/>
      <c r="CT268" s="57"/>
      <c r="CU268" s="57"/>
      <c r="CV268" s="57"/>
      <c r="CW268" s="57"/>
      <c r="CX268" s="57"/>
      <c r="CY268" s="57"/>
      <c r="CZ268" s="57"/>
      <c r="DA268" s="57"/>
      <c r="DB268" s="57"/>
      <c r="DC268" s="57"/>
      <c r="DD268" s="57"/>
      <c r="DE268" s="57"/>
      <c r="DF268" s="57"/>
      <c r="DG268" s="57"/>
      <c r="DH268" s="57"/>
      <c r="DI268" s="57"/>
      <c r="DJ268" s="57"/>
      <c r="DK268" s="57"/>
    </row>
    <row r="269" spans="1:115" ht="30" customHeight="1" x14ac:dyDescent="0.25">
      <c r="A269" s="58" t="s">
        <v>314</v>
      </c>
      <c r="B269" s="57">
        <v>80.5</v>
      </c>
      <c r="C269" s="67">
        <v>79.45</v>
      </c>
      <c r="D269" s="67">
        <v>79.45</v>
      </c>
      <c r="E269" s="67">
        <v>79.45</v>
      </c>
      <c r="F269" s="67">
        <v>80.5</v>
      </c>
      <c r="G269" s="6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B269" s="57"/>
      <c r="CC269" s="57"/>
      <c r="CD269" s="57"/>
      <c r="CE269" s="57"/>
      <c r="CF269" s="57"/>
      <c r="CG269" s="57"/>
      <c r="CH269" s="57"/>
      <c r="CI269" s="57"/>
      <c r="CJ269" s="57"/>
      <c r="CK269" s="57"/>
      <c r="CL269" s="57"/>
      <c r="CM269" s="57"/>
      <c r="CN269" s="57"/>
      <c r="CO269" s="57"/>
      <c r="CP269" s="57"/>
      <c r="CQ269" s="57"/>
      <c r="CR269" s="57"/>
      <c r="CS269" s="57"/>
      <c r="CT269" s="57"/>
      <c r="CU269" s="57"/>
      <c r="CV269" s="57"/>
      <c r="CW269" s="57"/>
      <c r="CX269" s="57"/>
      <c r="CY269" s="57"/>
      <c r="CZ269" s="57"/>
      <c r="DA269" s="57"/>
      <c r="DB269" s="57"/>
      <c r="DC269" s="57"/>
      <c r="DD269" s="57"/>
      <c r="DE269" s="57"/>
      <c r="DF269" s="57"/>
      <c r="DG269" s="57"/>
      <c r="DH269" s="57"/>
      <c r="DI269" s="57"/>
      <c r="DJ269" s="57"/>
      <c r="DK269" s="57"/>
    </row>
    <row r="270" spans="1:115" ht="30" customHeight="1" x14ac:dyDescent="0.25">
      <c r="A270" s="58" t="s">
        <v>315</v>
      </c>
      <c r="B270" s="57">
        <v>36.409999847412109</v>
      </c>
      <c r="C270" s="67">
        <v>36.69</v>
      </c>
      <c r="D270" s="67">
        <v>36.69</v>
      </c>
      <c r="E270" s="67">
        <v>36.69</v>
      </c>
      <c r="F270" s="67">
        <v>36.409999999999997</v>
      </c>
      <c r="G270" s="6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7"/>
      <c r="CA270" s="57"/>
      <c r="CB270" s="57"/>
      <c r="CC270" s="57"/>
      <c r="CD270" s="57"/>
      <c r="CE270" s="57"/>
      <c r="CF270" s="57"/>
      <c r="CG270" s="57"/>
      <c r="CH270" s="57"/>
      <c r="CI270" s="57"/>
      <c r="CJ270" s="57"/>
      <c r="CK270" s="57"/>
      <c r="CL270" s="57"/>
      <c r="CM270" s="57"/>
      <c r="CN270" s="57"/>
      <c r="CO270" s="57"/>
      <c r="CP270" s="57"/>
      <c r="CQ270" s="57"/>
      <c r="CR270" s="57"/>
      <c r="CS270" s="57"/>
      <c r="CT270" s="57"/>
      <c r="CU270" s="57"/>
      <c r="CV270" s="57"/>
      <c r="CW270" s="57"/>
      <c r="CX270" s="57"/>
      <c r="CY270" s="57"/>
      <c r="CZ270" s="57"/>
      <c r="DA270" s="57"/>
      <c r="DB270" s="57"/>
      <c r="DC270" s="57"/>
      <c r="DD270" s="57"/>
      <c r="DE270" s="57"/>
      <c r="DF270" s="57"/>
      <c r="DG270" s="57"/>
      <c r="DH270" s="57"/>
      <c r="DI270" s="57"/>
      <c r="DJ270" s="57"/>
      <c r="DK270" s="57"/>
    </row>
    <row r="271" spans="1:115" ht="30" customHeight="1" x14ac:dyDescent="0.25">
      <c r="A271" s="58" t="s">
        <v>316</v>
      </c>
      <c r="B271" s="57">
        <v>17.030000686645508</v>
      </c>
      <c r="C271" s="67">
        <v>17.02</v>
      </c>
      <c r="D271" s="67">
        <v>17.02</v>
      </c>
      <c r="E271" s="67">
        <v>17.02</v>
      </c>
      <c r="F271" s="67">
        <v>17.03</v>
      </c>
      <c r="G271" s="6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7"/>
      <c r="CA271" s="57"/>
      <c r="CB271" s="57"/>
      <c r="CC271" s="57"/>
      <c r="CD271" s="57"/>
      <c r="CE271" s="57"/>
      <c r="CF271" s="57"/>
      <c r="CG271" s="57"/>
      <c r="CH271" s="57"/>
      <c r="CI271" s="57"/>
      <c r="CJ271" s="57"/>
      <c r="CK271" s="57"/>
      <c r="CL271" s="57"/>
      <c r="CM271" s="57"/>
      <c r="CN271" s="57"/>
      <c r="CO271" s="57"/>
      <c r="CP271" s="57"/>
      <c r="CQ271" s="57"/>
      <c r="CR271" s="57"/>
      <c r="CS271" s="57"/>
      <c r="CT271" s="57"/>
      <c r="CU271" s="57"/>
      <c r="CV271" s="57"/>
      <c r="CW271" s="57"/>
      <c r="CX271" s="57"/>
      <c r="CY271" s="57"/>
      <c r="CZ271" s="57"/>
      <c r="DA271" s="57"/>
      <c r="DB271" s="57"/>
      <c r="DC271" s="57"/>
      <c r="DD271" s="57"/>
      <c r="DE271" s="57"/>
      <c r="DF271" s="57"/>
      <c r="DG271" s="57"/>
      <c r="DH271" s="57"/>
      <c r="DI271" s="57"/>
      <c r="DJ271" s="57"/>
      <c r="DK271" s="57"/>
    </row>
    <row r="272" spans="1:115" ht="30" customHeight="1" x14ac:dyDescent="0.25">
      <c r="A272" s="58" t="s">
        <v>317</v>
      </c>
      <c r="B272" s="57">
        <v>87.419998168945313</v>
      </c>
      <c r="C272" s="67">
        <v>86.24</v>
      </c>
      <c r="D272" s="67">
        <v>86.24</v>
      </c>
      <c r="E272" s="67">
        <v>86.24</v>
      </c>
      <c r="F272" s="67">
        <v>87.42</v>
      </c>
      <c r="G272" s="6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BY272" s="57"/>
      <c r="BZ272" s="57"/>
      <c r="CA272" s="57"/>
      <c r="CB272" s="57"/>
      <c r="CC272" s="57"/>
      <c r="CD272" s="57"/>
      <c r="CE272" s="57"/>
      <c r="CF272" s="57"/>
      <c r="CG272" s="57"/>
      <c r="CH272" s="57"/>
      <c r="CI272" s="57"/>
      <c r="CJ272" s="57"/>
      <c r="CK272" s="57"/>
      <c r="CL272" s="57"/>
      <c r="CM272" s="57"/>
      <c r="CN272" s="57"/>
      <c r="CO272" s="57"/>
      <c r="CP272" s="57"/>
      <c r="CQ272" s="57"/>
      <c r="CR272" s="57"/>
      <c r="CS272" s="57"/>
      <c r="CT272" s="57"/>
      <c r="CU272" s="57"/>
      <c r="CV272" s="57"/>
      <c r="CW272" s="57"/>
      <c r="CX272" s="57"/>
      <c r="CY272" s="57"/>
      <c r="CZ272" s="57"/>
      <c r="DA272" s="57"/>
      <c r="DB272" s="57"/>
      <c r="DC272" s="57"/>
      <c r="DD272" s="57"/>
      <c r="DE272" s="57"/>
      <c r="DF272" s="57"/>
      <c r="DG272" s="57"/>
      <c r="DH272" s="57"/>
      <c r="DI272" s="57"/>
      <c r="DJ272" s="57"/>
      <c r="DK272" s="57"/>
    </row>
    <row r="273" spans="1:115" ht="30" customHeight="1" x14ac:dyDescent="0.25">
      <c r="A273" s="58" t="s">
        <v>318</v>
      </c>
      <c r="B273" s="57">
        <v>20.180000305175781</v>
      </c>
      <c r="C273" s="67">
        <v>19.77</v>
      </c>
      <c r="D273" s="67">
        <v>19.77</v>
      </c>
      <c r="E273" s="67">
        <v>19.77</v>
      </c>
      <c r="F273" s="67">
        <v>20.18</v>
      </c>
      <c r="G273" s="6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BY273" s="57"/>
      <c r="BZ273" s="57"/>
      <c r="CA273" s="57"/>
      <c r="CB273" s="57"/>
      <c r="CC273" s="57"/>
      <c r="CD273" s="57"/>
      <c r="CE273" s="57"/>
      <c r="CF273" s="57"/>
      <c r="CG273" s="57"/>
      <c r="CH273" s="57"/>
      <c r="CI273" s="57"/>
      <c r="CJ273" s="57"/>
      <c r="CK273" s="57"/>
      <c r="CL273" s="57"/>
      <c r="CM273" s="57"/>
      <c r="CN273" s="57"/>
      <c r="CO273" s="57"/>
      <c r="CP273" s="57"/>
      <c r="CQ273" s="57"/>
      <c r="CR273" s="57"/>
      <c r="CS273" s="57"/>
      <c r="CT273" s="57"/>
      <c r="CU273" s="57"/>
      <c r="CV273" s="57"/>
      <c r="CW273" s="57"/>
      <c r="CX273" s="57"/>
      <c r="CY273" s="57"/>
      <c r="CZ273" s="57"/>
      <c r="DA273" s="57"/>
      <c r="DB273" s="57"/>
      <c r="DC273" s="57"/>
      <c r="DD273" s="57"/>
      <c r="DE273" s="57"/>
      <c r="DF273" s="57"/>
      <c r="DG273" s="57"/>
      <c r="DH273" s="57"/>
      <c r="DI273" s="57"/>
      <c r="DJ273" s="57"/>
      <c r="DK273" s="57"/>
    </row>
    <row r="274" spans="1:115" ht="30" customHeight="1" x14ac:dyDescent="0.25">
      <c r="A274" s="58" t="s">
        <v>83</v>
      </c>
      <c r="B274" s="57">
        <v>99.120002746582031</v>
      </c>
      <c r="C274" s="67">
        <v>101.79</v>
      </c>
      <c r="D274" s="67">
        <v>101.79</v>
      </c>
      <c r="E274" s="67">
        <v>101.79</v>
      </c>
      <c r="F274" s="67">
        <v>99.12</v>
      </c>
      <c r="G274" s="6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  <c r="BO274" s="57"/>
      <c r="BP274" s="57"/>
      <c r="BQ274" s="57"/>
      <c r="BR274" s="57"/>
      <c r="BS274" s="57"/>
      <c r="BT274" s="57"/>
      <c r="BU274" s="57"/>
      <c r="BV274" s="57"/>
      <c r="BW274" s="57"/>
      <c r="BX274" s="57"/>
      <c r="BY274" s="57"/>
      <c r="BZ274" s="57"/>
      <c r="CA274" s="57"/>
      <c r="CB274" s="57"/>
      <c r="CC274" s="57"/>
      <c r="CD274" s="57"/>
      <c r="CE274" s="57"/>
      <c r="CF274" s="57"/>
      <c r="CG274" s="57"/>
      <c r="CH274" s="57"/>
      <c r="CI274" s="57"/>
      <c r="CJ274" s="57"/>
      <c r="CK274" s="57"/>
      <c r="CL274" s="57"/>
      <c r="CM274" s="57"/>
      <c r="CN274" s="57"/>
      <c r="CO274" s="57"/>
      <c r="CP274" s="57"/>
      <c r="CQ274" s="57"/>
      <c r="CR274" s="57"/>
      <c r="CS274" s="57"/>
      <c r="CT274" s="57"/>
      <c r="CU274" s="57"/>
      <c r="CV274" s="57"/>
      <c r="CW274" s="57"/>
      <c r="CX274" s="57"/>
      <c r="CY274" s="57"/>
      <c r="CZ274" s="57"/>
      <c r="DA274" s="57"/>
      <c r="DB274" s="57"/>
      <c r="DC274" s="57"/>
      <c r="DD274" s="57"/>
      <c r="DE274" s="57"/>
      <c r="DF274" s="57"/>
      <c r="DG274" s="57"/>
      <c r="DH274" s="57"/>
      <c r="DI274" s="57"/>
      <c r="DJ274" s="57"/>
      <c r="DK274" s="57"/>
    </row>
    <row r="275" spans="1:115" ht="30" customHeight="1" x14ac:dyDescent="0.25">
      <c r="A275" s="58" t="s">
        <v>319</v>
      </c>
      <c r="B275" s="57">
        <v>45.069999694824219</v>
      </c>
      <c r="C275" s="67">
        <v>45.74</v>
      </c>
      <c r="D275" s="67">
        <v>45.74</v>
      </c>
      <c r="E275" s="67">
        <v>45.74</v>
      </c>
      <c r="F275" s="67">
        <v>45.07</v>
      </c>
      <c r="G275" s="6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L275" s="57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BY275" s="57"/>
      <c r="BZ275" s="57"/>
      <c r="CA275" s="57"/>
      <c r="CB275" s="57"/>
      <c r="CC275" s="57"/>
      <c r="CD275" s="57"/>
      <c r="CE275" s="57"/>
      <c r="CF275" s="57"/>
      <c r="CG275" s="57"/>
      <c r="CH275" s="57"/>
      <c r="CI275" s="57"/>
      <c r="CJ275" s="57"/>
      <c r="CK275" s="57"/>
      <c r="CL275" s="57"/>
      <c r="CM275" s="57"/>
      <c r="CN275" s="57"/>
      <c r="CO275" s="57"/>
      <c r="CP275" s="57"/>
      <c r="CQ275" s="57"/>
      <c r="CR275" s="57"/>
      <c r="CS275" s="57"/>
      <c r="CT275" s="57"/>
      <c r="CU275" s="57"/>
      <c r="CV275" s="57"/>
      <c r="CW275" s="57"/>
      <c r="CX275" s="57"/>
      <c r="CY275" s="57"/>
      <c r="CZ275" s="57"/>
      <c r="DA275" s="57"/>
      <c r="DB275" s="57"/>
      <c r="DC275" s="57"/>
      <c r="DD275" s="57"/>
      <c r="DE275" s="57"/>
      <c r="DF275" s="57"/>
      <c r="DG275" s="57"/>
      <c r="DH275" s="57"/>
      <c r="DI275" s="57"/>
      <c r="DJ275" s="57"/>
      <c r="DK275" s="57"/>
    </row>
    <row r="276" spans="1:115" ht="30" customHeight="1" x14ac:dyDescent="0.25">
      <c r="A276" s="58" t="s">
        <v>84</v>
      </c>
      <c r="B276" s="57">
        <v>11.470000267028809</v>
      </c>
      <c r="C276" s="67">
        <v>10.87</v>
      </c>
      <c r="D276" s="67">
        <v>10.87</v>
      </c>
      <c r="E276" s="67">
        <v>10.87</v>
      </c>
      <c r="F276" s="67">
        <v>11.47</v>
      </c>
      <c r="G276" s="6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L276" s="57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BY276" s="57"/>
      <c r="BZ276" s="57"/>
      <c r="CA276" s="57"/>
      <c r="CB276" s="57"/>
      <c r="CC276" s="57"/>
      <c r="CD276" s="57"/>
      <c r="CE276" s="57"/>
      <c r="CF276" s="57"/>
      <c r="CG276" s="57"/>
      <c r="CH276" s="57"/>
      <c r="CI276" s="57"/>
      <c r="CJ276" s="57"/>
      <c r="CK276" s="57"/>
      <c r="CL276" s="57"/>
      <c r="CM276" s="57"/>
      <c r="CN276" s="57"/>
      <c r="CO276" s="57"/>
      <c r="CP276" s="57"/>
      <c r="CQ276" s="57"/>
      <c r="CR276" s="57"/>
      <c r="CS276" s="57"/>
      <c r="CT276" s="57"/>
      <c r="CU276" s="57"/>
      <c r="CV276" s="57"/>
      <c r="CW276" s="57"/>
      <c r="CX276" s="57"/>
      <c r="CY276" s="57"/>
      <c r="CZ276" s="57"/>
      <c r="DA276" s="57"/>
      <c r="DB276" s="57"/>
      <c r="DC276" s="57"/>
      <c r="DD276" s="57"/>
      <c r="DE276" s="57"/>
      <c r="DF276" s="57"/>
      <c r="DG276" s="57"/>
      <c r="DH276" s="57"/>
      <c r="DI276" s="57"/>
      <c r="DJ276" s="57"/>
      <c r="DK276" s="57"/>
    </row>
    <row r="277" spans="1:115" ht="30" customHeight="1" x14ac:dyDescent="0.25">
      <c r="A277" s="58" t="s">
        <v>320</v>
      </c>
      <c r="B277" s="57">
        <v>31.309999465942383</v>
      </c>
      <c r="C277" s="67">
        <v>31.63</v>
      </c>
      <c r="D277" s="67">
        <v>31.63</v>
      </c>
      <c r="E277" s="67">
        <v>31.63</v>
      </c>
      <c r="F277" s="67">
        <v>31.31</v>
      </c>
      <c r="G277" s="6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L277" s="57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BY277" s="57"/>
      <c r="BZ277" s="57"/>
      <c r="CA277" s="57"/>
      <c r="CB277" s="57"/>
      <c r="CC277" s="57"/>
      <c r="CD277" s="57"/>
      <c r="CE277" s="57"/>
      <c r="CF277" s="57"/>
      <c r="CG277" s="57"/>
      <c r="CH277" s="57"/>
      <c r="CI277" s="57"/>
      <c r="CJ277" s="57"/>
      <c r="CK277" s="57"/>
      <c r="CL277" s="57"/>
      <c r="CM277" s="57"/>
      <c r="CN277" s="57"/>
      <c r="CO277" s="57"/>
      <c r="CP277" s="57"/>
      <c r="CQ277" s="57"/>
      <c r="CR277" s="57"/>
      <c r="CS277" s="57"/>
      <c r="CT277" s="57"/>
      <c r="CU277" s="57"/>
      <c r="CV277" s="57"/>
      <c r="CW277" s="57"/>
      <c r="CX277" s="57"/>
      <c r="CY277" s="57"/>
      <c r="CZ277" s="57"/>
      <c r="DA277" s="57"/>
      <c r="DB277" s="57"/>
      <c r="DC277" s="57"/>
      <c r="DD277" s="57"/>
      <c r="DE277" s="57"/>
      <c r="DF277" s="57"/>
      <c r="DG277" s="57"/>
      <c r="DH277" s="57"/>
      <c r="DI277" s="57"/>
      <c r="DJ277" s="57"/>
      <c r="DK277" s="57"/>
    </row>
    <row r="278" spans="1:115" ht="30" customHeight="1" x14ac:dyDescent="0.25">
      <c r="A278" s="58" t="s">
        <v>85</v>
      </c>
      <c r="B278" s="57">
        <v>113.69999694824219</v>
      </c>
      <c r="C278" s="67">
        <v>115.73</v>
      </c>
      <c r="D278" s="67">
        <v>115.73</v>
      </c>
      <c r="E278" s="67">
        <v>115.73</v>
      </c>
      <c r="F278" s="67">
        <v>113.7</v>
      </c>
      <c r="G278" s="6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  <c r="BO278" s="57"/>
      <c r="BP278" s="57"/>
      <c r="BQ278" s="57"/>
      <c r="BR278" s="57"/>
      <c r="BS278" s="57"/>
      <c r="BT278" s="57"/>
      <c r="BU278" s="57"/>
      <c r="BV278" s="57"/>
      <c r="BW278" s="57"/>
      <c r="BX278" s="57"/>
      <c r="BY278" s="57"/>
      <c r="BZ278" s="57"/>
      <c r="CA278" s="57"/>
      <c r="CB278" s="57"/>
      <c r="CC278" s="57"/>
      <c r="CD278" s="57"/>
      <c r="CE278" s="57"/>
      <c r="CF278" s="57"/>
      <c r="CG278" s="57"/>
      <c r="CH278" s="57"/>
      <c r="CI278" s="57"/>
      <c r="CJ278" s="57"/>
      <c r="CK278" s="57"/>
      <c r="CL278" s="57"/>
      <c r="CM278" s="57"/>
      <c r="CN278" s="57"/>
      <c r="CO278" s="57"/>
      <c r="CP278" s="57"/>
      <c r="CQ278" s="57"/>
      <c r="CR278" s="57"/>
      <c r="CS278" s="57"/>
      <c r="CT278" s="57"/>
      <c r="CU278" s="57"/>
      <c r="CV278" s="57"/>
      <c r="CW278" s="57"/>
      <c r="CX278" s="57"/>
      <c r="CY278" s="57"/>
      <c r="CZ278" s="57"/>
      <c r="DA278" s="57"/>
      <c r="DB278" s="57"/>
      <c r="DC278" s="57"/>
      <c r="DD278" s="57"/>
      <c r="DE278" s="57"/>
      <c r="DF278" s="57"/>
      <c r="DG278" s="57"/>
      <c r="DH278" s="57"/>
      <c r="DI278" s="57"/>
      <c r="DJ278" s="57"/>
      <c r="DK278" s="57"/>
    </row>
    <row r="279" spans="1:115" ht="30" customHeight="1" x14ac:dyDescent="0.25">
      <c r="A279" s="58" t="s">
        <v>321</v>
      </c>
      <c r="B279" s="57">
        <v>20.809999465942383</v>
      </c>
      <c r="C279" s="67">
        <v>20.8</v>
      </c>
      <c r="D279" s="67">
        <v>20.8</v>
      </c>
      <c r="E279" s="67">
        <v>20.8</v>
      </c>
      <c r="F279" s="67">
        <v>20.81</v>
      </c>
      <c r="G279" s="6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L279" s="57"/>
      <c r="BM279" s="57"/>
      <c r="BN279" s="57"/>
      <c r="BO279" s="57"/>
      <c r="BP279" s="57"/>
      <c r="BQ279" s="57"/>
      <c r="BR279" s="57"/>
      <c r="BS279" s="57"/>
      <c r="BT279" s="57"/>
      <c r="BU279" s="57"/>
      <c r="BV279" s="57"/>
      <c r="BW279" s="57"/>
      <c r="BX279" s="57"/>
      <c r="BY279" s="57"/>
      <c r="BZ279" s="57"/>
      <c r="CA279" s="57"/>
      <c r="CB279" s="57"/>
      <c r="CC279" s="57"/>
      <c r="CD279" s="57"/>
      <c r="CE279" s="57"/>
      <c r="CF279" s="57"/>
      <c r="CG279" s="57"/>
      <c r="CH279" s="57"/>
      <c r="CI279" s="57"/>
      <c r="CJ279" s="57"/>
      <c r="CK279" s="57"/>
      <c r="CL279" s="57"/>
      <c r="CM279" s="57"/>
      <c r="CN279" s="57"/>
      <c r="CO279" s="57"/>
      <c r="CP279" s="57"/>
      <c r="CQ279" s="57"/>
      <c r="CR279" s="57"/>
      <c r="CS279" s="57"/>
      <c r="CT279" s="57"/>
      <c r="CU279" s="57"/>
      <c r="CV279" s="57"/>
      <c r="CW279" s="57"/>
      <c r="CX279" s="57"/>
      <c r="CY279" s="57"/>
      <c r="CZ279" s="57"/>
      <c r="DA279" s="57"/>
      <c r="DB279" s="57"/>
      <c r="DC279" s="57"/>
      <c r="DD279" s="57"/>
      <c r="DE279" s="57"/>
      <c r="DF279" s="57"/>
      <c r="DG279" s="57"/>
      <c r="DH279" s="57"/>
      <c r="DI279" s="57"/>
      <c r="DJ279" s="57"/>
      <c r="DK279" s="57"/>
    </row>
    <row r="280" spans="1:115" ht="30" customHeight="1" x14ac:dyDescent="0.25">
      <c r="A280" s="58" t="s">
        <v>322</v>
      </c>
      <c r="B280" s="57">
        <v>129.25999450683594</v>
      </c>
      <c r="C280" s="67">
        <v>136.96</v>
      </c>
      <c r="D280" s="67">
        <v>136.96</v>
      </c>
      <c r="E280" s="67">
        <v>136.96</v>
      </c>
      <c r="F280" s="67">
        <v>129.26</v>
      </c>
      <c r="G280" s="6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  <c r="BO280" s="57"/>
      <c r="BP280" s="57"/>
      <c r="BQ280" s="57"/>
      <c r="BR280" s="57"/>
      <c r="BS280" s="57"/>
      <c r="BT280" s="57"/>
      <c r="BU280" s="57"/>
      <c r="BV280" s="57"/>
      <c r="BW280" s="57"/>
      <c r="BX280" s="57"/>
      <c r="BY280" s="57"/>
      <c r="BZ280" s="57"/>
      <c r="CA280" s="57"/>
      <c r="CB280" s="57"/>
      <c r="CC280" s="57"/>
      <c r="CD280" s="57"/>
      <c r="CE280" s="57"/>
      <c r="CF280" s="57"/>
      <c r="CG280" s="57"/>
      <c r="CH280" s="57"/>
      <c r="CI280" s="57"/>
      <c r="CJ280" s="57"/>
      <c r="CK280" s="57"/>
      <c r="CL280" s="57"/>
      <c r="CM280" s="57"/>
      <c r="CN280" s="57"/>
      <c r="CO280" s="57"/>
      <c r="CP280" s="57"/>
      <c r="CQ280" s="57"/>
      <c r="CR280" s="57"/>
      <c r="CS280" s="57"/>
      <c r="CT280" s="57"/>
      <c r="CU280" s="57"/>
      <c r="CV280" s="57"/>
      <c r="CW280" s="57"/>
      <c r="CX280" s="57"/>
      <c r="CY280" s="57"/>
      <c r="CZ280" s="57"/>
      <c r="DA280" s="57"/>
      <c r="DB280" s="57"/>
      <c r="DC280" s="57"/>
      <c r="DD280" s="57"/>
      <c r="DE280" s="57"/>
      <c r="DF280" s="57"/>
      <c r="DG280" s="57"/>
      <c r="DH280" s="57"/>
      <c r="DI280" s="57"/>
      <c r="DJ280" s="57"/>
      <c r="DK280" s="57"/>
    </row>
    <row r="281" spans="1:115" ht="30" customHeight="1" x14ac:dyDescent="0.25">
      <c r="A281" s="58" t="s">
        <v>323</v>
      </c>
      <c r="B281" s="57">
        <v>34.310001373291016</v>
      </c>
      <c r="C281" s="67">
        <v>34.58</v>
      </c>
      <c r="D281" s="67">
        <v>34.58</v>
      </c>
      <c r="E281" s="67">
        <v>34.58</v>
      </c>
      <c r="F281" s="67">
        <v>34.31</v>
      </c>
      <c r="G281" s="6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L281" s="57"/>
      <c r="BM281" s="57"/>
      <c r="BN281" s="57"/>
      <c r="BO281" s="57"/>
      <c r="BP281" s="57"/>
      <c r="BQ281" s="57"/>
      <c r="BR281" s="57"/>
      <c r="BS281" s="57"/>
      <c r="BT281" s="57"/>
      <c r="BU281" s="57"/>
      <c r="BV281" s="57"/>
      <c r="BW281" s="57"/>
      <c r="BX281" s="57"/>
      <c r="BY281" s="57"/>
      <c r="BZ281" s="57"/>
      <c r="CA281" s="57"/>
      <c r="CB281" s="57"/>
      <c r="CC281" s="57"/>
      <c r="CD281" s="57"/>
      <c r="CE281" s="57"/>
      <c r="CF281" s="57"/>
      <c r="CG281" s="57"/>
      <c r="CH281" s="57"/>
      <c r="CI281" s="57"/>
      <c r="CJ281" s="57"/>
      <c r="CK281" s="57"/>
      <c r="CL281" s="57"/>
      <c r="CM281" s="57"/>
      <c r="CN281" s="57"/>
      <c r="CO281" s="57"/>
      <c r="CP281" s="57"/>
      <c r="CQ281" s="57"/>
      <c r="CR281" s="57"/>
      <c r="CS281" s="57"/>
      <c r="CT281" s="57"/>
      <c r="CU281" s="57"/>
      <c r="CV281" s="57"/>
      <c r="CW281" s="57"/>
      <c r="CX281" s="57"/>
      <c r="CY281" s="57"/>
      <c r="CZ281" s="57"/>
      <c r="DA281" s="57"/>
      <c r="DB281" s="57"/>
      <c r="DC281" s="57"/>
      <c r="DD281" s="57"/>
      <c r="DE281" s="57"/>
      <c r="DF281" s="57"/>
      <c r="DG281" s="57"/>
      <c r="DH281" s="57"/>
      <c r="DI281" s="57"/>
      <c r="DJ281" s="57"/>
      <c r="DK281" s="57"/>
    </row>
    <row r="282" spans="1:115" ht="30" customHeight="1" x14ac:dyDescent="0.25">
      <c r="A282" s="58" t="s">
        <v>324</v>
      </c>
      <c r="B282" s="57">
        <v>29.229999542236328</v>
      </c>
      <c r="C282" s="67">
        <v>29.27</v>
      </c>
      <c r="D282" s="67">
        <v>29.27</v>
      </c>
      <c r="E282" s="67">
        <v>29.27</v>
      </c>
      <c r="F282" s="67">
        <v>29.23</v>
      </c>
      <c r="G282" s="6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BY282" s="57"/>
      <c r="BZ282" s="57"/>
      <c r="CA282" s="57"/>
      <c r="CB282" s="57"/>
      <c r="CC282" s="57"/>
      <c r="CD282" s="57"/>
      <c r="CE282" s="57"/>
      <c r="CF282" s="57"/>
      <c r="CG282" s="57"/>
      <c r="CH282" s="57"/>
      <c r="CI282" s="57"/>
      <c r="CJ282" s="57"/>
      <c r="CK282" s="57"/>
      <c r="CL282" s="57"/>
      <c r="CM282" s="57"/>
      <c r="CN282" s="57"/>
      <c r="CO282" s="57"/>
      <c r="CP282" s="57"/>
      <c r="CQ282" s="57"/>
      <c r="CR282" s="57"/>
      <c r="CS282" s="57"/>
      <c r="CT282" s="57"/>
      <c r="CU282" s="57"/>
      <c r="CV282" s="57"/>
      <c r="CW282" s="57"/>
      <c r="CX282" s="57"/>
      <c r="CY282" s="57"/>
      <c r="CZ282" s="57"/>
      <c r="DA282" s="57"/>
      <c r="DB282" s="57"/>
      <c r="DC282" s="57"/>
      <c r="DD282" s="57"/>
      <c r="DE282" s="57"/>
      <c r="DF282" s="57"/>
      <c r="DG282" s="57"/>
      <c r="DH282" s="57"/>
      <c r="DI282" s="57"/>
      <c r="DJ282" s="57"/>
      <c r="DK282" s="57"/>
    </row>
    <row r="283" spans="1:115" ht="30" customHeight="1" x14ac:dyDescent="0.25">
      <c r="A283" s="58" t="s">
        <v>325</v>
      </c>
      <c r="B283" s="57">
        <v>10.020000457763672</v>
      </c>
      <c r="C283" s="67">
        <v>10.02</v>
      </c>
      <c r="D283" s="67">
        <v>10.02</v>
      </c>
      <c r="E283" s="67">
        <v>10.02</v>
      </c>
      <c r="F283" s="67">
        <v>10.02</v>
      </c>
      <c r="G283" s="6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BY283" s="57"/>
      <c r="BZ283" s="57"/>
      <c r="CA283" s="57"/>
      <c r="CB283" s="57"/>
      <c r="CC283" s="57"/>
      <c r="CD283" s="57"/>
      <c r="CE283" s="57"/>
      <c r="CF283" s="57"/>
      <c r="CG283" s="57"/>
      <c r="CH283" s="57"/>
      <c r="CI283" s="57"/>
      <c r="CJ283" s="57"/>
      <c r="CK283" s="57"/>
      <c r="CL283" s="57"/>
      <c r="CM283" s="57"/>
      <c r="CN283" s="57"/>
      <c r="CO283" s="57"/>
      <c r="CP283" s="57"/>
      <c r="CQ283" s="57"/>
      <c r="CR283" s="57"/>
      <c r="CS283" s="57"/>
      <c r="CT283" s="57"/>
      <c r="CU283" s="57"/>
      <c r="CV283" s="57"/>
      <c r="CW283" s="57"/>
      <c r="CX283" s="57"/>
      <c r="CY283" s="57"/>
      <c r="CZ283" s="57"/>
      <c r="DA283" s="57"/>
      <c r="DB283" s="57"/>
      <c r="DC283" s="57"/>
      <c r="DD283" s="57"/>
      <c r="DE283" s="57"/>
      <c r="DF283" s="57"/>
      <c r="DG283" s="57"/>
      <c r="DH283" s="57"/>
      <c r="DI283" s="57"/>
      <c r="DJ283" s="57"/>
      <c r="DK283" s="57"/>
    </row>
    <row r="284" spans="1:115" ht="30" customHeight="1" x14ac:dyDescent="0.25">
      <c r="A284" s="58" t="s">
        <v>326</v>
      </c>
      <c r="B284" s="57">
        <v>146.58999633789063</v>
      </c>
      <c r="C284" s="67">
        <v>146.57</v>
      </c>
      <c r="D284" s="67">
        <v>146.57</v>
      </c>
      <c r="E284" s="67">
        <v>146.57</v>
      </c>
      <c r="F284" s="67">
        <v>146.59</v>
      </c>
      <c r="G284" s="6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BY284" s="57"/>
      <c r="BZ284" s="57"/>
      <c r="CA284" s="57"/>
      <c r="CB284" s="57"/>
      <c r="CC284" s="57"/>
      <c r="CD284" s="57"/>
      <c r="CE284" s="57"/>
      <c r="CF284" s="57"/>
      <c r="CG284" s="57"/>
      <c r="CH284" s="57"/>
      <c r="CI284" s="57"/>
      <c r="CJ284" s="57"/>
      <c r="CK284" s="57"/>
      <c r="CL284" s="57"/>
      <c r="CM284" s="57"/>
      <c r="CN284" s="57"/>
      <c r="CO284" s="57"/>
      <c r="CP284" s="57"/>
      <c r="CQ284" s="57"/>
      <c r="CR284" s="57"/>
      <c r="CS284" s="57"/>
      <c r="CT284" s="57"/>
      <c r="CU284" s="57"/>
      <c r="CV284" s="57"/>
      <c r="CW284" s="57"/>
      <c r="CX284" s="57"/>
      <c r="CY284" s="57"/>
      <c r="CZ284" s="57"/>
      <c r="DA284" s="57"/>
      <c r="DB284" s="57"/>
      <c r="DC284" s="57"/>
      <c r="DD284" s="57"/>
      <c r="DE284" s="57"/>
      <c r="DF284" s="57"/>
      <c r="DG284" s="57"/>
      <c r="DH284" s="57"/>
      <c r="DI284" s="57"/>
      <c r="DJ284" s="57"/>
      <c r="DK284" s="57"/>
    </row>
    <row r="285" spans="1:115" ht="30" customHeight="1" x14ac:dyDescent="0.25">
      <c r="A285" s="58" t="s">
        <v>327</v>
      </c>
      <c r="B285" s="57">
        <v>4.7699999809265137</v>
      </c>
      <c r="C285" s="67">
        <v>4.7300000000000004</v>
      </c>
      <c r="D285" s="67">
        <v>4.7300000000000004</v>
      </c>
      <c r="E285" s="67">
        <v>4.7300000000000004</v>
      </c>
      <c r="F285" s="67">
        <v>4.7699999999999996</v>
      </c>
      <c r="G285" s="6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L285" s="57"/>
      <c r="BM285" s="57"/>
      <c r="BN285" s="57"/>
      <c r="BO285" s="57"/>
      <c r="BP285" s="57"/>
      <c r="BQ285" s="57"/>
      <c r="BR285" s="57"/>
      <c r="BS285" s="57"/>
      <c r="BT285" s="57"/>
      <c r="BU285" s="57"/>
      <c r="BV285" s="57"/>
      <c r="BW285" s="57"/>
      <c r="BX285" s="57"/>
      <c r="BY285" s="57"/>
      <c r="BZ285" s="57"/>
      <c r="CA285" s="57"/>
      <c r="CB285" s="57"/>
      <c r="CC285" s="57"/>
      <c r="CD285" s="57"/>
      <c r="CE285" s="57"/>
      <c r="CF285" s="57"/>
      <c r="CG285" s="57"/>
      <c r="CH285" s="57"/>
      <c r="CI285" s="57"/>
      <c r="CJ285" s="57"/>
      <c r="CK285" s="57"/>
      <c r="CL285" s="57"/>
      <c r="CM285" s="57"/>
      <c r="CN285" s="57"/>
      <c r="CO285" s="57"/>
      <c r="CP285" s="57"/>
      <c r="CQ285" s="57"/>
      <c r="CR285" s="57"/>
      <c r="CS285" s="57"/>
      <c r="CT285" s="57"/>
      <c r="CU285" s="57"/>
      <c r="CV285" s="57"/>
      <c r="CW285" s="57"/>
      <c r="CX285" s="57"/>
      <c r="CY285" s="57"/>
      <c r="CZ285" s="57"/>
      <c r="DA285" s="57"/>
      <c r="DB285" s="57"/>
      <c r="DC285" s="57"/>
      <c r="DD285" s="57"/>
      <c r="DE285" s="57"/>
      <c r="DF285" s="57"/>
      <c r="DG285" s="57"/>
      <c r="DH285" s="57"/>
      <c r="DI285" s="57"/>
      <c r="DJ285" s="57"/>
      <c r="DK285" s="57"/>
    </row>
    <row r="286" spans="1:115" ht="30" customHeight="1" x14ac:dyDescent="0.25">
      <c r="A286" s="58" t="s">
        <v>328</v>
      </c>
      <c r="B286" s="57">
        <v>5.559999942779541</v>
      </c>
      <c r="C286" s="67">
        <v>5.78</v>
      </c>
      <c r="D286" s="67">
        <v>5.78</v>
      </c>
      <c r="E286" s="67">
        <v>5.78</v>
      </c>
      <c r="F286" s="67">
        <v>5.56</v>
      </c>
      <c r="G286" s="6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L286" s="57"/>
      <c r="BM286" s="57"/>
      <c r="BN286" s="57"/>
      <c r="BO286" s="57"/>
      <c r="BP286" s="57"/>
      <c r="BQ286" s="57"/>
      <c r="BR286" s="57"/>
      <c r="BS286" s="57"/>
      <c r="BT286" s="57"/>
      <c r="BU286" s="57"/>
      <c r="BV286" s="57"/>
      <c r="BW286" s="57"/>
      <c r="BX286" s="57"/>
      <c r="BY286" s="57"/>
      <c r="BZ286" s="57"/>
      <c r="CA286" s="57"/>
      <c r="CB286" s="57"/>
      <c r="CC286" s="57"/>
      <c r="CD286" s="57"/>
      <c r="CE286" s="57"/>
      <c r="CF286" s="57"/>
      <c r="CG286" s="57"/>
      <c r="CH286" s="57"/>
      <c r="CI286" s="57"/>
      <c r="CJ286" s="57"/>
      <c r="CK286" s="57"/>
      <c r="CL286" s="57"/>
      <c r="CM286" s="57"/>
      <c r="CN286" s="57"/>
      <c r="CO286" s="57"/>
      <c r="CP286" s="57"/>
      <c r="CQ286" s="57"/>
      <c r="CR286" s="57"/>
      <c r="CS286" s="57"/>
      <c r="CT286" s="57"/>
      <c r="CU286" s="57"/>
      <c r="CV286" s="57"/>
      <c r="CW286" s="57"/>
      <c r="CX286" s="57"/>
      <c r="CY286" s="57"/>
      <c r="CZ286" s="57"/>
      <c r="DA286" s="57"/>
      <c r="DB286" s="57"/>
      <c r="DC286" s="57"/>
      <c r="DD286" s="57"/>
      <c r="DE286" s="57"/>
      <c r="DF286" s="57"/>
      <c r="DG286" s="57"/>
      <c r="DH286" s="57"/>
      <c r="DI286" s="57"/>
      <c r="DJ286" s="57"/>
      <c r="DK286" s="57"/>
    </row>
    <row r="287" spans="1:115" ht="30" customHeight="1" x14ac:dyDescent="0.25">
      <c r="A287" s="58" t="s">
        <v>329</v>
      </c>
      <c r="B287" s="57">
        <v>20.049999237060547</v>
      </c>
      <c r="C287" s="67">
        <v>20.18</v>
      </c>
      <c r="D287" s="67">
        <v>20.18</v>
      </c>
      <c r="E287" s="67">
        <v>20.18</v>
      </c>
      <c r="F287" s="67">
        <v>20.05</v>
      </c>
      <c r="G287" s="6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L287" s="57"/>
      <c r="BM287" s="57"/>
      <c r="BN287" s="57"/>
      <c r="BO287" s="57"/>
      <c r="BP287" s="57"/>
      <c r="BQ287" s="57"/>
      <c r="BR287" s="57"/>
      <c r="BS287" s="57"/>
      <c r="BT287" s="57"/>
      <c r="BU287" s="57"/>
      <c r="BV287" s="57"/>
      <c r="BW287" s="57"/>
      <c r="BX287" s="57"/>
      <c r="BY287" s="57"/>
      <c r="BZ287" s="57"/>
      <c r="CA287" s="57"/>
      <c r="CB287" s="57"/>
      <c r="CC287" s="57"/>
      <c r="CD287" s="57"/>
      <c r="CE287" s="57"/>
      <c r="CF287" s="57"/>
      <c r="CG287" s="57"/>
      <c r="CH287" s="57"/>
      <c r="CI287" s="57"/>
      <c r="CJ287" s="57"/>
      <c r="CK287" s="57"/>
      <c r="CL287" s="57"/>
      <c r="CM287" s="57"/>
      <c r="CN287" s="57"/>
      <c r="CO287" s="57"/>
      <c r="CP287" s="57"/>
      <c r="CQ287" s="57"/>
      <c r="CR287" s="57"/>
      <c r="CS287" s="57"/>
      <c r="CT287" s="57"/>
      <c r="CU287" s="57"/>
      <c r="CV287" s="57"/>
      <c r="CW287" s="57"/>
      <c r="CX287" s="57"/>
      <c r="CY287" s="57"/>
      <c r="CZ287" s="57"/>
      <c r="DA287" s="57"/>
      <c r="DB287" s="57"/>
      <c r="DC287" s="57"/>
      <c r="DD287" s="57"/>
      <c r="DE287" s="57"/>
      <c r="DF287" s="57"/>
      <c r="DG287" s="57"/>
      <c r="DH287" s="57"/>
      <c r="DI287" s="57"/>
      <c r="DJ287" s="57"/>
      <c r="DK287" s="57"/>
    </row>
    <row r="288" spans="1:115" ht="30" customHeight="1" x14ac:dyDescent="0.25">
      <c r="A288" s="58" t="s">
        <v>330</v>
      </c>
      <c r="B288" s="57">
        <v>18.940000534057617</v>
      </c>
      <c r="C288" s="67">
        <v>19.09</v>
      </c>
      <c r="D288" s="67">
        <v>19.09</v>
      </c>
      <c r="E288" s="67">
        <v>19.09</v>
      </c>
      <c r="F288" s="67">
        <v>18.940000000000001</v>
      </c>
      <c r="G288" s="6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L288" s="57"/>
      <c r="BM288" s="57"/>
      <c r="BN288" s="57"/>
      <c r="BO288" s="57"/>
      <c r="BP288" s="57"/>
      <c r="BQ288" s="57"/>
      <c r="BR288" s="57"/>
      <c r="BS288" s="57"/>
      <c r="BT288" s="57"/>
      <c r="BU288" s="57"/>
      <c r="BV288" s="57"/>
      <c r="BW288" s="57"/>
      <c r="BX288" s="57"/>
      <c r="BY288" s="57"/>
      <c r="BZ288" s="57"/>
      <c r="CA288" s="57"/>
      <c r="CB288" s="57"/>
      <c r="CC288" s="57"/>
      <c r="CD288" s="57"/>
      <c r="CE288" s="57"/>
      <c r="CF288" s="57"/>
      <c r="CG288" s="57"/>
      <c r="CH288" s="57"/>
      <c r="CI288" s="57"/>
      <c r="CJ288" s="57"/>
      <c r="CK288" s="57"/>
      <c r="CL288" s="57"/>
      <c r="CM288" s="57"/>
      <c r="CN288" s="57"/>
      <c r="CO288" s="57"/>
      <c r="CP288" s="57"/>
      <c r="CQ288" s="57"/>
      <c r="CR288" s="57"/>
      <c r="CS288" s="57"/>
      <c r="CT288" s="57"/>
      <c r="CU288" s="57"/>
      <c r="CV288" s="57"/>
      <c r="CW288" s="57"/>
      <c r="CX288" s="57"/>
      <c r="CY288" s="57"/>
      <c r="CZ288" s="57"/>
      <c r="DA288" s="57"/>
      <c r="DB288" s="57"/>
      <c r="DC288" s="57"/>
      <c r="DD288" s="57"/>
      <c r="DE288" s="57"/>
      <c r="DF288" s="57"/>
      <c r="DG288" s="57"/>
      <c r="DH288" s="57"/>
      <c r="DI288" s="57"/>
      <c r="DJ288" s="57"/>
      <c r="DK288" s="57"/>
    </row>
    <row r="289" spans="1:115" ht="30" customHeight="1" x14ac:dyDescent="0.25">
      <c r="A289" s="58" t="s">
        <v>331</v>
      </c>
      <c r="B289" s="57">
        <v>67.660003662109375</v>
      </c>
      <c r="C289" s="67">
        <v>67.73</v>
      </c>
      <c r="D289" s="67">
        <v>67.73</v>
      </c>
      <c r="E289" s="67">
        <v>67.73</v>
      </c>
      <c r="F289" s="67">
        <v>67.66</v>
      </c>
      <c r="G289" s="6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L289" s="57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BY289" s="57"/>
      <c r="BZ289" s="57"/>
      <c r="CA289" s="57"/>
      <c r="CB289" s="57"/>
      <c r="CC289" s="57"/>
      <c r="CD289" s="57"/>
      <c r="CE289" s="57"/>
      <c r="CF289" s="57"/>
      <c r="CG289" s="57"/>
      <c r="CH289" s="57"/>
      <c r="CI289" s="57"/>
      <c r="CJ289" s="57"/>
      <c r="CK289" s="57"/>
      <c r="CL289" s="57"/>
      <c r="CM289" s="57"/>
      <c r="CN289" s="57"/>
      <c r="CO289" s="57"/>
      <c r="CP289" s="57"/>
      <c r="CQ289" s="57"/>
      <c r="CR289" s="57"/>
      <c r="CS289" s="57"/>
      <c r="CT289" s="57"/>
      <c r="CU289" s="57"/>
      <c r="CV289" s="57"/>
      <c r="CW289" s="57"/>
      <c r="CX289" s="57"/>
      <c r="CY289" s="57"/>
      <c r="CZ289" s="57"/>
      <c r="DA289" s="57"/>
      <c r="DB289" s="57"/>
      <c r="DC289" s="57"/>
      <c r="DD289" s="57"/>
      <c r="DE289" s="57"/>
      <c r="DF289" s="57"/>
      <c r="DG289" s="57"/>
      <c r="DH289" s="57"/>
      <c r="DI289" s="57"/>
      <c r="DJ289" s="57"/>
      <c r="DK289" s="57"/>
    </row>
    <row r="290" spans="1:115" ht="30" customHeight="1" x14ac:dyDescent="0.25">
      <c r="A290" s="58" t="s">
        <v>332</v>
      </c>
      <c r="B290" s="57">
        <v>117.41999816894531</v>
      </c>
      <c r="C290" s="67">
        <v>117.58</v>
      </c>
      <c r="D290" s="67">
        <v>117.58</v>
      </c>
      <c r="E290" s="67">
        <v>117.58</v>
      </c>
      <c r="F290" s="67">
        <v>117.42</v>
      </c>
      <c r="G290" s="6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L290" s="57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57"/>
      <c r="CA290" s="57"/>
      <c r="CB290" s="57"/>
      <c r="CC290" s="57"/>
      <c r="CD290" s="57"/>
      <c r="CE290" s="57"/>
      <c r="CF290" s="57"/>
      <c r="CG290" s="57"/>
      <c r="CH290" s="57"/>
      <c r="CI290" s="57"/>
      <c r="CJ290" s="57"/>
      <c r="CK290" s="57"/>
      <c r="CL290" s="57"/>
      <c r="CM290" s="57"/>
      <c r="CN290" s="57"/>
      <c r="CO290" s="57"/>
      <c r="CP290" s="57"/>
      <c r="CQ290" s="57"/>
      <c r="CR290" s="57"/>
      <c r="CS290" s="57"/>
      <c r="CT290" s="57"/>
      <c r="CU290" s="57"/>
      <c r="CV290" s="57"/>
      <c r="CW290" s="57"/>
      <c r="CX290" s="57"/>
      <c r="CY290" s="57"/>
      <c r="CZ290" s="57"/>
      <c r="DA290" s="57"/>
      <c r="DB290" s="57"/>
      <c r="DC290" s="57"/>
      <c r="DD290" s="57"/>
      <c r="DE290" s="57"/>
      <c r="DF290" s="57"/>
      <c r="DG290" s="57"/>
      <c r="DH290" s="57"/>
      <c r="DI290" s="57"/>
      <c r="DJ290" s="57"/>
      <c r="DK290" s="57"/>
    </row>
    <row r="291" spans="1:115" ht="30" customHeight="1" x14ac:dyDescent="0.25">
      <c r="A291" s="58" t="s">
        <v>333</v>
      </c>
      <c r="B291" s="57">
        <v>8.6400003433227539</v>
      </c>
      <c r="C291" s="67">
        <v>8.5299999999999994</v>
      </c>
      <c r="D291" s="67">
        <v>8.5299999999999994</v>
      </c>
      <c r="E291" s="67">
        <v>8.5299999999999994</v>
      </c>
      <c r="F291" s="67">
        <v>8.64</v>
      </c>
      <c r="G291" s="6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L291" s="57"/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7"/>
      <c r="CA291" s="57"/>
      <c r="CB291" s="57"/>
      <c r="CC291" s="57"/>
      <c r="CD291" s="57"/>
      <c r="CE291" s="57"/>
      <c r="CF291" s="57"/>
      <c r="CG291" s="57"/>
      <c r="CH291" s="57"/>
      <c r="CI291" s="57"/>
      <c r="CJ291" s="57"/>
      <c r="CK291" s="57"/>
      <c r="CL291" s="57"/>
      <c r="CM291" s="57"/>
      <c r="CN291" s="57"/>
      <c r="CO291" s="57"/>
      <c r="CP291" s="57"/>
      <c r="CQ291" s="57"/>
      <c r="CR291" s="57"/>
      <c r="CS291" s="57"/>
      <c r="CT291" s="57"/>
      <c r="CU291" s="57"/>
      <c r="CV291" s="57"/>
      <c r="CW291" s="57"/>
      <c r="CX291" s="57"/>
      <c r="CY291" s="57"/>
      <c r="CZ291" s="57"/>
      <c r="DA291" s="57"/>
      <c r="DB291" s="57"/>
      <c r="DC291" s="57"/>
      <c r="DD291" s="57"/>
      <c r="DE291" s="57"/>
      <c r="DF291" s="57"/>
      <c r="DG291" s="57"/>
      <c r="DH291" s="57"/>
      <c r="DI291" s="57"/>
      <c r="DJ291" s="57"/>
      <c r="DK291" s="57"/>
    </row>
    <row r="292" spans="1:115" ht="30" customHeight="1" x14ac:dyDescent="0.25">
      <c r="A292" s="58" t="s">
        <v>334</v>
      </c>
      <c r="B292" s="57">
        <v>32.950000762939453</v>
      </c>
      <c r="C292" s="67">
        <v>32.82</v>
      </c>
      <c r="D292" s="67">
        <v>32.82</v>
      </c>
      <c r="E292" s="67">
        <v>32.82</v>
      </c>
      <c r="F292" s="67">
        <v>32.950000000000003</v>
      </c>
      <c r="G292" s="6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L292" s="57"/>
      <c r="BM292" s="57"/>
      <c r="BN292" s="57"/>
      <c r="BO292" s="57"/>
      <c r="BP292" s="57"/>
      <c r="BQ292" s="57"/>
      <c r="BR292" s="57"/>
      <c r="BS292" s="57"/>
      <c r="BT292" s="57"/>
      <c r="BU292" s="57"/>
      <c r="BV292" s="57"/>
      <c r="BW292" s="57"/>
      <c r="BX292" s="57"/>
      <c r="BY292" s="57"/>
      <c r="BZ292" s="57"/>
      <c r="CA292" s="57"/>
      <c r="CB292" s="57"/>
      <c r="CC292" s="57"/>
      <c r="CD292" s="57"/>
      <c r="CE292" s="57"/>
      <c r="CF292" s="57"/>
      <c r="CG292" s="57"/>
      <c r="CH292" s="57"/>
      <c r="CI292" s="57"/>
      <c r="CJ292" s="57"/>
      <c r="CK292" s="57"/>
      <c r="CL292" s="57"/>
      <c r="CM292" s="57"/>
      <c r="CN292" s="57"/>
      <c r="CO292" s="57"/>
      <c r="CP292" s="57"/>
      <c r="CQ292" s="57"/>
      <c r="CR292" s="57"/>
      <c r="CS292" s="57"/>
      <c r="CT292" s="57"/>
      <c r="CU292" s="57"/>
      <c r="CV292" s="57"/>
      <c r="CW292" s="57"/>
      <c r="CX292" s="57"/>
      <c r="CY292" s="57"/>
      <c r="CZ292" s="57"/>
      <c r="DA292" s="57"/>
      <c r="DB292" s="57"/>
      <c r="DC292" s="57"/>
      <c r="DD292" s="57"/>
      <c r="DE292" s="57"/>
      <c r="DF292" s="57"/>
      <c r="DG292" s="57"/>
      <c r="DH292" s="57"/>
      <c r="DI292" s="57"/>
      <c r="DJ292" s="57"/>
      <c r="DK292" s="57"/>
    </row>
    <row r="293" spans="1:115" ht="30" customHeight="1" x14ac:dyDescent="0.25">
      <c r="A293" s="58" t="s">
        <v>375</v>
      </c>
      <c r="B293" s="57">
        <v>19.719999313354492</v>
      </c>
      <c r="C293" s="67">
        <v>18.8</v>
      </c>
      <c r="D293" s="67">
        <v>18.8</v>
      </c>
      <c r="E293" s="67">
        <v>18.8</v>
      </c>
      <c r="F293" s="67">
        <v>19.72</v>
      </c>
      <c r="G293" s="6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L293" s="57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BY293" s="57"/>
      <c r="BZ293" s="57"/>
      <c r="CA293" s="57"/>
      <c r="CB293" s="57"/>
      <c r="CC293" s="57"/>
      <c r="CD293" s="57"/>
      <c r="CE293" s="57"/>
      <c r="CF293" s="57"/>
      <c r="CG293" s="57"/>
      <c r="CH293" s="57"/>
      <c r="CI293" s="57"/>
      <c r="CJ293" s="57"/>
      <c r="CK293" s="57"/>
      <c r="CL293" s="57"/>
      <c r="CM293" s="57"/>
      <c r="CN293" s="57"/>
      <c r="CO293" s="57"/>
      <c r="CP293" s="57"/>
      <c r="CQ293" s="57"/>
      <c r="CR293" s="57"/>
      <c r="CS293" s="57"/>
      <c r="CT293" s="57"/>
      <c r="CU293" s="57"/>
      <c r="CV293" s="57"/>
      <c r="CW293" s="57"/>
      <c r="CX293" s="57"/>
      <c r="CY293" s="57"/>
      <c r="CZ293" s="57"/>
      <c r="DA293" s="57"/>
      <c r="DB293" s="57"/>
      <c r="DC293" s="57"/>
      <c r="DD293" s="57"/>
      <c r="DE293" s="57"/>
      <c r="DF293" s="57"/>
      <c r="DG293" s="57"/>
      <c r="DH293" s="57"/>
      <c r="DI293" s="57"/>
      <c r="DJ293" s="57"/>
      <c r="DK293" s="57"/>
    </row>
    <row r="294" spans="1:115" ht="30" customHeight="1" x14ac:dyDescent="0.25">
      <c r="A294" s="58" t="s">
        <v>335</v>
      </c>
      <c r="B294" s="57">
        <v>14.840000152587891</v>
      </c>
      <c r="C294" s="67">
        <v>15.03</v>
      </c>
      <c r="D294" s="67">
        <v>15.03</v>
      </c>
      <c r="E294" s="67">
        <v>15.03</v>
      </c>
      <c r="F294" s="67">
        <v>14.84</v>
      </c>
      <c r="G294" s="6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BY294" s="57"/>
      <c r="BZ294" s="57"/>
      <c r="CA294" s="57"/>
      <c r="CB294" s="57"/>
      <c r="CC294" s="57"/>
      <c r="CD294" s="57"/>
      <c r="CE294" s="57"/>
      <c r="CF294" s="57"/>
      <c r="CG294" s="57"/>
      <c r="CH294" s="57"/>
      <c r="CI294" s="57"/>
      <c r="CJ294" s="57"/>
      <c r="CK294" s="57"/>
      <c r="CL294" s="57"/>
      <c r="CM294" s="57"/>
      <c r="CN294" s="57"/>
      <c r="CO294" s="57"/>
      <c r="CP294" s="57"/>
      <c r="CQ294" s="57"/>
      <c r="CR294" s="57"/>
      <c r="CS294" s="57"/>
      <c r="CT294" s="57"/>
      <c r="CU294" s="57"/>
      <c r="CV294" s="57"/>
      <c r="CW294" s="57"/>
      <c r="CX294" s="57"/>
      <c r="CY294" s="57"/>
      <c r="CZ294" s="57"/>
      <c r="DA294" s="57"/>
      <c r="DB294" s="57"/>
      <c r="DC294" s="57"/>
      <c r="DD294" s="57"/>
      <c r="DE294" s="57"/>
      <c r="DF294" s="57"/>
      <c r="DG294" s="57"/>
      <c r="DH294" s="57"/>
      <c r="DI294" s="57"/>
      <c r="DJ294" s="57"/>
      <c r="DK294" s="57"/>
    </row>
    <row r="295" spans="1:115" ht="30" customHeight="1" x14ac:dyDescent="0.25">
      <c r="A295" s="58" t="s">
        <v>86</v>
      </c>
      <c r="B295" s="57">
        <v>94.279998779296875</v>
      </c>
      <c r="C295" s="67">
        <v>95.5</v>
      </c>
      <c r="D295" s="67">
        <v>95.5</v>
      </c>
      <c r="E295" s="67">
        <v>95.5</v>
      </c>
      <c r="F295" s="67">
        <v>94.28</v>
      </c>
      <c r="G295" s="6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L295" s="57"/>
      <c r="BM295" s="57"/>
      <c r="BN295" s="57"/>
      <c r="BO295" s="57"/>
      <c r="BP295" s="57"/>
      <c r="BQ295" s="57"/>
      <c r="BR295" s="57"/>
      <c r="BS295" s="57"/>
      <c r="BT295" s="57"/>
      <c r="BU295" s="57"/>
      <c r="BV295" s="57"/>
      <c r="BW295" s="57"/>
      <c r="BX295" s="57"/>
      <c r="BY295" s="57"/>
      <c r="BZ295" s="57"/>
      <c r="CA295" s="57"/>
      <c r="CB295" s="57"/>
      <c r="CC295" s="57"/>
      <c r="CD295" s="57"/>
      <c r="CE295" s="57"/>
      <c r="CF295" s="57"/>
      <c r="CG295" s="57"/>
      <c r="CH295" s="57"/>
      <c r="CI295" s="57"/>
      <c r="CJ295" s="57"/>
      <c r="CK295" s="57"/>
      <c r="CL295" s="57"/>
      <c r="CM295" s="57"/>
      <c r="CN295" s="57"/>
      <c r="CO295" s="57"/>
      <c r="CP295" s="57"/>
      <c r="CQ295" s="57"/>
      <c r="CR295" s="57"/>
      <c r="CS295" s="57"/>
      <c r="CT295" s="57"/>
      <c r="CU295" s="57"/>
      <c r="CV295" s="57"/>
      <c r="CW295" s="57"/>
      <c r="CX295" s="57"/>
      <c r="CY295" s="57"/>
      <c r="CZ295" s="57"/>
      <c r="DA295" s="57"/>
      <c r="DB295" s="57"/>
      <c r="DC295" s="57"/>
      <c r="DD295" s="57"/>
      <c r="DE295" s="57"/>
      <c r="DF295" s="57"/>
      <c r="DG295" s="57"/>
      <c r="DH295" s="57"/>
      <c r="DI295" s="57"/>
      <c r="DJ295" s="57"/>
      <c r="DK295" s="57"/>
    </row>
    <row r="296" spans="1:115" ht="30" customHeight="1" x14ac:dyDescent="0.25">
      <c r="A296" s="58" t="s">
        <v>336</v>
      </c>
      <c r="B296" s="57">
        <v>86.330001831054688</v>
      </c>
      <c r="C296" s="67">
        <v>86.05</v>
      </c>
      <c r="D296" s="67">
        <v>86.05</v>
      </c>
      <c r="E296" s="67">
        <v>86.05</v>
      </c>
      <c r="F296" s="67">
        <v>86.33</v>
      </c>
      <c r="G296" s="6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L296" s="57"/>
      <c r="BM296" s="57"/>
      <c r="BN296" s="57"/>
      <c r="BO296" s="57"/>
      <c r="BP296" s="57"/>
      <c r="BQ296" s="57"/>
      <c r="BR296" s="57"/>
      <c r="BS296" s="57"/>
      <c r="BT296" s="57"/>
      <c r="BU296" s="57"/>
      <c r="BV296" s="57"/>
      <c r="BW296" s="57"/>
      <c r="BX296" s="57"/>
      <c r="BY296" s="57"/>
      <c r="BZ296" s="57"/>
      <c r="CA296" s="57"/>
      <c r="CB296" s="57"/>
      <c r="CC296" s="57"/>
      <c r="CD296" s="57"/>
      <c r="CE296" s="57"/>
      <c r="CF296" s="57"/>
      <c r="CG296" s="57"/>
      <c r="CH296" s="57"/>
      <c r="CI296" s="57"/>
      <c r="CJ296" s="57"/>
      <c r="CK296" s="57"/>
      <c r="CL296" s="57"/>
      <c r="CM296" s="57"/>
      <c r="CN296" s="57"/>
      <c r="CO296" s="57"/>
      <c r="CP296" s="57"/>
      <c r="CQ296" s="57"/>
      <c r="CR296" s="57"/>
      <c r="CS296" s="57"/>
      <c r="CT296" s="57"/>
      <c r="CU296" s="57"/>
      <c r="CV296" s="57"/>
      <c r="CW296" s="57"/>
      <c r="CX296" s="57"/>
      <c r="CY296" s="57"/>
      <c r="CZ296" s="57"/>
      <c r="DA296" s="57"/>
      <c r="DB296" s="57"/>
      <c r="DC296" s="57"/>
      <c r="DD296" s="57"/>
      <c r="DE296" s="57"/>
      <c r="DF296" s="57"/>
      <c r="DG296" s="57"/>
      <c r="DH296" s="57"/>
      <c r="DI296" s="57"/>
      <c r="DJ296" s="57"/>
      <c r="DK296" s="57"/>
    </row>
    <row r="297" spans="1:115" ht="30" customHeight="1" x14ac:dyDescent="0.25">
      <c r="A297" s="58" t="s">
        <v>337</v>
      </c>
      <c r="B297" s="57">
        <v>73.220001220703125</v>
      </c>
      <c r="C297" s="67">
        <v>73.17</v>
      </c>
      <c r="D297" s="67">
        <v>73.17</v>
      </c>
      <c r="E297" s="67">
        <v>73.17</v>
      </c>
      <c r="F297" s="67">
        <v>73.22</v>
      </c>
      <c r="G297" s="6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  <c r="BL297" s="57"/>
      <c r="BM297" s="57"/>
      <c r="BN297" s="57"/>
      <c r="BO297" s="57"/>
      <c r="BP297" s="57"/>
      <c r="BQ297" s="57"/>
      <c r="BR297" s="57"/>
      <c r="BS297" s="57"/>
      <c r="BT297" s="57"/>
      <c r="BU297" s="57"/>
      <c r="BV297" s="57"/>
      <c r="BW297" s="57"/>
      <c r="BX297" s="57"/>
      <c r="BY297" s="57"/>
      <c r="BZ297" s="57"/>
      <c r="CA297" s="57"/>
      <c r="CB297" s="57"/>
      <c r="CC297" s="57"/>
      <c r="CD297" s="57"/>
      <c r="CE297" s="57"/>
      <c r="CF297" s="57"/>
      <c r="CG297" s="57"/>
      <c r="CH297" s="57"/>
      <c r="CI297" s="57"/>
      <c r="CJ297" s="57"/>
      <c r="CK297" s="57"/>
      <c r="CL297" s="57"/>
      <c r="CM297" s="57"/>
      <c r="CN297" s="57"/>
      <c r="CO297" s="57"/>
      <c r="CP297" s="57"/>
      <c r="CQ297" s="57"/>
      <c r="CR297" s="57"/>
      <c r="CS297" s="57"/>
      <c r="CT297" s="57"/>
      <c r="CU297" s="57"/>
      <c r="CV297" s="57"/>
      <c r="CW297" s="57"/>
      <c r="CX297" s="57"/>
      <c r="CY297" s="57"/>
      <c r="CZ297" s="57"/>
      <c r="DA297" s="57"/>
      <c r="DB297" s="57"/>
      <c r="DC297" s="57"/>
      <c r="DD297" s="57"/>
      <c r="DE297" s="57"/>
      <c r="DF297" s="57"/>
      <c r="DG297" s="57"/>
      <c r="DH297" s="57"/>
      <c r="DI297" s="57"/>
      <c r="DJ297" s="57"/>
      <c r="DK297" s="57"/>
    </row>
    <row r="298" spans="1:115" ht="30" customHeight="1" x14ac:dyDescent="0.25">
      <c r="A298" s="58" t="s">
        <v>338</v>
      </c>
      <c r="B298" s="57">
        <v>62.139999389648438</v>
      </c>
      <c r="C298" s="67">
        <v>63.28</v>
      </c>
      <c r="D298" s="67">
        <v>63.28</v>
      </c>
      <c r="E298" s="67">
        <v>63.28</v>
      </c>
      <c r="F298" s="67">
        <v>62.14</v>
      </c>
      <c r="G298" s="6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L298" s="57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7"/>
      <c r="CA298" s="57"/>
      <c r="CB298" s="57"/>
      <c r="CC298" s="57"/>
      <c r="CD298" s="57"/>
      <c r="CE298" s="57"/>
      <c r="CF298" s="57"/>
      <c r="CG298" s="57"/>
      <c r="CH298" s="57"/>
      <c r="CI298" s="57"/>
      <c r="CJ298" s="57"/>
      <c r="CK298" s="57"/>
      <c r="CL298" s="57"/>
      <c r="CM298" s="57"/>
      <c r="CN298" s="57"/>
      <c r="CO298" s="57"/>
      <c r="CP298" s="57"/>
      <c r="CQ298" s="57"/>
      <c r="CR298" s="57"/>
      <c r="CS298" s="57"/>
      <c r="CT298" s="57"/>
      <c r="CU298" s="57"/>
      <c r="CV298" s="57"/>
      <c r="CW298" s="57"/>
      <c r="CX298" s="57"/>
      <c r="CY298" s="57"/>
      <c r="CZ298" s="57"/>
      <c r="DA298" s="57"/>
      <c r="DB298" s="57"/>
      <c r="DC298" s="57"/>
      <c r="DD298" s="57"/>
      <c r="DE298" s="57"/>
      <c r="DF298" s="57"/>
      <c r="DG298" s="57"/>
      <c r="DH298" s="57"/>
      <c r="DI298" s="57"/>
      <c r="DJ298" s="57"/>
      <c r="DK298" s="57"/>
    </row>
    <row r="299" spans="1:115" ht="30" customHeight="1" x14ac:dyDescent="0.25">
      <c r="A299" s="58" t="s">
        <v>339</v>
      </c>
      <c r="B299" s="57">
        <v>48.599998474121094</v>
      </c>
      <c r="C299" s="67">
        <v>48.57</v>
      </c>
      <c r="D299" s="67">
        <v>48.57</v>
      </c>
      <c r="E299" s="67">
        <v>48.57</v>
      </c>
      <c r="F299" s="67">
        <v>48.6</v>
      </c>
      <c r="G299" s="6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  <c r="BL299" s="57"/>
      <c r="BM299" s="57"/>
      <c r="BN299" s="57"/>
      <c r="BO299" s="57"/>
      <c r="BP299" s="57"/>
      <c r="BQ299" s="57"/>
      <c r="BR299" s="57"/>
      <c r="BS299" s="57"/>
      <c r="BT299" s="57"/>
      <c r="BU299" s="57"/>
      <c r="BV299" s="57"/>
      <c r="BW299" s="57"/>
      <c r="BX299" s="57"/>
      <c r="BY299" s="57"/>
      <c r="BZ299" s="57"/>
      <c r="CA299" s="57"/>
      <c r="CB299" s="57"/>
      <c r="CC299" s="57"/>
      <c r="CD299" s="57"/>
      <c r="CE299" s="57"/>
      <c r="CF299" s="57"/>
      <c r="CG299" s="57"/>
      <c r="CH299" s="57"/>
      <c r="CI299" s="57"/>
      <c r="CJ299" s="57"/>
      <c r="CK299" s="57"/>
      <c r="CL299" s="57"/>
      <c r="CM299" s="57"/>
      <c r="CN299" s="57"/>
      <c r="CO299" s="57"/>
      <c r="CP299" s="57"/>
      <c r="CQ299" s="57"/>
      <c r="CR299" s="57"/>
      <c r="CS299" s="57"/>
      <c r="CT299" s="57"/>
      <c r="CU299" s="57"/>
      <c r="CV299" s="57"/>
      <c r="CW299" s="57"/>
      <c r="CX299" s="57"/>
      <c r="CY299" s="57"/>
      <c r="CZ299" s="57"/>
      <c r="DA299" s="57"/>
      <c r="DB299" s="57"/>
      <c r="DC299" s="57"/>
      <c r="DD299" s="57"/>
      <c r="DE299" s="57"/>
      <c r="DF299" s="57"/>
      <c r="DG299" s="57"/>
      <c r="DH299" s="57"/>
      <c r="DI299" s="57"/>
      <c r="DJ299" s="57"/>
      <c r="DK299" s="57"/>
    </row>
    <row r="300" spans="1:115" ht="30" customHeight="1" x14ac:dyDescent="0.25">
      <c r="A300" s="58" t="s">
        <v>340</v>
      </c>
      <c r="B300" s="57">
        <v>15.819999694824219</v>
      </c>
      <c r="C300" s="67">
        <v>15.71</v>
      </c>
      <c r="D300" s="67">
        <v>15.71</v>
      </c>
      <c r="E300" s="67">
        <v>15.71</v>
      </c>
      <c r="F300" s="67">
        <v>15.82</v>
      </c>
      <c r="G300" s="6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  <c r="BL300" s="57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BY300" s="57"/>
      <c r="BZ300" s="57"/>
      <c r="CA300" s="57"/>
      <c r="CB300" s="57"/>
      <c r="CC300" s="57"/>
      <c r="CD300" s="57"/>
      <c r="CE300" s="57"/>
      <c r="CF300" s="57"/>
      <c r="CG300" s="57"/>
      <c r="CH300" s="57"/>
      <c r="CI300" s="57"/>
      <c r="CJ300" s="57"/>
      <c r="CK300" s="57"/>
      <c r="CL300" s="57"/>
      <c r="CM300" s="57"/>
      <c r="CN300" s="57"/>
      <c r="CO300" s="57"/>
      <c r="CP300" s="57"/>
      <c r="CQ300" s="57"/>
      <c r="CR300" s="57"/>
      <c r="CS300" s="57"/>
      <c r="CT300" s="57"/>
      <c r="CU300" s="57"/>
      <c r="CV300" s="57"/>
      <c r="CW300" s="57"/>
      <c r="CX300" s="57"/>
      <c r="CY300" s="57"/>
      <c r="CZ300" s="57"/>
      <c r="DA300" s="57"/>
      <c r="DB300" s="57"/>
      <c r="DC300" s="57"/>
      <c r="DD300" s="57"/>
      <c r="DE300" s="57"/>
      <c r="DF300" s="57"/>
      <c r="DG300" s="57"/>
      <c r="DH300" s="57"/>
      <c r="DI300" s="57"/>
      <c r="DJ300" s="57"/>
      <c r="DK300" s="57"/>
    </row>
    <row r="301" spans="1:115" ht="30" customHeight="1" x14ac:dyDescent="0.25">
      <c r="A301" s="58" t="s">
        <v>87</v>
      </c>
      <c r="B301" s="57">
        <v>98.910003662109375</v>
      </c>
      <c r="C301" s="67">
        <v>103.98</v>
      </c>
      <c r="D301" s="67">
        <v>103.98</v>
      </c>
      <c r="E301" s="67">
        <v>103.98</v>
      </c>
      <c r="F301" s="67">
        <v>98.91</v>
      </c>
      <c r="G301" s="6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L301" s="57"/>
      <c r="BM301" s="57"/>
      <c r="BN301" s="57"/>
      <c r="BO301" s="57"/>
      <c r="BP301" s="57"/>
      <c r="BQ301" s="57"/>
      <c r="BR301" s="57"/>
      <c r="BS301" s="57"/>
      <c r="BT301" s="57"/>
      <c r="BU301" s="57"/>
      <c r="BV301" s="57"/>
      <c r="BW301" s="57"/>
      <c r="BX301" s="57"/>
      <c r="BY301" s="57"/>
      <c r="BZ301" s="57"/>
      <c r="CA301" s="57"/>
      <c r="CB301" s="57"/>
      <c r="CC301" s="57"/>
      <c r="CD301" s="57"/>
      <c r="CE301" s="57"/>
      <c r="CF301" s="57"/>
      <c r="CG301" s="57"/>
      <c r="CH301" s="57"/>
      <c r="CI301" s="57"/>
      <c r="CJ301" s="57"/>
      <c r="CK301" s="57"/>
      <c r="CL301" s="57"/>
      <c r="CM301" s="57"/>
      <c r="CN301" s="57"/>
      <c r="CO301" s="57"/>
      <c r="CP301" s="57"/>
      <c r="CQ301" s="57"/>
      <c r="CR301" s="57"/>
      <c r="CS301" s="57"/>
      <c r="CT301" s="57"/>
      <c r="CU301" s="57"/>
      <c r="CV301" s="57"/>
      <c r="CW301" s="57"/>
      <c r="CX301" s="57"/>
      <c r="CY301" s="57"/>
      <c r="CZ301" s="57"/>
      <c r="DA301" s="57"/>
      <c r="DB301" s="57"/>
      <c r="DC301" s="57"/>
      <c r="DD301" s="57"/>
      <c r="DE301" s="57"/>
      <c r="DF301" s="57"/>
      <c r="DG301" s="57"/>
      <c r="DH301" s="57"/>
      <c r="DI301" s="57"/>
      <c r="DJ301" s="57"/>
      <c r="DK301" s="57"/>
    </row>
    <row r="302" spans="1:115" ht="30" customHeight="1" x14ac:dyDescent="0.25">
      <c r="A302" s="58" t="s">
        <v>341</v>
      </c>
      <c r="B302" s="57">
        <v>41.200000762939453</v>
      </c>
      <c r="C302" s="67">
        <v>46.26</v>
      </c>
      <c r="D302" s="67">
        <v>46.26</v>
      </c>
      <c r="E302" s="67">
        <v>46.26</v>
      </c>
      <c r="F302" s="67">
        <v>41.2</v>
      </c>
      <c r="G302" s="6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L302" s="57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BY302" s="57"/>
      <c r="BZ302" s="57"/>
      <c r="CA302" s="57"/>
      <c r="CB302" s="57"/>
      <c r="CC302" s="57"/>
      <c r="CD302" s="57"/>
      <c r="CE302" s="57"/>
      <c r="CF302" s="57"/>
      <c r="CG302" s="57"/>
      <c r="CH302" s="57"/>
      <c r="CI302" s="57"/>
      <c r="CJ302" s="57"/>
      <c r="CK302" s="57"/>
      <c r="CL302" s="57"/>
      <c r="CM302" s="57"/>
      <c r="CN302" s="57"/>
      <c r="CO302" s="57"/>
      <c r="CP302" s="57"/>
      <c r="CQ302" s="57"/>
      <c r="CR302" s="57"/>
      <c r="CS302" s="57"/>
      <c r="CT302" s="57"/>
      <c r="CU302" s="57"/>
      <c r="CV302" s="57"/>
      <c r="CW302" s="57"/>
      <c r="CX302" s="57"/>
      <c r="CY302" s="57"/>
      <c r="CZ302" s="57"/>
      <c r="DA302" s="57"/>
      <c r="DB302" s="57"/>
      <c r="DC302" s="57"/>
      <c r="DD302" s="57"/>
      <c r="DE302" s="57"/>
      <c r="DF302" s="57"/>
      <c r="DG302" s="57"/>
      <c r="DH302" s="57"/>
      <c r="DI302" s="57"/>
      <c r="DJ302" s="57"/>
      <c r="DK302" s="57"/>
    </row>
    <row r="303" spans="1:115" ht="30" customHeight="1" x14ac:dyDescent="0.25">
      <c r="A303" s="58" t="s">
        <v>342</v>
      </c>
      <c r="B303" s="57">
        <v>4</v>
      </c>
      <c r="C303" s="67">
        <v>3.92</v>
      </c>
      <c r="D303" s="67">
        <v>3.92</v>
      </c>
      <c r="E303" s="67">
        <v>3.92</v>
      </c>
      <c r="F303" s="67">
        <v>4</v>
      </c>
      <c r="G303" s="6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  <c r="BL303" s="57"/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BY303" s="57"/>
      <c r="BZ303" s="57"/>
      <c r="CA303" s="57"/>
      <c r="CB303" s="57"/>
      <c r="CC303" s="57"/>
      <c r="CD303" s="57"/>
      <c r="CE303" s="57"/>
      <c r="CF303" s="57"/>
      <c r="CG303" s="57"/>
      <c r="CH303" s="57"/>
      <c r="CI303" s="57"/>
      <c r="CJ303" s="57"/>
      <c r="CK303" s="57"/>
      <c r="CL303" s="57"/>
      <c r="CM303" s="57"/>
      <c r="CN303" s="57"/>
      <c r="CO303" s="57"/>
      <c r="CP303" s="57"/>
      <c r="CQ303" s="57"/>
      <c r="CR303" s="57"/>
      <c r="CS303" s="57"/>
      <c r="CT303" s="57"/>
      <c r="CU303" s="57"/>
      <c r="CV303" s="57"/>
      <c r="CW303" s="57"/>
      <c r="CX303" s="57"/>
      <c r="CY303" s="57"/>
      <c r="CZ303" s="57"/>
      <c r="DA303" s="57"/>
      <c r="DB303" s="57"/>
      <c r="DC303" s="57"/>
      <c r="DD303" s="57"/>
      <c r="DE303" s="57"/>
      <c r="DF303" s="57"/>
      <c r="DG303" s="57"/>
      <c r="DH303" s="57"/>
      <c r="DI303" s="57"/>
      <c r="DJ303" s="57"/>
      <c r="DK303" s="57"/>
    </row>
    <row r="304" spans="1:115" ht="30" customHeight="1" x14ac:dyDescent="0.25">
      <c r="A304" s="58" t="s">
        <v>88</v>
      </c>
      <c r="B304" s="57">
        <v>13.770000457763672</v>
      </c>
      <c r="C304" s="67">
        <v>13.64</v>
      </c>
      <c r="D304" s="67">
        <v>13.64</v>
      </c>
      <c r="E304" s="67">
        <v>13.64</v>
      </c>
      <c r="F304" s="67">
        <v>13.77</v>
      </c>
      <c r="G304" s="6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L304" s="57"/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BY304" s="57"/>
      <c r="BZ304" s="57"/>
      <c r="CA304" s="57"/>
      <c r="CB304" s="57"/>
      <c r="CC304" s="57"/>
      <c r="CD304" s="57"/>
      <c r="CE304" s="57"/>
      <c r="CF304" s="57"/>
      <c r="CG304" s="57"/>
      <c r="CH304" s="57"/>
      <c r="CI304" s="57"/>
      <c r="CJ304" s="57"/>
      <c r="CK304" s="57"/>
      <c r="CL304" s="57"/>
      <c r="CM304" s="57"/>
      <c r="CN304" s="57"/>
      <c r="CO304" s="57"/>
      <c r="CP304" s="57"/>
      <c r="CQ304" s="57"/>
      <c r="CR304" s="57"/>
      <c r="CS304" s="57"/>
      <c r="CT304" s="57"/>
      <c r="CU304" s="57"/>
      <c r="CV304" s="57"/>
      <c r="CW304" s="57"/>
      <c r="CX304" s="57"/>
      <c r="CY304" s="57"/>
      <c r="CZ304" s="57"/>
      <c r="DA304" s="57"/>
      <c r="DB304" s="57"/>
      <c r="DC304" s="57"/>
      <c r="DD304" s="57"/>
      <c r="DE304" s="57"/>
      <c r="DF304" s="57"/>
      <c r="DG304" s="57"/>
      <c r="DH304" s="57"/>
      <c r="DI304" s="57"/>
      <c r="DJ304" s="57"/>
      <c r="DK304" s="57"/>
    </row>
    <row r="305" spans="1:115" ht="30" customHeight="1" x14ac:dyDescent="0.25">
      <c r="A305" s="58" t="s">
        <v>343</v>
      </c>
      <c r="B305" s="57">
        <v>55.669998168945313</v>
      </c>
      <c r="C305" s="67">
        <v>57.7</v>
      </c>
      <c r="D305" s="67">
        <v>57.7</v>
      </c>
      <c r="E305" s="67">
        <v>57.7</v>
      </c>
      <c r="F305" s="67">
        <v>55.67</v>
      </c>
      <c r="G305" s="6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L305" s="57"/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BY305" s="57"/>
      <c r="BZ305" s="57"/>
      <c r="CA305" s="57"/>
      <c r="CB305" s="57"/>
      <c r="CC305" s="57"/>
      <c r="CD305" s="57"/>
      <c r="CE305" s="57"/>
      <c r="CF305" s="57"/>
      <c r="CG305" s="57"/>
      <c r="CH305" s="57"/>
      <c r="CI305" s="57"/>
      <c r="CJ305" s="57"/>
      <c r="CK305" s="57"/>
      <c r="CL305" s="57"/>
      <c r="CM305" s="57"/>
      <c r="CN305" s="57"/>
      <c r="CO305" s="57"/>
      <c r="CP305" s="57"/>
      <c r="CQ305" s="57"/>
      <c r="CR305" s="57"/>
      <c r="CS305" s="57"/>
      <c r="CT305" s="57"/>
      <c r="CU305" s="57"/>
      <c r="CV305" s="57"/>
      <c r="CW305" s="57"/>
      <c r="CX305" s="57"/>
      <c r="CY305" s="57"/>
      <c r="CZ305" s="57"/>
      <c r="DA305" s="57"/>
      <c r="DB305" s="57"/>
      <c r="DC305" s="57"/>
      <c r="DD305" s="57"/>
      <c r="DE305" s="57"/>
      <c r="DF305" s="57"/>
      <c r="DG305" s="57"/>
      <c r="DH305" s="57"/>
      <c r="DI305" s="57"/>
      <c r="DJ305" s="57"/>
      <c r="DK305" s="57"/>
    </row>
    <row r="306" spans="1:115" ht="30" customHeight="1" x14ac:dyDescent="0.25">
      <c r="A306" s="58" t="s">
        <v>89</v>
      </c>
      <c r="B306" s="57">
        <v>73.779998779296875</v>
      </c>
      <c r="C306" s="67">
        <v>74.95</v>
      </c>
      <c r="D306" s="67">
        <v>74.95</v>
      </c>
      <c r="E306" s="67">
        <v>74.95</v>
      </c>
      <c r="F306" s="67">
        <v>73.78</v>
      </c>
      <c r="G306" s="6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L306" s="57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BY306" s="57"/>
      <c r="BZ306" s="57"/>
      <c r="CA306" s="57"/>
      <c r="CB306" s="57"/>
      <c r="CC306" s="57"/>
      <c r="CD306" s="57"/>
      <c r="CE306" s="57"/>
      <c r="CF306" s="57"/>
      <c r="CG306" s="57"/>
      <c r="CH306" s="57"/>
      <c r="CI306" s="57"/>
      <c r="CJ306" s="57"/>
      <c r="CK306" s="57"/>
      <c r="CL306" s="57"/>
      <c r="CM306" s="57"/>
      <c r="CN306" s="57"/>
      <c r="CO306" s="57"/>
      <c r="CP306" s="57"/>
      <c r="CQ306" s="57"/>
      <c r="CR306" s="57"/>
      <c r="CS306" s="57"/>
      <c r="CT306" s="57"/>
      <c r="CU306" s="57"/>
      <c r="CV306" s="57"/>
      <c r="CW306" s="57"/>
      <c r="CX306" s="57"/>
      <c r="CY306" s="57"/>
      <c r="CZ306" s="57"/>
      <c r="DA306" s="57"/>
      <c r="DB306" s="57"/>
      <c r="DC306" s="57"/>
      <c r="DD306" s="57"/>
      <c r="DE306" s="57"/>
      <c r="DF306" s="57"/>
      <c r="DG306" s="57"/>
      <c r="DH306" s="57"/>
      <c r="DI306" s="57"/>
      <c r="DJ306" s="57"/>
      <c r="DK306" s="57"/>
    </row>
    <row r="307" spans="1:115" ht="30" customHeight="1" x14ac:dyDescent="0.25">
      <c r="A307" s="58" t="s">
        <v>344</v>
      </c>
      <c r="B307" s="57">
        <v>60.509998321533203</v>
      </c>
      <c r="C307" s="67">
        <v>60.61</v>
      </c>
      <c r="D307" s="67">
        <v>60.61</v>
      </c>
      <c r="E307" s="67">
        <v>60.61</v>
      </c>
      <c r="F307" s="67">
        <v>60.51</v>
      </c>
      <c r="G307" s="6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L307" s="57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BY307" s="57"/>
      <c r="BZ307" s="57"/>
      <c r="CA307" s="57"/>
      <c r="CB307" s="57"/>
      <c r="CC307" s="57"/>
      <c r="CD307" s="57"/>
      <c r="CE307" s="57"/>
      <c r="CF307" s="57"/>
      <c r="CG307" s="57"/>
      <c r="CH307" s="57"/>
      <c r="CI307" s="57"/>
      <c r="CJ307" s="57"/>
      <c r="CK307" s="57"/>
      <c r="CL307" s="57"/>
      <c r="CM307" s="57"/>
      <c r="CN307" s="57"/>
      <c r="CO307" s="57"/>
      <c r="CP307" s="57"/>
      <c r="CQ307" s="57"/>
      <c r="CR307" s="57"/>
      <c r="CS307" s="57"/>
      <c r="CT307" s="57"/>
      <c r="CU307" s="57"/>
      <c r="CV307" s="57"/>
      <c r="CW307" s="57"/>
      <c r="CX307" s="57"/>
      <c r="CY307" s="57"/>
      <c r="CZ307" s="57"/>
      <c r="DA307" s="57"/>
      <c r="DB307" s="57"/>
      <c r="DC307" s="57"/>
      <c r="DD307" s="57"/>
      <c r="DE307" s="57"/>
      <c r="DF307" s="57"/>
      <c r="DG307" s="57"/>
      <c r="DH307" s="57"/>
      <c r="DI307" s="57"/>
      <c r="DJ307" s="57"/>
      <c r="DK307" s="57"/>
    </row>
    <row r="308" spans="1:115" ht="30" customHeight="1" x14ac:dyDescent="0.25">
      <c r="A308" s="58" t="s">
        <v>345</v>
      </c>
      <c r="B308" s="57">
        <v>25.25</v>
      </c>
      <c r="C308" s="67">
        <v>25.15</v>
      </c>
      <c r="D308" s="67">
        <v>25.15</v>
      </c>
      <c r="E308" s="67">
        <v>25.15</v>
      </c>
      <c r="F308" s="67">
        <v>25.145</v>
      </c>
      <c r="G308" s="6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L308" s="57"/>
      <c r="BM308" s="57"/>
      <c r="BN308" s="57"/>
      <c r="BO308" s="57"/>
      <c r="BP308" s="57"/>
      <c r="BQ308" s="57"/>
      <c r="BR308" s="57"/>
      <c r="BS308" s="57"/>
      <c r="BT308" s="57"/>
      <c r="BU308" s="57"/>
      <c r="BV308" s="57"/>
      <c r="BW308" s="57"/>
      <c r="BX308" s="57"/>
      <c r="BY308" s="57"/>
      <c r="BZ308" s="57"/>
      <c r="CA308" s="57"/>
      <c r="CB308" s="57"/>
      <c r="CC308" s="57"/>
      <c r="CD308" s="57"/>
      <c r="CE308" s="57"/>
      <c r="CF308" s="57"/>
      <c r="CG308" s="57"/>
      <c r="CH308" s="57"/>
      <c r="CI308" s="57"/>
      <c r="CJ308" s="57"/>
      <c r="CK308" s="57"/>
      <c r="CL308" s="57"/>
      <c r="CM308" s="57"/>
      <c r="CN308" s="57"/>
      <c r="CO308" s="57"/>
      <c r="CP308" s="57"/>
      <c r="CQ308" s="57"/>
      <c r="CR308" s="57"/>
      <c r="CS308" s="57"/>
      <c r="CT308" s="57"/>
      <c r="CU308" s="57"/>
      <c r="CV308" s="57"/>
      <c r="CW308" s="57"/>
      <c r="CX308" s="57"/>
      <c r="CY308" s="57"/>
      <c r="CZ308" s="57"/>
      <c r="DA308" s="57"/>
      <c r="DB308" s="57"/>
      <c r="DC308" s="57"/>
      <c r="DD308" s="57"/>
      <c r="DE308" s="57"/>
      <c r="DF308" s="57"/>
      <c r="DG308" s="57"/>
      <c r="DH308" s="57"/>
      <c r="DI308" s="57"/>
      <c r="DJ308" s="57"/>
      <c r="DK308" s="57"/>
    </row>
    <row r="309" spans="1:115" ht="30" customHeight="1" x14ac:dyDescent="0.25">
      <c r="A309" s="58" t="s">
        <v>346</v>
      </c>
      <c r="B309" s="57">
        <v>31.629999160766602</v>
      </c>
      <c r="C309" s="67">
        <v>31.43</v>
      </c>
      <c r="D309" s="67">
        <v>31.43</v>
      </c>
      <c r="E309" s="67">
        <v>31.43</v>
      </c>
      <c r="F309" s="67">
        <v>31.63</v>
      </c>
      <c r="G309" s="6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  <c r="BL309" s="57"/>
      <c r="BM309" s="57"/>
      <c r="BN309" s="57"/>
      <c r="BO309" s="57"/>
      <c r="BP309" s="57"/>
      <c r="BQ309" s="57"/>
      <c r="BR309" s="57"/>
      <c r="BS309" s="57"/>
      <c r="BT309" s="57"/>
      <c r="BU309" s="57"/>
      <c r="BV309" s="57"/>
      <c r="BW309" s="57"/>
      <c r="BX309" s="57"/>
      <c r="BY309" s="57"/>
      <c r="BZ309" s="57"/>
      <c r="CA309" s="57"/>
      <c r="CB309" s="57"/>
      <c r="CC309" s="57"/>
      <c r="CD309" s="57"/>
      <c r="CE309" s="57"/>
      <c r="CF309" s="57"/>
      <c r="CG309" s="57"/>
      <c r="CH309" s="57"/>
      <c r="CI309" s="57"/>
      <c r="CJ309" s="57"/>
      <c r="CK309" s="57"/>
      <c r="CL309" s="57"/>
      <c r="CM309" s="57"/>
      <c r="CN309" s="57"/>
      <c r="CO309" s="57"/>
      <c r="CP309" s="57"/>
      <c r="CQ309" s="57"/>
      <c r="CR309" s="57"/>
      <c r="CS309" s="57"/>
      <c r="CT309" s="57"/>
      <c r="CU309" s="57"/>
      <c r="CV309" s="57"/>
      <c r="CW309" s="57"/>
      <c r="CX309" s="57"/>
      <c r="CY309" s="57"/>
      <c r="CZ309" s="57"/>
      <c r="DA309" s="57"/>
      <c r="DB309" s="57"/>
      <c r="DC309" s="57"/>
      <c r="DD309" s="57"/>
      <c r="DE309" s="57"/>
      <c r="DF309" s="57"/>
      <c r="DG309" s="57"/>
      <c r="DH309" s="57"/>
      <c r="DI309" s="57"/>
      <c r="DJ309" s="57"/>
      <c r="DK309" s="57"/>
    </row>
    <row r="310" spans="1:115" ht="30" customHeight="1" x14ac:dyDescent="0.25">
      <c r="A310" s="58" t="s">
        <v>347</v>
      </c>
      <c r="B310" s="57">
        <v>37.139999389648438</v>
      </c>
      <c r="C310" s="67">
        <v>37.200000000000003</v>
      </c>
      <c r="D310" s="67">
        <v>37.200000000000003</v>
      </c>
      <c r="E310" s="67">
        <v>37.200000000000003</v>
      </c>
      <c r="F310" s="67">
        <v>37.14</v>
      </c>
      <c r="G310" s="6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  <c r="BL310" s="57"/>
      <c r="BM310" s="57"/>
      <c r="BN310" s="57"/>
      <c r="BO310" s="57"/>
      <c r="BP310" s="57"/>
      <c r="BQ310" s="57"/>
      <c r="BR310" s="57"/>
      <c r="BS310" s="57"/>
      <c r="BT310" s="57"/>
      <c r="BU310" s="57"/>
      <c r="BV310" s="57"/>
      <c r="BW310" s="57"/>
      <c r="BX310" s="57"/>
      <c r="BY310" s="57"/>
      <c r="BZ310" s="57"/>
      <c r="CA310" s="57"/>
      <c r="CB310" s="57"/>
      <c r="CC310" s="57"/>
      <c r="CD310" s="57"/>
      <c r="CE310" s="57"/>
      <c r="CF310" s="57"/>
      <c r="CG310" s="57"/>
      <c r="CH310" s="57"/>
      <c r="CI310" s="57"/>
      <c r="CJ310" s="57"/>
      <c r="CK310" s="57"/>
      <c r="CL310" s="57"/>
      <c r="CM310" s="57"/>
      <c r="CN310" s="57"/>
      <c r="CO310" s="57"/>
      <c r="CP310" s="57"/>
      <c r="CQ310" s="57"/>
      <c r="CR310" s="57"/>
      <c r="CS310" s="57"/>
      <c r="CT310" s="57"/>
      <c r="CU310" s="57"/>
      <c r="CV310" s="57"/>
      <c r="CW310" s="57"/>
      <c r="CX310" s="57"/>
      <c r="CY310" s="57"/>
      <c r="CZ310" s="57"/>
      <c r="DA310" s="57"/>
      <c r="DB310" s="57"/>
      <c r="DC310" s="57"/>
      <c r="DD310" s="57"/>
      <c r="DE310" s="57"/>
      <c r="DF310" s="57"/>
      <c r="DG310" s="57"/>
      <c r="DH310" s="57"/>
      <c r="DI310" s="57"/>
      <c r="DJ310" s="57"/>
      <c r="DK310" s="57"/>
    </row>
    <row r="311" spans="1:115" ht="30" customHeight="1" x14ac:dyDescent="0.25">
      <c r="A311" s="58" t="s">
        <v>395</v>
      </c>
      <c r="B311" s="57">
        <v>0.19499999284744263</v>
      </c>
      <c r="C311" s="67">
        <v>0.19</v>
      </c>
      <c r="D311" s="67">
        <v>0.19</v>
      </c>
      <c r="E311" s="67">
        <v>0.19</v>
      </c>
      <c r="F311" s="67">
        <v>0.19500000000000001</v>
      </c>
      <c r="G311" s="6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  <c r="BL311" s="57"/>
      <c r="BM311" s="57"/>
      <c r="BN311" s="57"/>
      <c r="BO311" s="57"/>
      <c r="BP311" s="57"/>
      <c r="BQ311" s="57"/>
      <c r="BR311" s="57"/>
      <c r="BS311" s="57"/>
      <c r="BT311" s="57"/>
      <c r="BU311" s="57"/>
      <c r="BV311" s="57"/>
      <c r="BW311" s="57"/>
      <c r="BX311" s="57"/>
      <c r="BY311" s="57"/>
      <c r="BZ311" s="57"/>
      <c r="CA311" s="57"/>
      <c r="CB311" s="57"/>
      <c r="CC311" s="57"/>
      <c r="CD311" s="57"/>
      <c r="CE311" s="57"/>
      <c r="CF311" s="57"/>
      <c r="CG311" s="57"/>
      <c r="CH311" s="57"/>
      <c r="CI311" s="57"/>
      <c r="CJ311" s="57"/>
      <c r="CK311" s="57"/>
      <c r="CL311" s="57"/>
      <c r="CM311" s="57"/>
      <c r="CN311" s="57"/>
      <c r="CO311" s="57"/>
      <c r="CP311" s="57"/>
      <c r="CQ311" s="57"/>
      <c r="CR311" s="57"/>
      <c r="CS311" s="57"/>
      <c r="CT311" s="57"/>
      <c r="CU311" s="57"/>
      <c r="CV311" s="57"/>
      <c r="CW311" s="57"/>
      <c r="CX311" s="57"/>
      <c r="CY311" s="57"/>
      <c r="CZ311" s="57"/>
      <c r="DA311" s="57"/>
      <c r="DB311" s="57"/>
      <c r="DC311" s="57"/>
      <c r="DD311" s="57"/>
      <c r="DE311" s="57"/>
      <c r="DF311" s="57"/>
      <c r="DG311" s="57"/>
      <c r="DH311" s="57"/>
      <c r="DI311" s="57"/>
      <c r="DJ311" s="57"/>
      <c r="DK311" s="57"/>
    </row>
    <row r="312" spans="1:115" ht="30" customHeight="1" x14ac:dyDescent="0.25">
      <c r="A312" s="58" t="s">
        <v>348</v>
      </c>
      <c r="B312" s="57">
        <v>57.520000457763672</v>
      </c>
      <c r="C312" s="67">
        <v>57.14</v>
      </c>
      <c r="D312" s="67">
        <v>57.14</v>
      </c>
      <c r="E312" s="67">
        <v>57.14</v>
      </c>
      <c r="F312" s="67">
        <v>57.52</v>
      </c>
      <c r="G312" s="6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  <c r="BL312" s="57"/>
      <c r="BM312" s="57"/>
      <c r="BN312" s="57"/>
      <c r="BO312" s="57"/>
      <c r="BP312" s="57"/>
      <c r="BQ312" s="57"/>
      <c r="BR312" s="57"/>
      <c r="BS312" s="57"/>
      <c r="BT312" s="57"/>
      <c r="BU312" s="57"/>
      <c r="BV312" s="57"/>
      <c r="BW312" s="57"/>
      <c r="BX312" s="57"/>
      <c r="BY312" s="57"/>
      <c r="BZ312" s="57"/>
      <c r="CA312" s="57"/>
      <c r="CB312" s="57"/>
      <c r="CC312" s="57"/>
      <c r="CD312" s="57"/>
      <c r="CE312" s="57"/>
      <c r="CF312" s="57"/>
      <c r="CG312" s="57"/>
      <c r="CH312" s="57"/>
      <c r="CI312" s="57"/>
      <c r="CJ312" s="57"/>
      <c r="CK312" s="57"/>
      <c r="CL312" s="57"/>
      <c r="CM312" s="57"/>
      <c r="CN312" s="57"/>
      <c r="CO312" s="57"/>
      <c r="CP312" s="57"/>
      <c r="CQ312" s="57"/>
      <c r="CR312" s="57"/>
      <c r="CS312" s="57"/>
      <c r="CT312" s="57"/>
      <c r="CU312" s="57"/>
      <c r="CV312" s="57"/>
      <c r="CW312" s="57"/>
      <c r="CX312" s="57"/>
      <c r="CY312" s="57"/>
      <c r="CZ312" s="57"/>
      <c r="DA312" s="57"/>
      <c r="DB312" s="57"/>
      <c r="DC312" s="57"/>
      <c r="DD312" s="57"/>
      <c r="DE312" s="57"/>
      <c r="DF312" s="57"/>
      <c r="DG312" s="57"/>
      <c r="DH312" s="57"/>
      <c r="DI312" s="57"/>
      <c r="DJ312" s="57"/>
      <c r="DK312" s="57"/>
    </row>
    <row r="313" spans="1:115" ht="30" customHeight="1" x14ac:dyDescent="0.25">
      <c r="A313" s="58" t="s">
        <v>65</v>
      </c>
      <c r="B313" s="57">
        <v>25.799999237060547</v>
      </c>
      <c r="C313" s="67">
        <v>25.92</v>
      </c>
      <c r="D313" s="67">
        <v>25.92</v>
      </c>
      <c r="E313" s="67">
        <v>25.92</v>
      </c>
      <c r="F313" s="67">
        <v>25.8</v>
      </c>
      <c r="G313" s="6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L313" s="57"/>
      <c r="BM313" s="57"/>
      <c r="BN313" s="57"/>
      <c r="BO313" s="57"/>
      <c r="BP313" s="57"/>
      <c r="BQ313" s="57"/>
      <c r="BR313" s="57"/>
      <c r="BS313" s="57"/>
      <c r="BT313" s="57"/>
      <c r="BU313" s="57"/>
      <c r="BV313" s="57"/>
      <c r="BW313" s="57"/>
      <c r="BX313" s="57"/>
      <c r="BY313" s="57"/>
      <c r="BZ313" s="57"/>
      <c r="CA313" s="57"/>
      <c r="CB313" s="57"/>
      <c r="CC313" s="57"/>
      <c r="CD313" s="57"/>
      <c r="CE313" s="57"/>
      <c r="CF313" s="57"/>
      <c r="CG313" s="57"/>
      <c r="CH313" s="57"/>
      <c r="CI313" s="57"/>
      <c r="CJ313" s="57"/>
      <c r="CK313" s="57"/>
      <c r="CL313" s="57"/>
      <c r="CM313" s="57"/>
      <c r="CN313" s="57"/>
      <c r="CO313" s="57"/>
      <c r="CP313" s="57"/>
      <c r="CQ313" s="57"/>
      <c r="CR313" s="57"/>
      <c r="CS313" s="57"/>
      <c r="CT313" s="57"/>
      <c r="CU313" s="57"/>
      <c r="CV313" s="57"/>
      <c r="CW313" s="57"/>
      <c r="CX313" s="57"/>
      <c r="CY313" s="57"/>
      <c r="CZ313" s="57"/>
      <c r="DA313" s="57"/>
      <c r="DB313" s="57"/>
      <c r="DC313" s="57"/>
      <c r="DD313" s="57"/>
      <c r="DE313" s="57"/>
      <c r="DF313" s="57"/>
      <c r="DG313" s="57"/>
      <c r="DH313" s="57"/>
      <c r="DI313" s="57"/>
      <c r="DJ313" s="57"/>
      <c r="DK313" s="57"/>
    </row>
    <row r="314" spans="1:115" ht="30" customHeight="1" x14ac:dyDescent="0.25">
      <c r="A314" s="58" t="s">
        <v>349</v>
      </c>
      <c r="B314" s="57">
        <v>167.52000427246094</v>
      </c>
      <c r="C314" s="67">
        <v>170.05</v>
      </c>
      <c r="D314" s="67">
        <v>170.05</v>
      </c>
      <c r="E314" s="67">
        <v>170.05</v>
      </c>
      <c r="F314" s="67">
        <v>167.52</v>
      </c>
      <c r="G314" s="6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  <c r="BL314" s="57"/>
      <c r="BM314" s="57"/>
      <c r="BN314" s="57"/>
      <c r="BO314" s="57"/>
      <c r="BP314" s="57"/>
      <c r="BQ314" s="57"/>
      <c r="BR314" s="57"/>
      <c r="BS314" s="57"/>
      <c r="BT314" s="57"/>
      <c r="BU314" s="57"/>
      <c r="BV314" s="57"/>
      <c r="BW314" s="57"/>
      <c r="BX314" s="57"/>
      <c r="BY314" s="57"/>
      <c r="BZ314" s="57"/>
      <c r="CA314" s="57"/>
      <c r="CB314" s="57"/>
      <c r="CC314" s="57"/>
      <c r="CD314" s="57"/>
      <c r="CE314" s="57"/>
      <c r="CF314" s="57"/>
      <c r="CG314" s="57"/>
      <c r="CH314" s="57"/>
      <c r="CI314" s="57"/>
      <c r="CJ314" s="57"/>
      <c r="CK314" s="57"/>
      <c r="CL314" s="57"/>
      <c r="CM314" s="57"/>
      <c r="CN314" s="57"/>
      <c r="CO314" s="57"/>
      <c r="CP314" s="57"/>
      <c r="CQ314" s="57"/>
      <c r="CR314" s="57"/>
      <c r="CS314" s="57"/>
      <c r="CT314" s="57"/>
      <c r="CU314" s="57"/>
      <c r="CV314" s="57"/>
      <c r="CW314" s="57"/>
      <c r="CX314" s="57"/>
      <c r="CY314" s="57"/>
      <c r="CZ314" s="57"/>
      <c r="DA314" s="57"/>
      <c r="DB314" s="57"/>
      <c r="DC314" s="57"/>
      <c r="DD314" s="57"/>
      <c r="DE314" s="57"/>
      <c r="DF314" s="57"/>
      <c r="DG314" s="57"/>
      <c r="DH314" s="57"/>
      <c r="DI314" s="57"/>
      <c r="DJ314" s="57"/>
      <c r="DK314" s="57"/>
    </row>
    <row r="315" spans="1:115" ht="30" customHeight="1" x14ac:dyDescent="0.25">
      <c r="A315" s="58" t="s">
        <v>399</v>
      </c>
      <c r="B315" s="57">
        <v>40.369998931884766</v>
      </c>
      <c r="C315" s="67">
        <v>40.56</v>
      </c>
      <c r="D315" s="67">
        <v>40.56</v>
      </c>
      <c r="E315" s="67">
        <v>40.56</v>
      </c>
      <c r="F315" s="67">
        <v>40.369999999999997</v>
      </c>
      <c r="G315" s="6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  <c r="BL315" s="57"/>
      <c r="BM315" s="57"/>
      <c r="BN315" s="57"/>
      <c r="BO315" s="57"/>
      <c r="BP315" s="57"/>
      <c r="BQ315" s="57"/>
      <c r="BR315" s="57"/>
      <c r="BS315" s="57"/>
      <c r="BT315" s="57"/>
      <c r="BU315" s="57"/>
      <c r="BV315" s="57"/>
      <c r="BW315" s="57"/>
      <c r="BX315" s="57"/>
      <c r="BY315" s="57"/>
      <c r="BZ315" s="57"/>
      <c r="CA315" s="57"/>
      <c r="CB315" s="57"/>
      <c r="CC315" s="57"/>
      <c r="CD315" s="57"/>
      <c r="CE315" s="57"/>
      <c r="CF315" s="57"/>
      <c r="CG315" s="57"/>
      <c r="CH315" s="57"/>
      <c r="CI315" s="57"/>
      <c r="CJ315" s="57"/>
      <c r="CK315" s="57"/>
      <c r="CL315" s="57"/>
      <c r="CM315" s="57"/>
      <c r="CN315" s="57"/>
      <c r="CO315" s="57"/>
      <c r="CP315" s="57"/>
      <c r="CQ315" s="57"/>
      <c r="CR315" s="57"/>
      <c r="CS315" s="57"/>
      <c r="CT315" s="57"/>
      <c r="CU315" s="57"/>
      <c r="CV315" s="57"/>
      <c r="CW315" s="57"/>
      <c r="CX315" s="57"/>
      <c r="CY315" s="57"/>
      <c r="CZ315" s="57"/>
      <c r="DA315" s="57"/>
      <c r="DB315" s="57"/>
      <c r="DC315" s="57"/>
      <c r="DD315" s="57"/>
      <c r="DE315" s="57"/>
      <c r="DF315" s="57"/>
      <c r="DG315" s="57"/>
      <c r="DH315" s="57"/>
      <c r="DI315" s="57"/>
      <c r="DJ315" s="57"/>
      <c r="DK315" s="57"/>
    </row>
    <row r="316" spans="1:115" ht="30" customHeight="1" x14ac:dyDescent="0.25">
      <c r="A316" s="58" t="s">
        <v>400</v>
      </c>
      <c r="B316" s="57">
        <v>40.299999237060547</v>
      </c>
      <c r="C316" s="67">
        <v>40.47</v>
      </c>
      <c r="D316" s="67">
        <v>40.47</v>
      </c>
      <c r="E316" s="67">
        <v>40.47</v>
      </c>
      <c r="F316" s="67">
        <v>40.299999999999997</v>
      </c>
      <c r="G316" s="6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  <c r="BL316" s="57"/>
      <c r="BM316" s="57"/>
      <c r="BN316" s="57"/>
      <c r="BO316" s="57"/>
      <c r="BP316" s="57"/>
      <c r="BQ316" s="57"/>
      <c r="BR316" s="57"/>
      <c r="BS316" s="57"/>
      <c r="BT316" s="57"/>
      <c r="BU316" s="57"/>
      <c r="BV316" s="57"/>
      <c r="BW316" s="57"/>
      <c r="BX316" s="57"/>
      <c r="BY316" s="57"/>
      <c r="BZ316" s="57"/>
      <c r="CA316" s="57"/>
      <c r="CB316" s="57"/>
      <c r="CC316" s="57"/>
      <c r="CD316" s="57"/>
      <c r="CE316" s="57"/>
      <c r="CF316" s="57"/>
      <c r="CG316" s="57"/>
      <c r="CH316" s="57"/>
      <c r="CI316" s="57"/>
      <c r="CJ316" s="57"/>
      <c r="CK316" s="57"/>
      <c r="CL316" s="57"/>
      <c r="CM316" s="57"/>
      <c r="CN316" s="57"/>
      <c r="CO316" s="57"/>
      <c r="CP316" s="57"/>
      <c r="CQ316" s="57"/>
      <c r="CR316" s="57"/>
      <c r="CS316" s="57"/>
      <c r="CT316" s="57"/>
      <c r="CU316" s="57"/>
      <c r="CV316" s="57"/>
      <c r="CW316" s="57"/>
      <c r="CX316" s="57"/>
      <c r="CY316" s="57"/>
      <c r="CZ316" s="57"/>
      <c r="DA316" s="57"/>
      <c r="DB316" s="57"/>
      <c r="DC316" s="57"/>
      <c r="DD316" s="57"/>
      <c r="DE316" s="57"/>
      <c r="DF316" s="57"/>
      <c r="DG316" s="57"/>
      <c r="DH316" s="57"/>
      <c r="DI316" s="57"/>
      <c r="DJ316" s="57"/>
      <c r="DK316" s="57"/>
    </row>
    <row r="317" spans="1:115" ht="30" customHeight="1" x14ac:dyDescent="0.25">
      <c r="A317" s="58" t="s">
        <v>350</v>
      </c>
      <c r="B317" s="57">
        <v>285.1400146484375</v>
      </c>
      <c r="C317" s="67">
        <v>288.29000000000002</v>
      </c>
      <c r="D317" s="67">
        <v>288.29000000000002</v>
      </c>
      <c r="E317" s="67">
        <v>288.29000000000002</v>
      </c>
      <c r="F317" s="67">
        <v>285.14</v>
      </c>
      <c r="G317" s="6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  <c r="BL317" s="57"/>
      <c r="BM317" s="57"/>
      <c r="BN317" s="57"/>
      <c r="BO317" s="57"/>
      <c r="BP317" s="57"/>
      <c r="BQ317" s="57"/>
      <c r="BR317" s="57"/>
      <c r="BS317" s="57"/>
      <c r="BT317" s="57"/>
      <c r="BU317" s="57"/>
      <c r="BV317" s="57"/>
      <c r="BW317" s="57"/>
      <c r="BX317" s="57"/>
      <c r="BY317" s="57"/>
      <c r="BZ317" s="57"/>
      <c r="CA317" s="57"/>
      <c r="CB317" s="57"/>
      <c r="CC317" s="57"/>
      <c r="CD317" s="57"/>
      <c r="CE317" s="57"/>
      <c r="CF317" s="57"/>
      <c r="CG317" s="57"/>
      <c r="CH317" s="57"/>
      <c r="CI317" s="57"/>
      <c r="CJ317" s="57"/>
      <c r="CK317" s="57"/>
      <c r="CL317" s="57"/>
      <c r="CM317" s="57"/>
      <c r="CN317" s="57"/>
      <c r="CO317" s="57"/>
      <c r="CP317" s="57"/>
      <c r="CQ317" s="57"/>
      <c r="CR317" s="57"/>
      <c r="CS317" s="57"/>
      <c r="CT317" s="57"/>
      <c r="CU317" s="57"/>
      <c r="CV317" s="57"/>
      <c r="CW317" s="57"/>
      <c r="CX317" s="57"/>
      <c r="CY317" s="57"/>
      <c r="CZ317" s="57"/>
      <c r="DA317" s="57"/>
      <c r="DB317" s="57"/>
      <c r="DC317" s="57"/>
      <c r="DD317" s="57"/>
      <c r="DE317" s="57"/>
      <c r="DF317" s="57"/>
      <c r="DG317" s="57"/>
      <c r="DH317" s="57"/>
      <c r="DI317" s="57"/>
      <c r="DJ317" s="57"/>
      <c r="DK317" s="57"/>
    </row>
    <row r="318" spans="1:115" ht="30" customHeight="1" x14ac:dyDescent="0.25">
      <c r="A318" s="58" t="s">
        <v>408</v>
      </c>
      <c r="B318" s="57">
        <v>33.860000610351563</v>
      </c>
      <c r="C318" s="67">
        <v>34.085000000000001</v>
      </c>
      <c r="D318" s="67">
        <v>34.085000000000001</v>
      </c>
      <c r="E318" s="67">
        <v>34.085000000000001</v>
      </c>
      <c r="F318" s="67">
        <v>33.86</v>
      </c>
      <c r="G318" s="6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  <c r="BL318" s="57"/>
      <c r="BM318" s="57"/>
      <c r="BN318" s="57"/>
      <c r="BO318" s="57"/>
      <c r="BP318" s="57"/>
      <c r="BQ318" s="57"/>
      <c r="BR318" s="57"/>
      <c r="BS318" s="57"/>
      <c r="BT318" s="57"/>
      <c r="BU318" s="57"/>
      <c r="BV318" s="57"/>
      <c r="BW318" s="57"/>
      <c r="BX318" s="57"/>
      <c r="BY318" s="57"/>
      <c r="BZ318" s="57"/>
      <c r="CA318" s="57"/>
      <c r="CB318" s="57"/>
      <c r="CC318" s="57"/>
      <c r="CD318" s="57"/>
      <c r="CE318" s="57"/>
      <c r="CF318" s="57"/>
      <c r="CG318" s="57"/>
      <c r="CH318" s="57"/>
      <c r="CI318" s="57"/>
      <c r="CJ318" s="57"/>
      <c r="CK318" s="57"/>
      <c r="CL318" s="57"/>
      <c r="CM318" s="57"/>
      <c r="CN318" s="57"/>
      <c r="CO318" s="57"/>
      <c r="CP318" s="57"/>
      <c r="CQ318" s="57"/>
      <c r="CR318" s="57"/>
      <c r="CS318" s="57"/>
      <c r="CT318" s="57"/>
      <c r="CU318" s="57"/>
      <c r="CV318" s="57"/>
      <c r="CW318" s="57"/>
      <c r="CX318" s="57"/>
      <c r="CY318" s="57"/>
      <c r="CZ318" s="57"/>
      <c r="DA318" s="57"/>
      <c r="DB318" s="57"/>
      <c r="DC318" s="57"/>
      <c r="DD318" s="57"/>
      <c r="DE318" s="57"/>
      <c r="DF318" s="57"/>
      <c r="DG318" s="57"/>
      <c r="DH318" s="57"/>
      <c r="DI318" s="57"/>
      <c r="DJ318" s="57"/>
      <c r="DK318" s="57"/>
    </row>
    <row r="319" spans="1:115" ht="30" customHeight="1" x14ac:dyDescent="0.25">
      <c r="A319" s="58" t="s">
        <v>389</v>
      </c>
      <c r="B319" s="57">
        <v>0.17162309587001801</v>
      </c>
      <c r="C319" s="67">
        <v>0.16729134000000001</v>
      </c>
      <c r="D319" s="67">
        <v>0.15203992999999999</v>
      </c>
      <c r="E319" s="67">
        <v>0.15580938999999999</v>
      </c>
      <c r="F319" s="67">
        <v>0.13914472</v>
      </c>
      <c r="G319" s="6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  <c r="BL319" s="57"/>
      <c r="BM319" s="57"/>
      <c r="BN319" s="57"/>
      <c r="BO319" s="57"/>
      <c r="BP319" s="57"/>
      <c r="BQ319" s="57"/>
      <c r="BR319" s="57"/>
      <c r="BS319" s="57"/>
      <c r="BT319" s="57"/>
      <c r="BU319" s="57"/>
      <c r="BV319" s="57"/>
      <c r="BW319" s="57"/>
      <c r="BX319" s="57"/>
      <c r="BY319" s="57"/>
      <c r="BZ319" s="57"/>
      <c r="CA319" s="57"/>
      <c r="CB319" s="57"/>
      <c r="CC319" s="57"/>
      <c r="CD319" s="57"/>
      <c r="CE319" s="57"/>
      <c r="CF319" s="57"/>
      <c r="CG319" s="57"/>
      <c r="CH319" s="57"/>
      <c r="CI319" s="57"/>
      <c r="CJ319" s="57"/>
      <c r="CK319" s="57"/>
      <c r="CL319" s="57"/>
      <c r="CM319" s="57"/>
      <c r="CN319" s="57"/>
      <c r="CO319" s="57"/>
      <c r="CP319" s="57"/>
      <c r="CQ319" s="57"/>
      <c r="CR319" s="57"/>
      <c r="CS319" s="57"/>
      <c r="CT319" s="57"/>
      <c r="CU319" s="57"/>
      <c r="CV319" s="57"/>
      <c r="CW319" s="57"/>
      <c r="CX319" s="57"/>
      <c r="CY319" s="57"/>
      <c r="CZ319" s="57"/>
      <c r="DA319" s="57"/>
      <c r="DB319" s="57"/>
      <c r="DC319" s="57"/>
      <c r="DD319" s="57"/>
      <c r="DE319" s="57"/>
      <c r="DF319" s="57"/>
      <c r="DG319" s="57"/>
      <c r="DH319" s="57"/>
      <c r="DI319" s="57"/>
      <c r="DJ319" s="57"/>
      <c r="DK319" s="57"/>
    </row>
    <row r="320" spans="1:115" ht="30" customHeight="1" x14ac:dyDescent="0.25">
      <c r="A320" s="58" t="s">
        <v>401</v>
      </c>
      <c r="B320" s="57">
        <v>90.230003356933594</v>
      </c>
      <c r="C320" s="67">
        <v>90.84</v>
      </c>
      <c r="D320" s="67">
        <v>90.84</v>
      </c>
      <c r="E320" s="67">
        <v>90.84</v>
      </c>
      <c r="F320" s="67">
        <v>90.23</v>
      </c>
      <c r="G320" s="6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  <c r="BL320" s="57"/>
      <c r="BM320" s="57"/>
      <c r="BN320" s="57"/>
      <c r="BO320" s="57"/>
      <c r="BP320" s="57"/>
      <c r="BQ320" s="57"/>
      <c r="BR320" s="57"/>
      <c r="BS320" s="57"/>
      <c r="BT320" s="57"/>
      <c r="BU320" s="57"/>
      <c r="BV320" s="57"/>
      <c r="BW320" s="57"/>
      <c r="BX320" s="57"/>
      <c r="BY320" s="57"/>
      <c r="BZ320" s="57"/>
      <c r="CA320" s="57"/>
      <c r="CB320" s="57"/>
      <c r="CC320" s="57"/>
      <c r="CD320" s="57"/>
      <c r="CE320" s="57"/>
      <c r="CF320" s="57"/>
      <c r="CG320" s="57"/>
      <c r="CH320" s="57"/>
      <c r="CI320" s="57"/>
      <c r="CJ320" s="57"/>
      <c r="CK320" s="57"/>
      <c r="CL320" s="57"/>
      <c r="CM320" s="57"/>
      <c r="CN320" s="57"/>
      <c r="CO320" s="57"/>
      <c r="CP320" s="57"/>
      <c r="CQ320" s="57"/>
      <c r="CR320" s="57"/>
      <c r="CS320" s="57"/>
      <c r="CT320" s="57"/>
      <c r="CU320" s="57"/>
      <c r="CV320" s="57"/>
      <c r="CW320" s="57"/>
      <c r="CX320" s="57"/>
      <c r="CY320" s="57"/>
      <c r="CZ320" s="57"/>
      <c r="DA320" s="57"/>
      <c r="DB320" s="57"/>
      <c r="DC320" s="57"/>
      <c r="DD320" s="57"/>
      <c r="DE320" s="57"/>
      <c r="DF320" s="57"/>
      <c r="DG320" s="57"/>
      <c r="DH320" s="57"/>
      <c r="DI320" s="57"/>
      <c r="DJ320" s="57"/>
      <c r="DK320" s="57"/>
    </row>
    <row r="321" spans="1:115" ht="30" customHeight="1" x14ac:dyDescent="0.25">
      <c r="A321" s="58" t="s">
        <v>90</v>
      </c>
      <c r="B321" s="57">
        <v>67.610000610351563</v>
      </c>
      <c r="C321" s="67">
        <v>67.83</v>
      </c>
      <c r="D321" s="67">
        <v>67.83</v>
      </c>
      <c r="E321" s="67">
        <v>67.83</v>
      </c>
      <c r="F321" s="67">
        <v>67.61</v>
      </c>
      <c r="G321" s="6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  <c r="BL321" s="57"/>
      <c r="BM321" s="57"/>
      <c r="BN321" s="57"/>
      <c r="BO321" s="57"/>
      <c r="BP321" s="57"/>
      <c r="BQ321" s="57"/>
      <c r="BR321" s="57"/>
      <c r="BS321" s="57"/>
      <c r="BT321" s="57"/>
      <c r="BU321" s="57"/>
      <c r="BV321" s="57"/>
      <c r="BW321" s="57"/>
      <c r="BX321" s="57"/>
      <c r="BY321" s="57"/>
      <c r="BZ321" s="57"/>
      <c r="CA321" s="57"/>
      <c r="CB321" s="57"/>
      <c r="CC321" s="57"/>
      <c r="CD321" s="57"/>
      <c r="CE321" s="57"/>
      <c r="CF321" s="57"/>
      <c r="CG321" s="57"/>
      <c r="CH321" s="57"/>
      <c r="CI321" s="57"/>
      <c r="CJ321" s="57"/>
      <c r="CK321" s="57"/>
      <c r="CL321" s="57"/>
      <c r="CM321" s="57"/>
      <c r="CN321" s="57"/>
      <c r="CO321" s="57"/>
      <c r="CP321" s="57"/>
      <c r="CQ321" s="57"/>
      <c r="CR321" s="57"/>
      <c r="CS321" s="57"/>
      <c r="CT321" s="57"/>
      <c r="CU321" s="57"/>
      <c r="CV321" s="57"/>
      <c r="CW321" s="57"/>
      <c r="CX321" s="57"/>
      <c r="CY321" s="57"/>
      <c r="CZ321" s="57"/>
      <c r="DA321" s="57"/>
      <c r="DB321" s="57"/>
      <c r="DC321" s="57"/>
      <c r="DD321" s="57"/>
      <c r="DE321" s="57"/>
      <c r="DF321" s="57"/>
      <c r="DG321" s="57"/>
      <c r="DH321" s="57"/>
      <c r="DI321" s="57"/>
      <c r="DJ321" s="57"/>
      <c r="DK321" s="57"/>
    </row>
    <row r="322" spans="1:115" ht="30" customHeight="1" x14ac:dyDescent="0.25">
      <c r="A322" s="58" t="s">
        <v>66</v>
      </c>
      <c r="B322" s="57">
        <v>84.05999755859375</v>
      </c>
      <c r="C322" s="67">
        <v>85.15</v>
      </c>
      <c r="D322" s="67">
        <v>85.15</v>
      </c>
      <c r="E322" s="67">
        <v>85.15</v>
      </c>
      <c r="F322" s="67">
        <v>84.06</v>
      </c>
      <c r="G322" s="6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  <c r="BL322" s="57"/>
      <c r="BM322" s="57"/>
      <c r="BN322" s="57"/>
      <c r="BO322" s="57"/>
      <c r="BP322" s="57"/>
      <c r="BQ322" s="57"/>
      <c r="BR322" s="57"/>
      <c r="BS322" s="57"/>
      <c r="BT322" s="57"/>
      <c r="BU322" s="57"/>
      <c r="BV322" s="57"/>
      <c r="BW322" s="57"/>
      <c r="BX322" s="57"/>
      <c r="BY322" s="57"/>
      <c r="BZ322" s="57"/>
      <c r="CA322" s="57"/>
      <c r="CB322" s="57"/>
      <c r="CC322" s="57"/>
      <c r="CD322" s="57"/>
      <c r="CE322" s="57"/>
      <c r="CF322" s="57"/>
      <c r="CG322" s="57"/>
      <c r="CH322" s="57"/>
      <c r="CI322" s="57"/>
      <c r="CJ322" s="57"/>
      <c r="CK322" s="57"/>
      <c r="CL322" s="57"/>
      <c r="CM322" s="57"/>
      <c r="CN322" s="57"/>
      <c r="CO322" s="57"/>
      <c r="CP322" s="57"/>
      <c r="CQ322" s="57"/>
      <c r="CR322" s="57"/>
      <c r="CS322" s="57"/>
      <c r="CT322" s="57"/>
      <c r="CU322" s="57"/>
      <c r="CV322" s="57"/>
      <c r="CW322" s="57"/>
      <c r="CX322" s="57"/>
      <c r="CY322" s="57"/>
      <c r="CZ322" s="57"/>
      <c r="DA322" s="57"/>
      <c r="DB322" s="57"/>
      <c r="DC322" s="57"/>
      <c r="DD322" s="57"/>
      <c r="DE322" s="57"/>
      <c r="DF322" s="57"/>
      <c r="DG322" s="57"/>
      <c r="DH322" s="57"/>
      <c r="DI322" s="57"/>
      <c r="DJ322" s="57"/>
      <c r="DK322" s="57"/>
    </row>
    <row r="323" spans="1:115" ht="30" customHeight="1" x14ac:dyDescent="0.25">
      <c r="A323" s="58" t="s">
        <v>409</v>
      </c>
      <c r="B323" s="57">
        <v>30.620000839233398</v>
      </c>
      <c r="C323" s="67">
        <v>30.78</v>
      </c>
      <c r="D323" s="67">
        <v>30.78</v>
      </c>
      <c r="E323" s="67">
        <v>30.78</v>
      </c>
      <c r="F323" s="67">
        <v>30.62</v>
      </c>
      <c r="G323" s="6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  <c r="BL323" s="57"/>
      <c r="BM323" s="57"/>
      <c r="BN323" s="57"/>
      <c r="BO323" s="57"/>
      <c r="BP323" s="57"/>
      <c r="BQ323" s="57"/>
      <c r="BR323" s="57"/>
      <c r="BS323" s="57"/>
      <c r="BT323" s="57"/>
      <c r="BU323" s="57"/>
      <c r="BV323" s="57"/>
      <c r="BW323" s="57"/>
      <c r="BX323" s="57"/>
      <c r="BY323" s="57"/>
      <c r="BZ323" s="57"/>
      <c r="CA323" s="57"/>
      <c r="CB323" s="57"/>
      <c r="CC323" s="57"/>
      <c r="CD323" s="57"/>
      <c r="CE323" s="57"/>
      <c r="CF323" s="57"/>
      <c r="CG323" s="57"/>
      <c r="CH323" s="57"/>
      <c r="CI323" s="57"/>
      <c r="CJ323" s="57"/>
      <c r="CK323" s="57"/>
      <c r="CL323" s="57"/>
      <c r="CM323" s="57"/>
      <c r="CN323" s="57"/>
      <c r="CO323" s="57"/>
      <c r="CP323" s="57"/>
      <c r="CQ323" s="57"/>
      <c r="CR323" s="57"/>
      <c r="CS323" s="57"/>
      <c r="CT323" s="57"/>
      <c r="CU323" s="57"/>
      <c r="CV323" s="57"/>
      <c r="CW323" s="57"/>
      <c r="CX323" s="57"/>
      <c r="CY323" s="57"/>
      <c r="CZ323" s="57"/>
      <c r="DA323" s="57"/>
      <c r="DB323" s="57"/>
      <c r="DC323" s="57"/>
      <c r="DD323" s="57"/>
      <c r="DE323" s="57"/>
      <c r="DF323" s="57"/>
      <c r="DG323" s="57"/>
      <c r="DH323" s="57"/>
      <c r="DI323" s="57"/>
      <c r="DJ323" s="57"/>
      <c r="DK323" s="57"/>
    </row>
    <row r="324" spans="1:115" ht="30" customHeight="1" x14ac:dyDescent="0.25">
      <c r="A324" s="58" t="s">
        <v>351</v>
      </c>
      <c r="B324" s="57">
        <v>27.719999313354492</v>
      </c>
      <c r="C324" s="67">
        <v>28.86</v>
      </c>
      <c r="D324" s="67">
        <v>28.86</v>
      </c>
      <c r="E324" s="67">
        <v>28.86</v>
      </c>
      <c r="F324" s="67">
        <v>27.64</v>
      </c>
      <c r="G324" s="6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  <c r="BL324" s="57"/>
      <c r="BM324" s="57"/>
      <c r="BN324" s="57"/>
      <c r="BO324" s="57"/>
      <c r="BP324" s="57"/>
      <c r="BQ324" s="57"/>
      <c r="BR324" s="57"/>
      <c r="BS324" s="57"/>
      <c r="BT324" s="57"/>
      <c r="BU324" s="57"/>
      <c r="BV324" s="57"/>
      <c r="BW324" s="57"/>
      <c r="BX324" s="57"/>
      <c r="BY324" s="57"/>
      <c r="BZ324" s="57"/>
      <c r="CA324" s="57"/>
      <c r="CB324" s="57"/>
      <c r="CC324" s="57"/>
      <c r="CD324" s="57"/>
      <c r="CE324" s="57"/>
      <c r="CF324" s="57"/>
      <c r="CG324" s="57"/>
      <c r="CH324" s="57"/>
      <c r="CI324" s="57"/>
      <c r="CJ324" s="57"/>
      <c r="CK324" s="57"/>
      <c r="CL324" s="57"/>
      <c r="CM324" s="57"/>
      <c r="CN324" s="57"/>
      <c r="CO324" s="57"/>
      <c r="CP324" s="57"/>
      <c r="CQ324" s="57"/>
      <c r="CR324" s="57"/>
      <c r="CS324" s="57"/>
      <c r="CT324" s="57"/>
      <c r="CU324" s="57"/>
      <c r="CV324" s="57"/>
      <c r="CW324" s="57"/>
      <c r="CX324" s="57"/>
      <c r="CY324" s="57"/>
      <c r="CZ324" s="57"/>
      <c r="DA324" s="57"/>
      <c r="DB324" s="57"/>
      <c r="DC324" s="57"/>
      <c r="DD324" s="57"/>
      <c r="DE324" s="57"/>
      <c r="DF324" s="57"/>
      <c r="DG324" s="57"/>
      <c r="DH324" s="57"/>
      <c r="DI324" s="57"/>
      <c r="DJ324" s="57"/>
      <c r="DK324" s="57"/>
    </row>
    <row r="325" spans="1:115" ht="30" customHeight="1" x14ac:dyDescent="0.25">
      <c r="A325" s="58" t="s">
        <v>352</v>
      </c>
      <c r="B325" s="57">
        <v>83.319999694824219</v>
      </c>
      <c r="C325" s="67">
        <v>83.24</v>
      </c>
      <c r="D325" s="67">
        <v>83.24</v>
      </c>
      <c r="E325" s="67">
        <v>83.24</v>
      </c>
      <c r="F325" s="67">
        <v>83.32</v>
      </c>
      <c r="G325" s="6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  <c r="BL325" s="57"/>
      <c r="BM325" s="57"/>
      <c r="BN325" s="57"/>
      <c r="BO325" s="57"/>
      <c r="BP325" s="57"/>
      <c r="BQ325" s="57"/>
      <c r="BR325" s="57"/>
      <c r="BS325" s="57"/>
      <c r="BT325" s="57"/>
      <c r="BU325" s="57"/>
      <c r="BV325" s="57"/>
      <c r="BW325" s="57"/>
      <c r="BX325" s="57"/>
      <c r="BY325" s="57"/>
      <c r="BZ325" s="57"/>
      <c r="CA325" s="57"/>
      <c r="CB325" s="57"/>
      <c r="CC325" s="57"/>
      <c r="CD325" s="57"/>
      <c r="CE325" s="57"/>
      <c r="CF325" s="57"/>
      <c r="CG325" s="57"/>
      <c r="CH325" s="57"/>
      <c r="CI325" s="57"/>
      <c r="CJ325" s="57"/>
      <c r="CK325" s="57"/>
      <c r="CL325" s="57"/>
      <c r="CM325" s="57"/>
      <c r="CN325" s="57"/>
      <c r="CO325" s="57"/>
      <c r="CP325" s="57"/>
      <c r="CQ325" s="57"/>
      <c r="CR325" s="57"/>
      <c r="CS325" s="57"/>
      <c r="CT325" s="57"/>
      <c r="CU325" s="57"/>
      <c r="CV325" s="57"/>
      <c r="CW325" s="57"/>
      <c r="CX325" s="57"/>
      <c r="CY325" s="57"/>
      <c r="CZ325" s="57"/>
      <c r="DA325" s="57"/>
      <c r="DB325" s="57"/>
      <c r="DC325" s="57"/>
      <c r="DD325" s="57"/>
      <c r="DE325" s="57"/>
      <c r="DF325" s="57"/>
      <c r="DG325" s="57"/>
      <c r="DH325" s="57"/>
      <c r="DI325" s="57"/>
      <c r="DJ325" s="57"/>
      <c r="DK325" s="57"/>
    </row>
    <row r="326" spans="1:115" ht="30" customHeight="1" x14ac:dyDescent="0.25">
      <c r="A326" s="58" t="s">
        <v>67</v>
      </c>
      <c r="B326" s="57">
        <v>102.48999786376953</v>
      </c>
      <c r="C326" s="67">
        <v>102.54</v>
      </c>
      <c r="D326" s="67">
        <v>102.54</v>
      </c>
      <c r="E326" s="67">
        <v>102.54</v>
      </c>
      <c r="F326" s="67">
        <v>102.49</v>
      </c>
      <c r="G326" s="6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  <c r="BL326" s="57"/>
      <c r="BM326" s="57"/>
      <c r="BN326" s="57"/>
      <c r="BO326" s="57"/>
      <c r="BP326" s="57"/>
      <c r="BQ326" s="57"/>
      <c r="BR326" s="57"/>
      <c r="BS326" s="57"/>
      <c r="BT326" s="57"/>
      <c r="BU326" s="57"/>
      <c r="BV326" s="57"/>
      <c r="BW326" s="57"/>
      <c r="BX326" s="57"/>
      <c r="BY326" s="57"/>
      <c r="BZ326" s="57"/>
      <c r="CA326" s="57"/>
      <c r="CB326" s="57"/>
      <c r="CC326" s="57"/>
      <c r="CD326" s="57"/>
      <c r="CE326" s="57"/>
      <c r="CF326" s="57"/>
      <c r="CG326" s="57"/>
      <c r="CH326" s="57"/>
      <c r="CI326" s="57"/>
      <c r="CJ326" s="57"/>
      <c r="CK326" s="57"/>
      <c r="CL326" s="57"/>
      <c r="CM326" s="57"/>
      <c r="CN326" s="57"/>
      <c r="CO326" s="57"/>
      <c r="CP326" s="57"/>
      <c r="CQ326" s="57"/>
      <c r="CR326" s="57"/>
      <c r="CS326" s="57"/>
      <c r="CT326" s="57"/>
      <c r="CU326" s="57"/>
      <c r="CV326" s="57"/>
      <c r="CW326" s="57"/>
      <c r="CX326" s="57"/>
      <c r="CY326" s="57"/>
      <c r="CZ326" s="57"/>
      <c r="DA326" s="57"/>
      <c r="DB326" s="57"/>
      <c r="DC326" s="57"/>
      <c r="DD326" s="57"/>
      <c r="DE326" s="57"/>
      <c r="DF326" s="57"/>
      <c r="DG326" s="57"/>
      <c r="DH326" s="57"/>
      <c r="DI326" s="57"/>
      <c r="DJ326" s="57"/>
      <c r="DK326" s="57"/>
    </row>
    <row r="327" spans="1:115" ht="30" customHeight="1" x14ac:dyDescent="0.25">
      <c r="A327" s="58" t="s">
        <v>52</v>
      </c>
      <c r="B327" s="57">
        <v>385.010009765625</v>
      </c>
      <c r="C327" s="67">
        <v>388.5</v>
      </c>
      <c r="D327" s="67">
        <v>388.5</v>
      </c>
      <c r="E327" s="67">
        <v>388.5</v>
      </c>
      <c r="F327" s="67">
        <v>385.01</v>
      </c>
      <c r="G327" s="6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  <c r="BL327" s="57"/>
      <c r="BM327" s="57"/>
      <c r="BN327" s="57"/>
      <c r="BO327" s="57"/>
      <c r="BP327" s="57"/>
      <c r="BQ327" s="57"/>
      <c r="BR327" s="57"/>
      <c r="BS327" s="57"/>
      <c r="BT327" s="57"/>
      <c r="BU327" s="57"/>
      <c r="BV327" s="57"/>
      <c r="BW327" s="57"/>
      <c r="BX327" s="57"/>
      <c r="BY327" s="57"/>
      <c r="BZ327" s="57"/>
      <c r="CA327" s="57"/>
      <c r="CB327" s="57"/>
      <c r="CC327" s="57"/>
      <c r="CD327" s="57"/>
      <c r="CE327" s="57"/>
      <c r="CF327" s="57"/>
      <c r="CG327" s="57"/>
      <c r="CH327" s="57"/>
      <c r="CI327" s="57"/>
      <c r="CJ327" s="57"/>
      <c r="CK327" s="57"/>
      <c r="CL327" s="57"/>
      <c r="CM327" s="57"/>
      <c r="CN327" s="57"/>
      <c r="CO327" s="57"/>
      <c r="CP327" s="57"/>
      <c r="CQ327" s="57"/>
      <c r="CR327" s="57"/>
      <c r="CS327" s="57"/>
      <c r="CT327" s="57"/>
      <c r="CU327" s="57"/>
      <c r="CV327" s="57"/>
      <c r="CW327" s="57"/>
      <c r="CX327" s="57"/>
      <c r="CY327" s="57"/>
      <c r="CZ327" s="57"/>
      <c r="DA327" s="57"/>
      <c r="DB327" s="57"/>
      <c r="DC327" s="57"/>
      <c r="DD327" s="57"/>
      <c r="DE327" s="57"/>
      <c r="DF327" s="57"/>
      <c r="DG327" s="57"/>
      <c r="DH327" s="57"/>
      <c r="DI327" s="57"/>
      <c r="DJ327" s="57"/>
      <c r="DK327" s="57"/>
    </row>
    <row r="328" spans="1:115" ht="30" customHeight="1" x14ac:dyDescent="0.25">
      <c r="A328" s="58" t="s">
        <v>353</v>
      </c>
      <c r="B328" s="57">
        <v>34.049999237060547</v>
      </c>
      <c r="C328" s="67">
        <v>34.729999999999997</v>
      </c>
      <c r="D328" s="67">
        <v>34.729999999999997</v>
      </c>
      <c r="E328" s="67">
        <v>34.729999999999997</v>
      </c>
      <c r="F328" s="67">
        <v>34.049999999999997</v>
      </c>
      <c r="G328" s="6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L328" s="57"/>
      <c r="BM328" s="57"/>
      <c r="BN328" s="57"/>
      <c r="BO328" s="57"/>
      <c r="BP328" s="57"/>
      <c r="BQ328" s="57"/>
      <c r="BR328" s="57"/>
      <c r="BS328" s="57"/>
      <c r="BT328" s="57"/>
      <c r="BU328" s="57"/>
      <c r="BV328" s="57"/>
      <c r="BW328" s="57"/>
      <c r="BX328" s="57"/>
      <c r="BY328" s="57"/>
      <c r="BZ328" s="57"/>
      <c r="CA328" s="57"/>
      <c r="CB328" s="57"/>
      <c r="CC328" s="57"/>
      <c r="CD328" s="57"/>
      <c r="CE328" s="57"/>
      <c r="CF328" s="57"/>
      <c r="CG328" s="57"/>
      <c r="CH328" s="57"/>
      <c r="CI328" s="57"/>
      <c r="CJ328" s="57"/>
      <c r="CK328" s="57"/>
      <c r="CL328" s="57"/>
      <c r="CM328" s="57"/>
      <c r="CN328" s="57"/>
      <c r="CO328" s="57"/>
      <c r="CP328" s="57"/>
      <c r="CQ328" s="57"/>
      <c r="CR328" s="57"/>
      <c r="CS328" s="57"/>
      <c r="CT328" s="57"/>
      <c r="CU328" s="57"/>
      <c r="CV328" s="57"/>
      <c r="CW328" s="57"/>
      <c r="CX328" s="57"/>
      <c r="CY328" s="57"/>
      <c r="CZ328" s="57"/>
      <c r="DA328" s="57"/>
      <c r="DB328" s="57"/>
      <c r="DC328" s="57"/>
      <c r="DD328" s="57"/>
      <c r="DE328" s="57"/>
      <c r="DF328" s="57"/>
      <c r="DG328" s="57"/>
      <c r="DH328" s="57"/>
      <c r="DI328" s="57"/>
      <c r="DJ328" s="57"/>
      <c r="DK328" s="57"/>
    </row>
    <row r="329" spans="1:115" ht="30" customHeight="1" x14ac:dyDescent="0.25">
      <c r="A329" s="58" t="s">
        <v>68</v>
      </c>
      <c r="B329" s="57">
        <v>34.509998321533203</v>
      </c>
      <c r="C329" s="67">
        <v>34.619999999999997</v>
      </c>
      <c r="D329" s="67">
        <v>34.619999999999997</v>
      </c>
      <c r="E329" s="67">
        <v>34.619999999999997</v>
      </c>
      <c r="F329" s="67">
        <v>34.51</v>
      </c>
      <c r="G329" s="6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  <c r="BL329" s="57"/>
      <c r="BM329" s="57"/>
      <c r="BN329" s="57"/>
      <c r="BO329" s="57"/>
      <c r="BP329" s="57"/>
      <c r="BQ329" s="57"/>
      <c r="BR329" s="57"/>
      <c r="BS329" s="57"/>
      <c r="BT329" s="57"/>
      <c r="BU329" s="57"/>
      <c r="BV329" s="57"/>
      <c r="BW329" s="57"/>
      <c r="BX329" s="57"/>
      <c r="BY329" s="57"/>
      <c r="BZ329" s="57"/>
      <c r="CA329" s="57"/>
      <c r="CB329" s="57"/>
      <c r="CC329" s="57"/>
      <c r="CD329" s="57"/>
      <c r="CE329" s="57"/>
      <c r="CF329" s="57"/>
      <c r="CG329" s="57"/>
      <c r="CH329" s="57"/>
      <c r="CI329" s="57"/>
      <c r="CJ329" s="57"/>
      <c r="CK329" s="57"/>
      <c r="CL329" s="57"/>
      <c r="CM329" s="57"/>
      <c r="CN329" s="57"/>
      <c r="CO329" s="57"/>
      <c r="CP329" s="57"/>
      <c r="CQ329" s="57"/>
      <c r="CR329" s="57"/>
      <c r="CS329" s="57"/>
      <c r="CT329" s="57"/>
      <c r="CU329" s="57"/>
      <c r="CV329" s="57"/>
      <c r="CW329" s="57"/>
      <c r="CX329" s="57"/>
      <c r="CY329" s="57"/>
      <c r="CZ329" s="57"/>
      <c r="DA329" s="57"/>
      <c r="DB329" s="57"/>
      <c r="DC329" s="57"/>
      <c r="DD329" s="57"/>
      <c r="DE329" s="57"/>
      <c r="DF329" s="57"/>
      <c r="DG329" s="57"/>
      <c r="DH329" s="57"/>
      <c r="DI329" s="57"/>
      <c r="DJ329" s="57"/>
      <c r="DK329" s="57"/>
    </row>
    <row r="330" spans="1:115" ht="30" customHeight="1" x14ac:dyDescent="0.25">
      <c r="A330" s="58" t="s">
        <v>354</v>
      </c>
      <c r="B330" s="57">
        <v>17.209999084472656</v>
      </c>
      <c r="C330" s="67">
        <v>17.55</v>
      </c>
      <c r="D330" s="67">
        <v>17.55</v>
      </c>
      <c r="E330" s="67">
        <v>17.55</v>
      </c>
      <c r="F330" s="67">
        <v>17.21</v>
      </c>
      <c r="G330" s="6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  <c r="BL330" s="57"/>
      <c r="BM330" s="57"/>
      <c r="BN330" s="57"/>
      <c r="BO330" s="57"/>
      <c r="BP330" s="57"/>
      <c r="BQ330" s="57"/>
      <c r="BR330" s="57"/>
      <c r="BS330" s="57"/>
      <c r="BT330" s="57"/>
      <c r="BU330" s="57"/>
      <c r="BV330" s="57"/>
      <c r="BW330" s="57"/>
      <c r="BX330" s="57"/>
      <c r="BY330" s="57"/>
      <c r="BZ330" s="57"/>
      <c r="CA330" s="57"/>
      <c r="CB330" s="57"/>
      <c r="CC330" s="57"/>
      <c r="CD330" s="57"/>
      <c r="CE330" s="57"/>
      <c r="CF330" s="57"/>
      <c r="CG330" s="57"/>
      <c r="CH330" s="57"/>
      <c r="CI330" s="57"/>
      <c r="CJ330" s="57"/>
      <c r="CK330" s="57"/>
      <c r="CL330" s="57"/>
      <c r="CM330" s="57"/>
      <c r="CN330" s="57"/>
      <c r="CO330" s="57"/>
      <c r="CP330" s="57"/>
      <c r="CQ330" s="57"/>
      <c r="CR330" s="57"/>
      <c r="CS330" s="57"/>
      <c r="CT330" s="57"/>
      <c r="CU330" s="57"/>
      <c r="CV330" s="57"/>
      <c r="CW330" s="57"/>
      <c r="CX330" s="57"/>
      <c r="CY330" s="57"/>
      <c r="CZ330" s="57"/>
      <c r="DA330" s="57"/>
      <c r="DB330" s="57"/>
      <c r="DC330" s="57"/>
      <c r="DD330" s="57"/>
      <c r="DE330" s="57"/>
      <c r="DF330" s="57"/>
      <c r="DG330" s="57"/>
      <c r="DH330" s="57"/>
      <c r="DI330" s="57"/>
      <c r="DJ330" s="57"/>
      <c r="DK330" s="57"/>
    </row>
    <row r="331" spans="1:115" ht="30" customHeight="1" x14ac:dyDescent="0.25">
      <c r="A331" s="58" t="s">
        <v>355</v>
      </c>
      <c r="B331" s="57">
        <v>49.299999237060547</v>
      </c>
      <c r="C331" s="67">
        <v>50</v>
      </c>
      <c r="D331" s="67">
        <v>50</v>
      </c>
      <c r="E331" s="67">
        <v>50</v>
      </c>
      <c r="F331" s="67">
        <v>49.3</v>
      </c>
      <c r="G331" s="6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  <c r="BL331" s="57"/>
      <c r="BM331" s="57"/>
      <c r="BN331" s="57"/>
      <c r="BO331" s="57"/>
      <c r="BP331" s="57"/>
      <c r="BQ331" s="57"/>
      <c r="BR331" s="57"/>
      <c r="BS331" s="57"/>
      <c r="BT331" s="57"/>
      <c r="BU331" s="57"/>
      <c r="BV331" s="57"/>
      <c r="BW331" s="57"/>
      <c r="BX331" s="57"/>
      <c r="BY331" s="57"/>
      <c r="BZ331" s="57"/>
      <c r="CA331" s="57"/>
      <c r="CB331" s="57"/>
      <c r="CC331" s="57"/>
      <c r="CD331" s="57"/>
      <c r="CE331" s="57"/>
      <c r="CF331" s="57"/>
      <c r="CG331" s="57"/>
      <c r="CH331" s="57"/>
      <c r="CI331" s="57"/>
      <c r="CJ331" s="57"/>
      <c r="CK331" s="57"/>
      <c r="CL331" s="57"/>
      <c r="CM331" s="57"/>
      <c r="CN331" s="57"/>
      <c r="CO331" s="57"/>
      <c r="CP331" s="57"/>
      <c r="CQ331" s="57"/>
      <c r="CR331" s="57"/>
      <c r="CS331" s="57"/>
      <c r="CT331" s="57"/>
      <c r="CU331" s="57"/>
      <c r="CV331" s="57"/>
      <c r="CW331" s="57"/>
      <c r="CX331" s="57"/>
      <c r="CY331" s="57"/>
      <c r="CZ331" s="57"/>
      <c r="DA331" s="57"/>
      <c r="DB331" s="57"/>
      <c r="DC331" s="57"/>
      <c r="DD331" s="57"/>
      <c r="DE331" s="57"/>
      <c r="DF331" s="57"/>
      <c r="DG331" s="57"/>
      <c r="DH331" s="57"/>
      <c r="DI331" s="57"/>
      <c r="DJ331" s="57"/>
      <c r="DK331" s="57"/>
    </row>
    <row r="332" spans="1:115" ht="30" customHeight="1" x14ac:dyDescent="0.25">
      <c r="A332" s="58" t="s">
        <v>402</v>
      </c>
      <c r="B332" s="57">
        <v>70.220001220703125</v>
      </c>
      <c r="C332" s="67">
        <v>70.94</v>
      </c>
      <c r="D332" s="67">
        <v>70.94</v>
      </c>
      <c r="E332" s="67">
        <v>70.94</v>
      </c>
      <c r="F332" s="67">
        <v>70.22</v>
      </c>
      <c r="G332" s="6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  <c r="BL332" s="57"/>
      <c r="BM332" s="57"/>
      <c r="BN332" s="57"/>
      <c r="BO332" s="57"/>
      <c r="BP332" s="57"/>
      <c r="BQ332" s="57"/>
      <c r="BR332" s="57"/>
      <c r="BS332" s="57"/>
      <c r="BT332" s="57"/>
      <c r="BU332" s="57"/>
      <c r="BV332" s="57"/>
      <c r="BW332" s="57"/>
      <c r="BX332" s="57"/>
      <c r="BY332" s="57"/>
      <c r="BZ332" s="57"/>
      <c r="CA332" s="57"/>
      <c r="CB332" s="57"/>
      <c r="CC332" s="57"/>
      <c r="CD332" s="57"/>
      <c r="CE332" s="57"/>
      <c r="CF332" s="57"/>
      <c r="CG332" s="57"/>
      <c r="CH332" s="57"/>
      <c r="CI332" s="57"/>
      <c r="CJ332" s="57"/>
      <c r="CK332" s="57"/>
      <c r="CL332" s="57"/>
      <c r="CM332" s="57"/>
      <c r="CN332" s="57"/>
      <c r="CO332" s="57"/>
      <c r="CP332" s="57"/>
      <c r="CQ332" s="57"/>
      <c r="CR332" s="57"/>
      <c r="CS332" s="57"/>
      <c r="CT332" s="57"/>
      <c r="CU332" s="57"/>
      <c r="CV332" s="57"/>
      <c r="CW332" s="57"/>
      <c r="CX332" s="57"/>
      <c r="CY332" s="57"/>
      <c r="CZ332" s="57"/>
      <c r="DA332" s="57"/>
      <c r="DB332" s="57"/>
      <c r="DC332" s="57"/>
      <c r="DD332" s="57"/>
      <c r="DE332" s="57"/>
      <c r="DF332" s="57"/>
      <c r="DG332" s="57"/>
      <c r="DH332" s="57"/>
      <c r="DI332" s="57"/>
      <c r="DJ332" s="57"/>
      <c r="DK332" s="57"/>
    </row>
    <row r="333" spans="1:115" ht="30" customHeight="1" x14ac:dyDescent="0.25">
      <c r="A333" s="58" t="s">
        <v>69</v>
      </c>
      <c r="B333" s="57">
        <v>217.5</v>
      </c>
      <c r="C333" s="67">
        <v>219.39</v>
      </c>
      <c r="D333" s="67">
        <v>219.39</v>
      </c>
      <c r="E333" s="67">
        <v>219.39</v>
      </c>
      <c r="F333" s="67">
        <v>217.5</v>
      </c>
      <c r="G333" s="6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L333" s="57"/>
      <c r="BM333" s="57"/>
      <c r="BN333" s="57"/>
      <c r="BO333" s="57"/>
      <c r="BP333" s="57"/>
      <c r="BQ333" s="57"/>
      <c r="BR333" s="57"/>
      <c r="BS333" s="57"/>
      <c r="BT333" s="57"/>
      <c r="BU333" s="57"/>
      <c r="BV333" s="57"/>
      <c r="BW333" s="57"/>
      <c r="BX333" s="57"/>
      <c r="BY333" s="57"/>
      <c r="BZ333" s="57"/>
      <c r="CA333" s="57"/>
      <c r="CB333" s="57"/>
      <c r="CC333" s="57"/>
      <c r="CD333" s="57"/>
      <c r="CE333" s="57"/>
      <c r="CF333" s="57"/>
      <c r="CG333" s="57"/>
      <c r="CH333" s="57"/>
      <c r="CI333" s="57"/>
      <c r="CJ333" s="57"/>
      <c r="CK333" s="57"/>
      <c r="CL333" s="57"/>
      <c r="CM333" s="57"/>
      <c r="CN333" s="57"/>
      <c r="CO333" s="57"/>
      <c r="CP333" s="57"/>
      <c r="CQ333" s="57"/>
      <c r="CR333" s="57"/>
      <c r="CS333" s="57"/>
      <c r="CT333" s="57"/>
      <c r="CU333" s="57"/>
      <c r="CV333" s="57"/>
      <c r="CW333" s="57"/>
      <c r="CX333" s="57"/>
      <c r="CY333" s="57"/>
      <c r="CZ333" s="57"/>
      <c r="DA333" s="57"/>
      <c r="DB333" s="57"/>
      <c r="DC333" s="57"/>
      <c r="DD333" s="57"/>
      <c r="DE333" s="57"/>
      <c r="DF333" s="57"/>
      <c r="DG333" s="57"/>
      <c r="DH333" s="57"/>
      <c r="DI333" s="57"/>
      <c r="DJ333" s="57"/>
      <c r="DK333" s="57"/>
    </row>
    <row r="334" spans="1:115" ht="30" customHeight="1" x14ac:dyDescent="0.25">
      <c r="A334" s="58" t="s">
        <v>356</v>
      </c>
      <c r="B334" s="57">
        <v>46.25</v>
      </c>
      <c r="C334" s="67">
        <v>47.61</v>
      </c>
      <c r="D334" s="67">
        <v>47.61</v>
      </c>
      <c r="E334" s="67">
        <v>47.61</v>
      </c>
      <c r="F334" s="67">
        <v>46.25</v>
      </c>
      <c r="G334" s="6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L334" s="57"/>
      <c r="BM334" s="57"/>
      <c r="BN334" s="57"/>
      <c r="BO334" s="57"/>
      <c r="BP334" s="57"/>
      <c r="BQ334" s="57"/>
      <c r="BR334" s="57"/>
      <c r="BS334" s="57"/>
      <c r="BT334" s="57"/>
      <c r="BU334" s="57"/>
      <c r="BV334" s="57"/>
      <c r="BW334" s="57"/>
      <c r="BX334" s="57"/>
      <c r="BY334" s="57"/>
      <c r="BZ334" s="57"/>
      <c r="CA334" s="57"/>
      <c r="CB334" s="57"/>
      <c r="CC334" s="57"/>
      <c r="CD334" s="57"/>
      <c r="CE334" s="57"/>
      <c r="CF334" s="57"/>
      <c r="CG334" s="57"/>
      <c r="CH334" s="57"/>
      <c r="CI334" s="57"/>
      <c r="CJ334" s="57"/>
      <c r="CK334" s="57"/>
      <c r="CL334" s="57"/>
      <c r="CM334" s="57"/>
      <c r="CN334" s="57"/>
      <c r="CO334" s="57"/>
      <c r="CP334" s="57"/>
      <c r="CQ334" s="57"/>
      <c r="CR334" s="57"/>
      <c r="CS334" s="57"/>
      <c r="CT334" s="57"/>
      <c r="CU334" s="57"/>
      <c r="CV334" s="57"/>
      <c r="CW334" s="57"/>
      <c r="CX334" s="57"/>
      <c r="CY334" s="57"/>
      <c r="CZ334" s="57"/>
      <c r="DA334" s="57"/>
      <c r="DB334" s="57"/>
      <c r="DC334" s="57"/>
      <c r="DD334" s="57"/>
      <c r="DE334" s="57"/>
      <c r="DF334" s="57"/>
      <c r="DG334" s="57"/>
      <c r="DH334" s="57"/>
      <c r="DI334" s="57"/>
      <c r="DJ334" s="57"/>
      <c r="DK334" s="57"/>
    </row>
    <row r="335" spans="1:115" ht="30" customHeight="1" x14ac:dyDescent="0.25">
      <c r="A335" s="58" t="s">
        <v>91</v>
      </c>
      <c r="B335" s="57">
        <v>54.520000457763672</v>
      </c>
      <c r="C335" s="67">
        <v>55.01</v>
      </c>
      <c r="D335" s="67">
        <v>55.01</v>
      </c>
      <c r="E335" s="67">
        <v>55.01</v>
      </c>
      <c r="F335" s="67">
        <v>54.52</v>
      </c>
      <c r="G335" s="6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L335" s="57"/>
      <c r="BM335" s="57"/>
      <c r="BN335" s="57"/>
      <c r="BO335" s="57"/>
      <c r="BP335" s="57"/>
      <c r="BQ335" s="57"/>
      <c r="BR335" s="57"/>
      <c r="BS335" s="57"/>
      <c r="BT335" s="57"/>
      <c r="BU335" s="57"/>
      <c r="BV335" s="57"/>
      <c r="BW335" s="57"/>
      <c r="BX335" s="57"/>
      <c r="BY335" s="57"/>
      <c r="BZ335" s="57"/>
      <c r="CA335" s="57"/>
      <c r="CB335" s="57"/>
      <c r="CC335" s="57"/>
      <c r="CD335" s="57"/>
      <c r="CE335" s="57"/>
      <c r="CF335" s="57"/>
      <c r="CG335" s="57"/>
      <c r="CH335" s="57"/>
      <c r="CI335" s="57"/>
      <c r="CJ335" s="57"/>
      <c r="CK335" s="57"/>
      <c r="CL335" s="57"/>
      <c r="CM335" s="57"/>
      <c r="CN335" s="57"/>
      <c r="CO335" s="57"/>
      <c r="CP335" s="57"/>
      <c r="CQ335" s="57"/>
      <c r="CR335" s="57"/>
      <c r="CS335" s="57"/>
      <c r="CT335" s="57"/>
      <c r="CU335" s="57"/>
      <c r="CV335" s="57"/>
      <c r="CW335" s="57"/>
      <c r="CX335" s="57"/>
      <c r="CY335" s="57"/>
      <c r="CZ335" s="57"/>
      <c r="DA335" s="57"/>
      <c r="DB335" s="57"/>
      <c r="DC335" s="57"/>
      <c r="DD335" s="57"/>
      <c r="DE335" s="57"/>
      <c r="DF335" s="57"/>
      <c r="DG335" s="57"/>
      <c r="DH335" s="57"/>
      <c r="DI335" s="57"/>
      <c r="DJ335" s="57"/>
      <c r="DK335" s="57"/>
    </row>
    <row r="336" spans="1:115" ht="30" customHeight="1" x14ac:dyDescent="0.25">
      <c r="A336" s="58" t="s">
        <v>357</v>
      </c>
      <c r="B336" s="57">
        <v>20.479999542236328</v>
      </c>
      <c r="C336" s="67">
        <v>20.78</v>
      </c>
      <c r="D336" s="67">
        <v>20.78</v>
      </c>
      <c r="E336" s="67">
        <v>20.78</v>
      </c>
      <c r="F336" s="67">
        <v>20.48</v>
      </c>
      <c r="G336" s="6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  <c r="BL336" s="57"/>
      <c r="BM336" s="57"/>
      <c r="BN336" s="57"/>
      <c r="BO336" s="57"/>
      <c r="BP336" s="57"/>
      <c r="BQ336" s="57"/>
      <c r="BR336" s="57"/>
      <c r="BS336" s="57"/>
      <c r="BT336" s="57"/>
      <c r="BU336" s="57"/>
      <c r="BV336" s="57"/>
      <c r="BW336" s="57"/>
      <c r="BX336" s="57"/>
      <c r="BY336" s="57"/>
      <c r="BZ336" s="57"/>
      <c r="CA336" s="57"/>
      <c r="CB336" s="57"/>
      <c r="CC336" s="57"/>
      <c r="CD336" s="57"/>
      <c r="CE336" s="57"/>
      <c r="CF336" s="57"/>
      <c r="CG336" s="57"/>
      <c r="CH336" s="57"/>
      <c r="CI336" s="57"/>
      <c r="CJ336" s="57"/>
      <c r="CK336" s="57"/>
      <c r="CL336" s="57"/>
      <c r="CM336" s="57"/>
      <c r="CN336" s="57"/>
      <c r="CO336" s="57"/>
      <c r="CP336" s="57"/>
      <c r="CQ336" s="57"/>
      <c r="CR336" s="57"/>
      <c r="CS336" s="57"/>
      <c r="CT336" s="57"/>
      <c r="CU336" s="57"/>
      <c r="CV336" s="57"/>
      <c r="CW336" s="57"/>
      <c r="CX336" s="57"/>
      <c r="CY336" s="57"/>
      <c r="CZ336" s="57"/>
      <c r="DA336" s="57"/>
      <c r="DB336" s="57"/>
      <c r="DC336" s="57"/>
      <c r="DD336" s="57"/>
      <c r="DE336" s="57"/>
      <c r="DF336" s="57"/>
      <c r="DG336" s="57"/>
      <c r="DH336" s="57"/>
      <c r="DI336" s="57"/>
      <c r="DJ336" s="57"/>
      <c r="DK336" s="57"/>
    </row>
    <row r="337" spans="1:115" ht="30" customHeight="1" x14ac:dyDescent="0.25">
      <c r="A337" s="58" t="s">
        <v>358</v>
      </c>
      <c r="B337" s="57">
        <v>76.709999084472656</v>
      </c>
      <c r="C337" s="67">
        <v>76.45</v>
      </c>
      <c r="D337" s="67">
        <v>76.45</v>
      </c>
      <c r="E337" s="67">
        <v>76.45</v>
      </c>
      <c r="F337" s="67">
        <v>76.709999999999994</v>
      </c>
      <c r="G337" s="6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  <c r="BL337" s="57"/>
      <c r="BM337" s="57"/>
      <c r="BN337" s="57"/>
      <c r="BO337" s="57"/>
      <c r="BP337" s="57"/>
      <c r="BQ337" s="57"/>
      <c r="BR337" s="57"/>
      <c r="BS337" s="57"/>
      <c r="BT337" s="57"/>
      <c r="BU337" s="57"/>
      <c r="BV337" s="57"/>
      <c r="BW337" s="57"/>
      <c r="BX337" s="57"/>
      <c r="BY337" s="57"/>
      <c r="BZ337" s="57"/>
      <c r="CA337" s="57"/>
      <c r="CB337" s="57"/>
      <c r="CC337" s="57"/>
      <c r="CD337" s="57"/>
      <c r="CE337" s="57"/>
      <c r="CF337" s="57"/>
      <c r="CG337" s="57"/>
      <c r="CH337" s="57"/>
      <c r="CI337" s="57"/>
      <c r="CJ337" s="57"/>
      <c r="CK337" s="57"/>
      <c r="CL337" s="57"/>
      <c r="CM337" s="57"/>
      <c r="CN337" s="57"/>
      <c r="CO337" s="57"/>
      <c r="CP337" s="57"/>
      <c r="CQ337" s="57"/>
      <c r="CR337" s="57"/>
      <c r="CS337" s="57"/>
      <c r="CT337" s="57"/>
      <c r="CU337" s="57"/>
      <c r="CV337" s="57"/>
      <c r="CW337" s="57"/>
      <c r="CX337" s="57"/>
      <c r="CY337" s="57"/>
      <c r="CZ337" s="57"/>
      <c r="DA337" s="57"/>
      <c r="DB337" s="57"/>
      <c r="DC337" s="57"/>
      <c r="DD337" s="57"/>
      <c r="DE337" s="57"/>
      <c r="DF337" s="57"/>
      <c r="DG337" s="57"/>
      <c r="DH337" s="57"/>
      <c r="DI337" s="57"/>
      <c r="DJ337" s="57"/>
      <c r="DK337" s="57"/>
    </row>
    <row r="338" spans="1:115" ht="30" customHeight="1" x14ac:dyDescent="0.25">
      <c r="A338" s="58" t="s">
        <v>359</v>
      </c>
      <c r="B338" s="57">
        <v>46.459999084472656</v>
      </c>
      <c r="C338" s="67">
        <v>46.96</v>
      </c>
      <c r="D338" s="67">
        <v>46.96</v>
      </c>
      <c r="E338" s="67">
        <v>46.96</v>
      </c>
      <c r="F338" s="67">
        <v>46.46</v>
      </c>
      <c r="G338" s="6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L338" s="57"/>
      <c r="BM338" s="57"/>
      <c r="BN338" s="57"/>
      <c r="BO338" s="57"/>
      <c r="BP338" s="57"/>
      <c r="BQ338" s="57"/>
      <c r="BR338" s="57"/>
      <c r="BS338" s="57"/>
      <c r="BT338" s="57"/>
      <c r="BU338" s="57"/>
      <c r="BV338" s="57"/>
      <c r="BW338" s="57"/>
      <c r="BX338" s="57"/>
      <c r="BY338" s="57"/>
      <c r="BZ338" s="57"/>
      <c r="CA338" s="57"/>
      <c r="CB338" s="57"/>
      <c r="CC338" s="57"/>
      <c r="CD338" s="57"/>
      <c r="CE338" s="57"/>
      <c r="CF338" s="57"/>
      <c r="CG338" s="57"/>
      <c r="CH338" s="57"/>
      <c r="CI338" s="57"/>
      <c r="CJ338" s="57"/>
      <c r="CK338" s="57"/>
      <c r="CL338" s="57"/>
      <c r="CM338" s="57"/>
      <c r="CN338" s="57"/>
      <c r="CO338" s="57"/>
      <c r="CP338" s="57"/>
      <c r="CQ338" s="57"/>
      <c r="CR338" s="57"/>
      <c r="CS338" s="57"/>
      <c r="CT338" s="57"/>
      <c r="CU338" s="57"/>
      <c r="CV338" s="57"/>
      <c r="CW338" s="57"/>
      <c r="CX338" s="57"/>
      <c r="CY338" s="57"/>
      <c r="CZ338" s="57"/>
      <c r="DA338" s="57"/>
      <c r="DB338" s="57"/>
      <c r="DC338" s="57"/>
      <c r="DD338" s="57"/>
      <c r="DE338" s="57"/>
      <c r="DF338" s="57"/>
      <c r="DG338" s="57"/>
      <c r="DH338" s="57"/>
      <c r="DI338" s="57"/>
      <c r="DJ338" s="57"/>
      <c r="DK338" s="57"/>
    </row>
    <row r="339" spans="1:115" ht="30" customHeight="1" x14ac:dyDescent="0.25">
      <c r="A339" s="58" t="s">
        <v>360</v>
      </c>
      <c r="B339" s="57">
        <v>70.819999694824219</v>
      </c>
      <c r="C339" s="67">
        <v>71.34</v>
      </c>
      <c r="D339" s="67">
        <v>71.34</v>
      </c>
      <c r="E339" s="67">
        <v>71.34</v>
      </c>
      <c r="F339" s="67">
        <v>70.819999999999993</v>
      </c>
      <c r="G339" s="6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  <c r="BL339" s="57"/>
      <c r="BM339" s="57"/>
      <c r="BN339" s="57"/>
      <c r="BO339" s="57"/>
      <c r="BP339" s="57"/>
      <c r="BQ339" s="57"/>
      <c r="BR339" s="57"/>
      <c r="BS339" s="57"/>
      <c r="BT339" s="57"/>
      <c r="BU339" s="57"/>
      <c r="BV339" s="57"/>
      <c r="BW339" s="57"/>
      <c r="BX339" s="57"/>
      <c r="BY339" s="57"/>
      <c r="BZ339" s="57"/>
      <c r="CA339" s="57"/>
      <c r="CB339" s="57"/>
      <c r="CC339" s="57"/>
      <c r="CD339" s="57"/>
      <c r="CE339" s="57"/>
      <c r="CF339" s="57"/>
      <c r="CG339" s="57"/>
      <c r="CH339" s="57"/>
      <c r="CI339" s="57"/>
      <c r="CJ339" s="57"/>
      <c r="CK339" s="57"/>
      <c r="CL339" s="57"/>
      <c r="CM339" s="57"/>
      <c r="CN339" s="57"/>
      <c r="CO339" s="57"/>
      <c r="CP339" s="57"/>
      <c r="CQ339" s="57"/>
      <c r="CR339" s="57"/>
      <c r="CS339" s="57"/>
      <c r="CT339" s="57"/>
      <c r="CU339" s="57"/>
      <c r="CV339" s="57"/>
      <c r="CW339" s="57"/>
      <c r="CX339" s="57"/>
      <c r="CY339" s="57"/>
      <c r="CZ339" s="57"/>
      <c r="DA339" s="57"/>
      <c r="DB339" s="57"/>
      <c r="DC339" s="57"/>
      <c r="DD339" s="57"/>
      <c r="DE339" s="57"/>
      <c r="DF339" s="57"/>
      <c r="DG339" s="57"/>
      <c r="DH339" s="57"/>
      <c r="DI339" s="57"/>
      <c r="DJ339" s="57"/>
      <c r="DK339" s="57"/>
    </row>
    <row r="340" spans="1:115" ht="30" customHeight="1" x14ac:dyDescent="0.25">
      <c r="A340" s="58" t="s">
        <v>361</v>
      </c>
      <c r="B340" s="57">
        <v>105.13999938964844</v>
      </c>
      <c r="C340" s="67">
        <v>105.12</v>
      </c>
      <c r="D340" s="67">
        <v>105.12</v>
      </c>
      <c r="E340" s="67">
        <v>105.12</v>
      </c>
      <c r="F340" s="67">
        <v>105.14</v>
      </c>
      <c r="G340" s="6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L340" s="57"/>
      <c r="BM340" s="57"/>
      <c r="BN340" s="57"/>
      <c r="BO340" s="57"/>
      <c r="BP340" s="57"/>
      <c r="BQ340" s="57"/>
      <c r="BR340" s="57"/>
      <c r="BS340" s="57"/>
      <c r="BT340" s="57"/>
      <c r="BU340" s="57"/>
      <c r="BV340" s="57"/>
      <c r="BW340" s="57"/>
      <c r="BX340" s="57"/>
      <c r="BY340" s="57"/>
      <c r="BZ340" s="57"/>
      <c r="CA340" s="57"/>
      <c r="CB340" s="57"/>
      <c r="CC340" s="57"/>
      <c r="CD340" s="57"/>
      <c r="CE340" s="57"/>
      <c r="CF340" s="57"/>
      <c r="CG340" s="57"/>
      <c r="CH340" s="57"/>
      <c r="CI340" s="57"/>
      <c r="CJ340" s="57"/>
      <c r="CK340" s="57"/>
      <c r="CL340" s="57"/>
      <c r="CM340" s="57"/>
      <c r="CN340" s="57"/>
      <c r="CO340" s="57"/>
      <c r="CP340" s="57"/>
      <c r="CQ340" s="57"/>
      <c r="CR340" s="57"/>
      <c r="CS340" s="57"/>
      <c r="CT340" s="57"/>
      <c r="CU340" s="57"/>
      <c r="CV340" s="57"/>
      <c r="CW340" s="57"/>
      <c r="CX340" s="57"/>
      <c r="CY340" s="57"/>
      <c r="CZ340" s="57"/>
      <c r="DA340" s="57"/>
      <c r="DB340" s="57"/>
      <c r="DC340" s="57"/>
      <c r="DD340" s="57"/>
      <c r="DE340" s="57"/>
      <c r="DF340" s="57"/>
      <c r="DG340" s="57"/>
      <c r="DH340" s="57"/>
      <c r="DI340" s="57"/>
      <c r="DJ340" s="57"/>
      <c r="DK340" s="57"/>
    </row>
    <row r="341" spans="1:115" ht="30" customHeight="1" x14ac:dyDescent="0.25">
      <c r="A341" s="58" t="s">
        <v>362</v>
      </c>
      <c r="B341" s="57">
        <v>16.389999389648438</v>
      </c>
      <c r="C341" s="67">
        <v>16.420000000000002</v>
      </c>
      <c r="D341" s="67">
        <v>16.420000000000002</v>
      </c>
      <c r="E341" s="67">
        <v>16.420000000000002</v>
      </c>
      <c r="F341" s="67">
        <v>16.39</v>
      </c>
      <c r="G341" s="6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  <c r="BL341" s="57"/>
      <c r="BM341" s="57"/>
      <c r="BN341" s="57"/>
      <c r="BO341" s="57"/>
      <c r="BP341" s="57"/>
      <c r="BQ341" s="57"/>
      <c r="BR341" s="57"/>
      <c r="BS341" s="57"/>
      <c r="BT341" s="57"/>
      <c r="BU341" s="57"/>
      <c r="BV341" s="57"/>
      <c r="BW341" s="57"/>
      <c r="BX341" s="57"/>
      <c r="BY341" s="57"/>
      <c r="BZ341" s="57"/>
      <c r="CA341" s="57"/>
      <c r="CB341" s="57"/>
      <c r="CC341" s="57"/>
      <c r="CD341" s="57"/>
      <c r="CE341" s="57"/>
      <c r="CF341" s="57"/>
      <c r="CG341" s="57"/>
      <c r="CH341" s="57"/>
      <c r="CI341" s="57"/>
      <c r="CJ341" s="57"/>
      <c r="CK341" s="57"/>
      <c r="CL341" s="57"/>
      <c r="CM341" s="57"/>
      <c r="CN341" s="57"/>
      <c r="CO341" s="57"/>
      <c r="CP341" s="57"/>
      <c r="CQ341" s="57"/>
      <c r="CR341" s="57"/>
      <c r="CS341" s="57"/>
      <c r="CT341" s="57"/>
      <c r="CU341" s="57"/>
      <c r="CV341" s="57"/>
      <c r="CW341" s="57"/>
      <c r="CX341" s="57"/>
      <c r="CY341" s="57"/>
      <c r="CZ341" s="57"/>
      <c r="DA341" s="57"/>
      <c r="DB341" s="57"/>
      <c r="DC341" s="57"/>
      <c r="DD341" s="57"/>
      <c r="DE341" s="57"/>
      <c r="DF341" s="57"/>
      <c r="DG341" s="57"/>
      <c r="DH341" s="57"/>
      <c r="DI341" s="57"/>
      <c r="DJ341" s="57"/>
      <c r="DK341" s="57"/>
    </row>
    <row r="342" spans="1:115" ht="30" customHeight="1" x14ac:dyDescent="0.25">
      <c r="A342" s="58" t="s">
        <v>363</v>
      </c>
      <c r="B342" s="57">
        <v>17.540000915527344</v>
      </c>
      <c r="C342" s="67">
        <v>17.53</v>
      </c>
      <c r="D342" s="67">
        <v>17.53</v>
      </c>
      <c r="E342" s="67">
        <v>17.53</v>
      </c>
      <c r="F342" s="67">
        <v>17.54</v>
      </c>
      <c r="G342" s="6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  <c r="BL342" s="57"/>
      <c r="BM342" s="57"/>
      <c r="BN342" s="57"/>
      <c r="BO342" s="57"/>
      <c r="BP342" s="57"/>
      <c r="BQ342" s="57"/>
      <c r="BR342" s="57"/>
      <c r="BS342" s="57"/>
      <c r="BT342" s="57"/>
      <c r="BU342" s="57"/>
      <c r="BV342" s="57"/>
      <c r="BW342" s="57"/>
      <c r="BX342" s="57"/>
      <c r="BY342" s="57"/>
      <c r="BZ342" s="57"/>
      <c r="CA342" s="57"/>
      <c r="CB342" s="57"/>
      <c r="CC342" s="57"/>
      <c r="CD342" s="57"/>
      <c r="CE342" s="57"/>
      <c r="CF342" s="57"/>
      <c r="CG342" s="57"/>
      <c r="CH342" s="57"/>
      <c r="CI342" s="57"/>
      <c r="CJ342" s="57"/>
      <c r="CK342" s="57"/>
      <c r="CL342" s="57"/>
      <c r="CM342" s="57"/>
      <c r="CN342" s="57"/>
      <c r="CO342" s="57"/>
      <c r="CP342" s="57"/>
      <c r="CQ342" s="57"/>
      <c r="CR342" s="57"/>
      <c r="CS342" s="57"/>
      <c r="CT342" s="57"/>
      <c r="CU342" s="57"/>
      <c r="CV342" s="57"/>
      <c r="CW342" s="57"/>
      <c r="CX342" s="57"/>
      <c r="CY342" s="57"/>
      <c r="CZ342" s="57"/>
      <c r="DA342" s="57"/>
      <c r="DB342" s="57"/>
      <c r="DC342" s="57"/>
      <c r="DD342" s="57"/>
      <c r="DE342" s="57"/>
      <c r="DF342" s="57"/>
      <c r="DG342" s="57"/>
      <c r="DH342" s="57"/>
      <c r="DI342" s="57"/>
      <c r="DJ342" s="57"/>
      <c r="DK342" s="57"/>
    </row>
    <row r="343" spans="1:115" ht="30" customHeight="1" x14ac:dyDescent="0.25">
      <c r="A343" s="58" t="s">
        <v>364</v>
      </c>
      <c r="B343" s="57">
        <v>4.4499998092651367</v>
      </c>
      <c r="C343" s="67">
        <v>4.55</v>
      </c>
      <c r="D343" s="67">
        <v>4.55</v>
      </c>
      <c r="E343" s="67">
        <v>4.55</v>
      </c>
      <c r="F343" s="67">
        <v>4.45</v>
      </c>
      <c r="G343" s="6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  <c r="BL343" s="57"/>
      <c r="BM343" s="57"/>
      <c r="BN343" s="57"/>
      <c r="BO343" s="57"/>
      <c r="BP343" s="57"/>
      <c r="BQ343" s="57"/>
      <c r="BR343" s="57"/>
      <c r="BS343" s="57"/>
      <c r="BT343" s="57"/>
      <c r="BU343" s="57"/>
      <c r="BV343" s="57"/>
      <c r="BW343" s="57"/>
      <c r="BX343" s="57"/>
      <c r="BY343" s="57"/>
      <c r="BZ343" s="57"/>
      <c r="CA343" s="57"/>
      <c r="CB343" s="57"/>
      <c r="CC343" s="57"/>
      <c r="CD343" s="57"/>
      <c r="CE343" s="57"/>
      <c r="CF343" s="57"/>
      <c r="CG343" s="57"/>
      <c r="CH343" s="57"/>
      <c r="CI343" s="57"/>
      <c r="CJ343" s="57"/>
      <c r="CK343" s="57"/>
      <c r="CL343" s="57"/>
      <c r="CM343" s="57"/>
      <c r="CN343" s="57"/>
      <c r="CO343" s="57"/>
      <c r="CP343" s="57"/>
      <c r="CQ343" s="57"/>
      <c r="CR343" s="57"/>
      <c r="CS343" s="57"/>
      <c r="CT343" s="57"/>
      <c r="CU343" s="57"/>
      <c r="CV343" s="57"/>
      <c r="CW343" s="57"/>
      <c r="CX343" s="57"/>
      <c r="CY343" s="57"/>
      <c r="CZ343" s="57"/>
      <c r="DA343" s="57"/>
      <c r="DB343" s="57"/>
      <c r="DC343" s="57"/>
      <c r="DD343" s="57"/>
      <c r="DE343" s="57"/>
      <c r="DF343" s="57"/>
      <c r="DG343" s="57"/>
      <c r="DH343" s="57"/>
      <c r="DI343" s="57"/>
      <c r="DJ343" s="57"/>
      <c r="DK343" s="57"/>
    </row>
    <row r="344" spans="1:115" ht="30" customHeight="1" x14ac:dyDescent="0.25">
      <c r="A344" s="58" t="s">
        <v>365</v>
      </c>
      <c r="B344" s="57">
        <v>25.889999389648438</v>
      </c>
      <c r="C344" s="67">
        <v>26.26</v>
      </c>
      <c r="D344" s="67">
        <v>26.26</v>
      </c>
      <c r="E344" s="67">
        <v>26.26</v>
      </c>
      <c r="F344" s="67">
        <v>25.89</v>
      </c>
      <c r="G344" s="6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  <c r="BL344" s="57"/>
      <c r="BM344" s="57"/>
      <c r="BN344" s="57"/>
      <c r="BO344" s="57"/>
      <c r="BP344" s="57"/>
      <c r="BQ344" s="57"/>
      <c r="BR344" s="57"/>
      <c r="BS344" s="57"/>
      <c r="BT344" s="57"/>
      <c r="BU344" s="57"/>
      <c r="BV344" s="57"/>
      <c r="BW344" s="57"/>
      <c r="BX344" s="57"/>
      <c r="BY344" s="57"/>
      <c r="BZ344" s="57"/>
      <c r="CA344" s="57"/>
      <c r="CB344" s="57"/>
      <c r="CC344" s="57"/>
      <c r="CD344" s="57"/>
      <c r="CE344" s="57"/>
      <c r="CF344" s="57"/>
      <c r="CG344" s="57"/>
      <c r="CH344" s="57"/>
      <c r="CI344" s="57"/>
      <c r="CJ344" s="57"/>
      <c r="CK344" s="57"/>
      <c r="CL344" s="57"/>
      <c r="CM344" s="57"/>
      <c r="CN344" s="57"/>
      <c r="CO344" s="57"/>
      <c r="CP344" s="57"/>
      <c r="CQ344" s="57"/>
      <c r="CR344" s="57"/>
      <c r="CS344" s="57"/>
      <c r="CT344" s="57"/>
      <c r="CU344" s="57"/>
      <c r="CV344" s="57"/>
      <c r="CW344" s="57"/>
      <c r="CX344" s="57"/>
      <c r="CY344" s="57"/>
      <c r="CZ344" s="57"/>
      <c r="DA344" s="57"/>
      <c r="DB344" s="57"/>
      <c r="DC344" s="57"/>
      <c r="DD344" s="57"/>
      <c r="DE344" s="57"/>
      <c r="DF344" s="57"/>
      <c r="DG344" s="57"/>
      <c r="DH344" s="57"/>
      <c r="DI344" s="57"/>
      <c r="DJ344" s="57"/>
      <c r="DK344" s="57"/>
    </row>
    <row r="345" spans="1:115" ht="30" customHeight="1" x14ac:dyDescent="0.25">
      <c r="A345" s="58" t="s">
        <v>403</v>
      </c>
      <c r="B345" s="57">
        <v>32.720001220703125</v>
      </c>
      <c r="C345" s="67">
        <v>32.93</v>
      </c>
      <c r="D345" s="67">
        <v>32.93</v>
      </c>
      <c r="E345" s="67">
        <v>32.93</v>
      </c>
      <c r="F345" s="67">
        <v>32.72</v>
      </c>
      <c r="G345" s="6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L345" s="57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57"/>
      <c r="BZ345" s="57"/>
      <c r="CA345" s="57"/>
      <c r="CB345" s="57"/>
      <c r="CC345" s="57"/>
      <c r="CD345" s="57"/>
      <c r="CE345" s="57"/>
      <c r="CF345" s="57"/>
      <c r="CG345" s="57"/>
      <c r="CH345" s="57"/>
      <c r="CI345" s="57"/>
      <c r="CJ345" s="57"/>
      <c r="CK345" s="57"/>
      <c r="CL345" s="57"/>
      <c r="CM345" s="57"/>
      <c r="CN345" s="57"/>
      <c r="CO345" s="57"/>
      <c r="CP345" s="57"/>
      <c r="CQ345" s="57"/>
      <c r="CR345" s="57"/>
      <c r="CS345" s="57"/>
      <c r="CT345" s="57"/>
      <c r="CU345" s="57"/>
      <c r="CV345" s="57"/>
      <c r="CW345" s="57"/>
      <c r="CX345" s="57"/>
      <c r="CY345" s="57"/>
      <c r="CZ345" s="57"/>
      <c r="DA345" s="57"/>
      <c r="DB345" s="57"/>
      <c r="DC345" s="57"/>
      <c r="DD345" s="57"/>
      <c r="DE345" s="57"/>
      <c r="DF345" s="57"/>
      <c r="DG345" s="57"/>
      <c r="DH345" s="57"/>
      <c r="DI345" s="57"/>
      <c r="DJ345" s="57"/>
      <c r="DK345" s="57"/>
    </row>
    <row r="346" spans="1:115" ht="30" customHeight="1" x14ac:dyDescent="0.25">
      <c r="A346" s="58" t="s">
        <v>404</v>
      </c>
      <c r="B346" s="57">
        <v>34.580001831054688</v>
      </c>
      <c r="C346" s="67">
        <v>34.840000000000003</v>
      </c>
      <c r="D346" s="67">
        <v>34.840000000000003</v>
      </c>
      <c r="E346" s="67">
        <v>34.840000000000003</v>
      </c>
      <c r="F346" s="67">
        <v>34.58</v>
      </c>
      <c r="G346" s="6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L346" s="57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7"/>
      <c r="CA346" s="57"/>
      <c r="CB346" s="57"/>
      <c r="CC346" s="57"/>
      <c r="CD346" s="57"/>
      <c r="CE346" s="57"/>
      <c r="CF346" s="57"/>
      <c r="CG346" s="57"/>
      <c r="CH346" s="57"/>
      <c r="CI346" s="57"/>
      <c r="CJ346" s="57"/>
      <c r="CK346" s="57"/>
      <c r="CL346" s="57"/>
      <c r="CM346" s="57"/>
      <c r="CN346" s="57"/>
      <c r="CO346" s="57"/>
      <c r="CP346" s="57"/>
      <c r="CQ346" s="57"/>
      <c r="CR346" s="57"/>
      <c r="CS346" s="57"/>
      <c r="CT346" s="57"/>
      <c r="CU346" s="57"/>
      <c r="CV346" s="57"/>
      <c r="CW346" s="57"/>
      <c r="CX346" s="57"/>
      <c r="CY346" s="57"/>
      <c r="CZ346" s="57"/>
      <c r="DA346" s="57"/>
      <c r="DB346" s="57"/>
      <c r="DC346" s="57"/>
      <c r="DD346" s="57"/>
      <c r="DE346" s="57"/>
      <c r="DF346" s="57"/>
      <c r="DG346" s="57"/>
      <c r="DH346" s="57"/>
      <c r="DI346" s="57"/>
      <c r="DJ346" s="57"/>
      <c r="DK346" s="57"/>
    </row>
    <row r="347" spans="1:115" ht="30" customHeight="1" x14ac:dyDescent="0.25">
      <c r="A347" s="58" t="s">
        <v>405</v>
      </c>
      <c r="B347" s="57">
        <v>30.079999923706055</v>
      </c>
      <c r="C347" s="67">
        <v>30.215</v>
      </c>
      <c r="D347" s="67">
        <v>30.215</v>
      </c>
      <c r="E347" s="67">
        <v>30.215</v>
      </c>
      <c r="F347" s="67">
        <v>30.08</v>
      </c>
      <c r="G347" s="6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L347" s="57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7"/>
      <c r="CA347" s="57"/>
      <c r="CB347" s="57"/>
      <c r="CC347" s="57"/>
      <c r="CD347" s="57"/>
      <c r="CE347" s="57"/>
      <c r="CF347" s="57"/>
      <c r="CG347" s="57"/>
      <c r="CH347" s="57"/>
      <c r="CI347" s="57"/>
      <c r="CJ347" s="57"/>
      <c r="CK347" s="57"/>
      <c r="CL347" s="57"/>
      <c r="CM347" s="57"/>
      <c r="CN347" s="57"/>
      <c r="CO347" s="57"/>
      <c r="CP347" s="57"/>
      <c r="CQ347" s="57"/>
      <c r="CR347" s="57"/>
      <c r="CS347" s="57"/>
      <c r="CT347" s="57"/>
      <c r="CU347" s="57"/>
      <c r="CV347" s="57"/>
      <c r="CW347" s="57"/>
      <c r="CX347" s="57"/>
      <c r="CY347" s="57"/>
      <c r="CZ347" s="57"/>
      <c r="DA347" s="57"/>
      <c r="DB347" s="57"/>
      <c r="DC347" s="57"/>
      <c r="DD347" s="57"/>
      <c r="DE347" s="57"/>
      <c r="DF347" s="57"/>
      <c r="DG347" s="57"/>
      <c r="DH347" s="57"/>
      <c r="DI347" s="57"/>
      <c r="DJ347" s="57"/>
      <c r="DK347" s="57"/>
    </row>
    <row r="348" spans="1:115" ht="30" customHeight="1" x14ac:dyDescent="0.25">
      <c r="A348" s="58" t="s">
        <v>390</v>
      </c>
      <c r="B348" s="57">
        <v>0.48669338226318359</v>
      </c>
      <c r="C348" s="67">
        <v>0.47600353000000001</v>
      </c>
      <c r="D348" s="67">
        <v>0.45237339999999998</v>
      </c>
      <c r="E348" s="67">
        <v>0.46545399999999998</v>
      </c>
      <c r="F348" s="67">
        <v>0.41997205999999998</v>
      </c>
      <c r="G348" s="6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  <c r="BL348" s="57"/>
      <c r="BM348" s="57"/>
      <c r="BN348" s="57"/>
      <c r="BO348" s="57"/>
      <c r="BP348" s="57"/>
      <c r="BQ348" s="57"/>
      <c r="BR348" s="57"/>
      <c r="BS348" s="57"/>
      <c r="BT348" s="57"/>
      <c r="BU348" s="57"/>
      <c r="BV348" s="57"/>
      <c r="BW348" s="57"/>
      <c r="BX348" s="57"/>
      <c r="BY348" s="57"/>
      <c r="BZ348" s="57"/>
      <c r="CA348" s="57"/>
      <c r="CB348" s="57"/>
      <c r="CC348" s="57"/>
      <c r="CD348" s="57"/>
      <c r="CE348" s="57"/>
      <c r="CF348" s="57"/>
      <c r="CG348" s="57"/>
      <c r="CH348" s="57"/>
      <c r="CI348" s="57"/>
      <c r="CJ348" s="57"/>
      <c r="CK348" s="57"/>
      <c r="CL348" s="57"/>
      <c r="CM348" s="57"/>
      <c r="CN348" s="57"/>
      <c r="CO348" s="57"/>
      <c r="CP348" s="57"/>
      <c r="CQ348" s="57"/>
      <c r="CR348" s="57"/>
      <c r="CS348" s="57"/>
      <c r="CT348" s="57"/>
      <c r="CU348" s="57"/>
      <c r="CV348" s="57"/>
      <c r="CW348" s="57"/>
      <c r="CX348" s="57"/>
      <c r="CY348" s="57"/>
      <c r="CZ348" s="57"/>
      <c r="DA348" s="57"/>
      <c r="DB348" s="57"/>
      <c r="DC348" s="57"/>
      <c r="DD348" s="57"/>
      <c r="DE348" s="57"/>
      <c r="DF348" s="57"/>
      <c r="DG348" s="57"/>
      <c r="DH348" s="57"/>
      <c r="DI348" s="57"/>
      <c r="DJ348" s="57"/>
      <c r="DK348" s="57"/>
    </row>
    <row r="349" spans="1:115" ht="30" customHeight="1" x14ac:dyDescent="0.25">
      <c r="A349" s="58" t="s">
        <v>391</v>
      </c>
      <c r="B349" s="57">
        <v>362.82794189453125</v>
      </c>
      <c r="C349" s="67">
        <v>354.43790000000001</v>
      </c>
      <c r="D349" s="67">
        <v>319.08330000000001</v>
      </c>
      <c r="E349" s="67">
        <v>328.1481</v>
      </c>
      <c r="F349" s="67">
        <v>301.27141999999998</v>
      </c>
      <c r="G349" s="6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  <c r="BL349" s="57"/>
      <c r="BM349" s="57"/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7"/>
      <c r="CA349" s="57"/>
      <c r="CB349" s="57"/>
      <c r="CC349" s="57"/>
      <c r="CD349" s="57"/>
      <c r="CE349" s="57"/>
      <c r="CF349" s="57"/>
      <c r="CG349" s="57"/>
      <c r="CH349" s="57"/>
      <c r="CI349" s="57"/>
      <c r="CJ349" s="57"/>
      <c r="CK349" s="57"/>
      <c r="CL349" s="57"/>
      <c r="CM349" s="57"/>
      <c r="CN349" s="57"/>
      <c r="CO349" s="57"/>
      <c r="CP349" s="57"/>
      <c r="CQ349" s="57"/>
      <c r="CR349" s="57"/>
      <c r="CS349" s="57"/>
      <c r="CT349" s="57"/>
      <c r="CU349" s="57"/>
      <c r="CV349" s="57"/>
      <c r="CW349" s="57"/>
      <c r="CX349" s="57"/>
      <c r="CY349" s="57"/>
      <c r="CZ349" s="57"/>
      <c r="DA349" s="57"/>
      <c r="DB349" s="57"/>
      <c r="DC349" s="57"/>
      <c r="DD349" s="57"/>
      <c r="DE349" s="57"/>
      <c r="DF349" s="57"/>
      <c r="DG349" s="57"/>
      <c r="DH349" s="57"/>
      <c r="DI349" s="57"/>
      <c r="DJ349" s="57"/>
      <c r="DK349" s="57"/>
    </row>
    <row r="350" spans="1:115" ht="30" customHeight="1" x14ac:dyDescent="0.25">
      <c r="A350" s="58" t="s">
        <v>366</v>
      </c>
      <c r="B350" s="57">
        <v>4.820000171661377</v>
      </c>
      <c r="C350" s="67">
        <v>4.82</v>
      </c>
      <c r="D350" s="67">
        <v>4.82</v>
      </c>
      <c r="E350" s="67">
        <v>4.82</v>
      </c>
      <c r="F350" s="67">
        <v>4.82</v>
      </c>
      <c r="G350" s="6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L350" s="57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7"/>
      <c r="CA350" s="57"/>
      <c r="CB350" s="57"/>
      <c r="CC350" s="57"/>
      <c r="CD350" s="57"/>
      <c r="CE350" s="57"/>
      <c r="CF350" s="57"/>
      <c r="CG350" s="57"/>
      <c r="CH350" s="57"/>
      <c r="CI350" s="57"/>
      <c r="CJ350" s="57"/>
      <c r="CK350" s="57"/>
      <c r="CL350" s="57"/>
      <c r="CM350" s="57"/>
      <c r="CN350" s="57"/>
      <c r="CO350" s="57"/>
      <c r="CP350" s="57"/>
      <c r="CQ350" s="57"/>
      <c r="CR350" s="57"/>
      <c r="CS350" s="57"/>
      <c r="CT350" s="57"/>
      <c r="CU350" s="57"/>
      <c r="CV350" s="57"/>
      <c r="CW350" s="57"/>
      <c r="CX350" s="57"/>
      <c r="CY350" s="57"/>
      <c r="CZ350" s="57"/>
      <c r="DA350" s="57"/>
      <c r="DB350" s="57"/>
      <c r="DC350" s="57"/>
      <c r="DD350" s="57"/>
      <c r="DE350" s="57"/>
      <c r="DF350" s="57"/>
      <c r="DG350" s="57"/>
      <c r="DH350" s="57"/>
      <c r="DI350" s="57"/>
      <c r="DJ350" s="57"/>
      <c r="DK350" s="57"/>
    </row>
    <row r="351" spans="1:115" ht="30" customHeight="1" x14ac:dyDescent="0.25">
      <c r="A351" s="58" t="s">
        <v>367</v>
      </c>
      <c r="B351" s="57">
        <v>61.180000305175781</v>
      </c>
      <c r="C351" s="67">
        <v>61.45</v>
      </c>
      <c r="D351" s="67">
        <v>61.45</v>
      </c>
      <c r="E351" s="67">
        <v>61.45</v>
      </c>
      <c r="F351" s="67">
        <v>61.18</v>
      </c>
      <c r="G351" s="6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B351" s="57"/>
      <c r="CC351" s="57"/>
      <c r="CD351" s="57"/>
      <c r="CE351" s="57"/>
      <c r="CF351" s="57"/>
      <c r="CG351" s="57"/>
      <c r="CH351" s="57"/>
      <c r="CI351" s="57"/>
      <c r="CJ351" s="57"/>
      <c r="CK351" s="57"/>
      <c r="CL351" s="57"/>
      <c r="CM351" s="57"/>
      <c r="CN351" s="57"/>
      <c r="CO351" s="57"/>
      <c r="CP351" s="57"/>
      <c r="CQ351" s="57"/>
      <c r="CR351" s="57"/>
      <c r="CS351" s="57"/>
      <c r="CT351" s="57"/>
      <c r="CU351" s="57"/>
      <c r="CV351" s="57"/>
      <c r="CW351" s="57"/>
      <c r="CX351" s="57"/>
      <c r="CY351" s="57"/>
      <c r="CZ351" s="57"/>
      <c r="DA351" s="57"/>
      <c r="DB351" s="57"/>
      <c r="DC351" s="57"/>
      <c r="DD351" s="57"/>
      <c r="DE351" s="57"/>
      <c r="DF351" s="57"/>
      <c r="DG351" s="57"/>
      <c r="DH351" s="57"/>
      <c r="DI351" s="57"/>
      <c r="DJ351" s="57"/>
      <c r="DK351" s="57"/>
    </row>
    <row r="352" spans="1:115" ht="30" customHeight="1" x14ac:dyDescent="0.25">
      <c r="A352" s="58" t="s">
        <v>368</v>
      </c>
      <c r="B352" s="57">
        <v>146.11000061035156</v>
      </c>
      <c r="C352" s="67">
        <v>141.87</v>
      </c>
      <c r="D352" s="67">
        <v>141.87</v>
      </c>
      <c r="E352" s="67">
        <v>141.87</v>
      </c>
      <c r="F352" s="67">
        <v>146.11000000000001</v>
      </c>
      <c r="G352" s="6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L352" s="57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7"/>
      <c r="CA352" s="57"/>
      <c r="CB352" s="57"/>
      <c r="CC352" s="57"/>
      <c r="CD352" s="57"/>
      <c r="CE352" s="57"/>
      <c r="CF352" s="57"/>
      <c r="CG352" s="57"/>
      <c r="CH352" s="57"/>
      <c r="CI352" s="57"/>
      <c r="CJ352" s="57"/>
      <c r="CK352" s="57"/>
      <c r="CL352" s="57"/>
      <c r="CM352" s="57"/>
      <c r="CN352" s="57"/>
      <c r="CO352" s="57"/>
      <c r="CP352" s="57"/>
      <c r="CQ352" s="57"/>
      <c r="CR352" s="57"/>
      <c r="CS352" s="57"/>
      <c r="CT352" s="57"/>
      <c r="CU352" s="57"/>
      <c r="CV352" s="57"/>
      <c r="CW352" s="57"/>
      <c r="CX352" s="57"/>
      <c r="CY352" s="57"/>
      <c r="CZ352" s="57"/>
      <c r="DA352" s="57"/>
      <c r="DB352" s="57"/>
      <c r="DC352" s="57"/>
      <c r="DD352" s="57"/>
      <c r="DE352" s="57"/>
      <c r="DF352" s="57"/>
      <c r="DG352" s="57"/>
      <c r="DH352" s="57"/>
      <c r="DI352" s="57"/>
      <c r="DJ352" s="57"/>
      <c r="DK352" s="57"/>
    </row>
    <row r="353" spans="1:115" ht="30" customHeight="1" x14ac:dyDescent="0.25">
      <c r="A353" s="58" t="s">
        <v>392</v>
      </c>
      <c r="B353" s="57">
        <v>1.1911023855209351</v>
      </c>
      <c r="C353" s="67">
        <v>1.1924999999999999</v>
      </c>
      <c r="D353" s="67">
        <v>1.1172667999999999</v>
      </c>
      <c r="E353" s="67">
        <v>1.1645004000000001</v>
      </c>
      <c r="F353" s="67">
        <v>1.041218</v>
      </c>
      <c r="G353" s="6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  <c r="BL353" s="57"/>
      <c r="BM353" s="57"/>
      <c r="BN353" s="57"/>
      <c r="BO353" s="57"/>
      <c r="BP353" s="57"/>
      <c r="BQ353" s="57"/>
      <c r="BR353" s="57"/>
      <c r="BS353" s="57"/>
      <c r="BT353" s="57"/>
      <c r="BU353" s="57"/>
      <c r="BV353" s="57"/>
      <c r="BW353" s="57"/>
      <c r="BX353" s="57"/>
      <c r="BY353" s="57"/>
      <c r="BZ353" s="57"/>
      <c r="CA353" s="57"/>
      <c r="CB353" s="57"/>
      <c r="CC353" s="57"/>
      <c r="CD353" s="57"/>
      <c r="CE353" s="57"/>
      <c r="CF353" s="57"/>
      <c r="CG353" s="57"/>
      <c r="CH353" s="57"/>
      <c r="CI353" s="57"/>
      <c r="CJ353" s="57"/>
      <c r="CK353" s="57"/>
      <c r="CL353" s="57"/>
      <c r="CM353" s="57"/>
      <c r="CN353" s="57"/>
      <c r="CO353" s="57"/>
      <c r="CP353" s="57"/>
      <c r="CQ353" s="57"/>
      <c r="CR353" s="57"/>
      <c r="CS353" s="57"/>
      <c r="CT353" s="57"/>
      <c r="CU353" s="57"/>
      <c r="CV353" s="57"/>
      <c r="CW353" s="57"/>
      <c r="CX353" s="57"/>
      <c r="CY353" s="57"/>
      <c r="CZ353" s="57"/>
      <c r="DA353" s="57"/>
      <c r="DB353" s="57"/>
      <c r="DC353" s="57"/>
      <c r="DD353" s="57"/>
      <c r="DE353" s="57"/>
      <c r="DF353" s="57"/>
      <c r="DG353" s="57"/>
      <c r="DH353" s="57"/>
      <c r="DI353" s="57"/>
      <c r="DJ353" s="57"/>
      <c r="DK353" s="57"/>
    </row>
    <row r="354" spans="1:115" ht="30" customHeight="1" x14ac:dyDescent="0.25">
      <c r="A354" s="58" t="s">
        <v>70</v>
      </c>
      <c r="B354" s="57">
        <v>45.240001678466797</v>
      </c>
      <c r="C354" s="67">
        <v>45.63</v>
      </c>
      <c r="D354" s="67">
        <v>45.63</v>
      </c>
      <c r="E354" s="67">
        <v>45.63</v>
      </c>
      <c r="F354" s="67">
        <v>45.24</v>
      </c>
      <c r="G354" s="6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L354" s="57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7"/>
      <c r="CA354" s="57"/>
      <c r="CB354" s="57"/>
      <c r="CC354" s="57"/>
      <c r="CD354" s="57"/>
      <c r="CE354" s="57"/>
      <c r="CF354" s="57"/>
      <c r="CG354" s="57"/>
      <c r="CH354" s="57"/>
      <c r="CI354" s="57"/>
      <c r="CJ354" s="57"/>
      <c r="CK354" s="57"/>
      <c r="CL354" s="57"/>
      <c r="CM354" s="57"/>
      <c r="CN354" s="57"/>
      <c r="CO354" s="57"/>
      <c r="CP354" s="57"/>
      <c r="CQ354" s="57"/>
      <c r="CR354" s="57"/>
      <c r="CS354" s="57"/>
      <c r="CT354" s="57"/>
      <c r="CU354" s="57"/>
      <c r="CV354" s="57"/>
      <c r="CW354" s="57"/>
      <c r="CX354" s="57"/>
      <c r="CY354" s="57"/>
      <c r="CZ354" s="57"/>
      <c r="DA354" s="57"/>
      <c r="DB354" s="57"/>
      <c r="DC354" s="57"/>
      <c r="DD354" s="57"/>
      <c r="DE354" s="57"/>
      <c r="DF354" s="57"/>
      <c r="DG354" s="57"/>
      <c r="DH354" s="57"/>
      <c r="DI354" s="57"/>
      <c r="DJ354" s="57"/>
      <c r="DK354" s="57"/>
    </row>
    <row r="355" spans="1:115" ht="30" customHeight="1" x14ac:dyDescent="0.25">
      <c r="A355" s="58" t="s">
        <v>406</v>
      </c>
      <c r="B355" s="57">
        <v>63.139999389648438</v>
      </c>
      <c r="C355" s="67">
        <v>63.55</v>
      </c>
      <c r="D355" s="67">
        <v>63.55</v>
      </c>
      <c r="E355" s="67">
        <v>63.55</v>
      </c>
      <c r="F355" s="67">
        <v>63.14</v>
      </c>
      <c r="G355" s="6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L355" s="57"/>
      <c r="BM355" s="57"/>
      <c r="BN355" s="57"/>
      <c r="BO355" s="57"/>
      <c r="BP355" s="57"/>
      <c r="BQ355" s="57"/>
      <c r="BR355" s="57"/>
      <c r="BS355" s="57"/>
      <c r="BT355" s="57"/>
      <c r="BU355" s="57"/>
      <c r="BV355" s="57"/>
      <c r="BW355" s="57"/>
      <c r="BX355" s="57"/>
      <c r="BY355" s="57"/>
      <c r="BZ355" s="57"/>
      <c r="CA355" s="57"/>
      <c r="CB355" s="57"/>
      <c r="CC355" s="57"/>
      <c r="CD355" s="57"/>
      <c r="CE355" s="57"/>
      <c r="CF355" s="57"/>
      <c r="CG355" s="57"/>
      <c r="CH355" s="57"/>
      <c r="CI355" s="57"/>
      <c r="CJ355" s="57"/>
      <c r="CK355" s="57"/>
      <c r="CL355" s="57"/>
      <c r="CM355" s="57"/>
      <c r="CN355" s="57"/>
      <c r="CO355" s="57"/>
      <c r="CP355" s="57"/>
      <c r="CQ355" s="57"/>
      <c r="CR355" s="57"/>
      <c r="CS355" s="57"/>
      <c r="CT355" s="57"/>
      <c r="CU355" s="57"/>
      <c r="CV355" s="57"/>
      <c r="CW355" s="57"/>
      <c r="CX355" s="57"/>
      <c r="CY355" s="57"/>
      <c r="CZ355" s="57"/>
      <c r="DA355" s="57"/>
      <c r="DB355" s="57"/>
      <c r="DC355" s="57"/>
      <c r="DD355" s="57"/>
      <c r="DE355" s="57"/>
      <c r="DF355" s="57"/>
      <c r="DG355" s="57"/>
      <c r="DH355" s="57"/>
      <c r="DI355" s="57"/>
      <c r="DJ355" s="57"/>
      <c r="DK355" s="57"/>
    </row>
    <row r="356" spans="1:115" ht="30" customHeight="1" x14ac:dyDescent="0.25">
      <c r="A356" s="58" t="s">
        <v>369</v>
      </c>
      <c r="B356" s="57">
        <v>67.790000915527344</v>
      </c>
      <c r="C356" s="67">
        <v>68.150000000000006</v>
      </c>
      <c r="D356" s="67">
        <v>68.150000000000006</v>
      </c>
      <c r="E356" s="67">
        <v>68.150000000000006</v>
      </c>
      <c r="F356" s="67">
        <v>67.790000000000006</v>
      </c>
      <c r="G356" s="6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  <c r="BL356" s="57"/>
      <c r="BM356" s="57"/>
      <c r="BN356" s="57"/>
      <c r="BO356" s="57"/>
      <c r="BP356" s="57"/>
      <c r="BQ356" s="57"/>
      <c r="BR356" s="57"/>
      <c r="BS356" s="57"/>
      <c r="BT356" s="57"/>
      <c r="BU356" s="57"/>
      <c r="BV356" s="57"/>
      <c r="BW356" s="57"/>
      <c r="BX356" s="57"/>
      <c r="BY356" s="57"/>
      <c r="BZ356" s="57"/>
      <c r="CA356" s="57"/>
      <c r="CB356" s="57"/>
      <c r="CC356" s="57"/>
      <c r="CD356" s="57"/>
      <c r="CE356" s="57"/>
      <c r="CF356" s="57"/>
      <c r="CG356" s="57"/>
      <c r="CH356" s="57"/>
      <c r="CI356" s="57"/>
      <c r="CJ356" s="57"/>
      <c r="CK356" s="57"/>
      <c r="CL356" s="57"/>
      <c r="CM356" s="57"/>
      <c r="CN356" s="57"/>
      <c r="CO356" s="57"/>
      <c r="CP356" s="57"/>
      <c r="CQ356" s="57"/>
      <c r="CR356" s="57"/>
      <c r="CS356" s="57"/>
      <c r="CT356" s="57"/>
      <c r="CU356" s="57"/>
      <c r="CV356" s="57"/>
      <c r="CW356" s="57"/>
      <c r="CX356" s="57"/>
      <c r="CY356" s="57"/>
      <c r="CZ356" s="57"/>
      <c r="DA356" s="57"/>
      <c r="DB356" s="57"/>
      <c r="DC356" s="57"/>
      <c r="DD356" s="57"/>
      <c r="DE356" s="57"/>
      <c r="DF356" s="57"/>
      <c r="DG356" s="57"/>
      <c r="DH356" s="57"/>
      <c r="DI356" s="57"/>
      <c r="DJ356" s="57"/>
      <c r="DK356" s="57"/>
    </row>
    <row r="357" spans="1:115" ht="30" customHeight="1" x14ac:dyDescent="0.25">
      <c r="A357" s="58" t="s">
        <v>393</v>
      </c>
      <c r="B357" s="57">
        <v>0.159378781914711</v>
      </c>
      <c r="C357" s="67">
        <v>0.15765319999999999</v>
      </c>
      <c r="D357" s="67">
        <v>0.14575599</v>
      </c>
      <c r="E357" s="67">
        <v>0.15088667</v>
      </c>
      <c r="F357" s="67">
        <v>0.13412416999999999</v>
      </c>
      <c r="G357" s="6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  <c r="BL357" s="57"/>
      <c r="BM357" s="57"/>
      <c r="BN357" s="57"/>
      <c r="BO357" s="57"/>
      <c r="BP357" s="57"/>
      <c r="BQ357" s="57"/>
      <c r="BR357" s="57"/>
      <c r="BS357" s="57"/>
      <c r="BT357" s="57"/>
      <c r="BU357" s="57"/>
      <c r="BV357" s="57"/>
      <c r="BW357" s="57"/>
      <c r="BX357" s="57"/>
      <c r="BY357" s="57"/>
      <c r="BZ357" s="57"/>
      <c r="CA357" s="57"/>
      <c r="CB357" s="57"/>
      <c r="CC357" s="57"/>
      <c r="CD357" s="57"/>
      <c r="CE357" s="57"/>
      <c r="CF357" s="57"/>
      <c r="CG357" s="57"/>
      <c r="CH357" s="57"/>
      <c r="CI357" s="57"/>
      <c r="CJ357" s="57"/>
      <c r="CK357" s="57"/>
      <c r="CL357" s="57"/>
      <c r="CM357" s="57"/>
      <c r="CN357" s="57"/>
      <c r="CO357" s="57"/>
      <c r="CP357" s="57"/>
      <c r="CQ357" s="57"/>
      <c r="CR357" s="57"/>
      <c r="CS357" s="57"/>
      <c r="CT357" s="57"/>
      <c r="CU357" s="57"/>
      <c r="CV357" s="57"/>
      <c r="CW357" s="57"/>
      <c r="CX357" s="57"/>
      <c r="CY357" s="57"/>
      <c r="CZ357" s="57"/>
      <c r="DA357" s="57"/>
      <c r="DB357" s="57"/>
      <c r="DC357" s="57"/>
      <c r="DD357" s="57"/>
      <c r="DE357" s="57"/>
      <c r="DF357" s="57"/>
      <c r="DG357" s="57"/>
      <c r="DH357" s="57"/>
      <c r="DI357" s="57"/>
      <c r="DJ357" s="57"/>
      <c r="DK357" s="57"/>
    </row>
    <row r="358" spans="1:115" ht="30" customHeight="1" x14ac:dyDescent="0.25">
      <c r="A358" s="58" t="s">
        <v>396</v>
      </c>
      <c r="B358" s="57">
        <v>38.680000305175781</v>
      </c>
      <c r="C358" s="67">
        <v>38.83</v>
      </c>
      <c r="D358" s="67">
        <v>38.83</v>
      </c>
      <c r="E358" s="67">
        <v>38.83</v>
      </c>
      <c r="F358" s="67">
        <v>38.68</v>
      </c>
      <c r="G358" s="6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  <c r="BL358" s="57"/>
      <c r="BM358" s="57"/>
      <c r="BN358" s="57"/>
      <c r="BO358" s="57"/>
      <c r="BP358" s="57"/>
      <c r="BQ358" s="57"/>
      <c r="BR358" s="57"/>
      <c r="BS358" s="57"/>
      <c r="BT358" s="57"/>
      <c r="BU358" s="57"/>
      <c r="BV358" s="57"/>
      <c r="BW358" s="57"/>
      <c r="BX358" s="57"/>
      <c r="BY358" s="57"/>
      <c r="BZ358" s="57"/>
      <c r="CA358" s="57"/>
      <c r="CB358" s="57"/>
      <c r="CC358" s="57"/>
      <c r="CD358" s="57"/>
      <c r="CE358" s="57"/>
      <c r="CF358" s="57"/>
      <c r="CG358" s="57"/>
      <c r="CH358" s="57"/>
      <c r="CI358" s="57"/>
      <c r="CJ358" s="57"/>
      <c r="CK358" s="57"/>
      <c r="CL358" s="57"/>
      <c r="CM358" s="57"/>
      <c r="CN358" s="57"/>
      <c r="CO358" s="57"/>
      <c r="CP358" s="57"/>
      <c r="CQ358" s="57"/>
      <c r="CR358" s="57"/>
      <c r="CS358" s="57"/>
      <c r="CT358" s="57"/>
      <c r="CU358" s="57"/>
      <c r="CV358" s="57"/>
      <c r="CW358" s="57"/>
      <c r="CX358" s="57"/>
      <c r="CY358" s="57"/>
      <c r="CZ358" s="57"/>
      <c r="DA358" s="57"/>
      <c r="DB358" s="57"/>
      <c r="DC358" s="57"/>
      <c r="DD358" s="57"/>
      <c r="DE358" s="57"/>
      <c r="DF358" s="57"/>
      <c r="DG358" s="57"/>
      <c r="DH358" s="57"/>
      <c r="DI358" s="57"/>
      <c r="DJ358" s="57"/>
      <c r="DK358" s="57"/>
    </row>
    <row r="359" spans="1:115" ht="30" customHeight="1" x14ac:dyDescent="0.25">
      <c r="A359" s="58" t="s">
        <v>370</v>
      </c>
      <c r="B359" s="57">
        <v>44.540000915527344</v>
      </c>
      <c r="C359" s="67">
        <v>47.3</v>
      </c>
      <c r="D359" s="67">
        <v>47.3</v>
      </c>
      <c r="E359" s="67">
        <v>47.3</v>
      </c>
      <c r="F359" s="67">
        <v>44.54</v>
      </c>
      <c r="G359" s="6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  <c r="BL359" s="57"/>
      <c r="BM359" s="57"/>
      <c r="BN359" s="57"/>
      <c r="BO359" s="57"/>
      <c r="BP359" s="57"/>
      <c r="BQ359" s="57"/>
      <c r="BR359" s="57"/>
      <c r="BS359" s="57"/>
      <c r="BT359" s="57"/>
      <c r="BU359" s="57"/>
      <c r="BV359" s="57"/>
      <c r="BW359" s="57"/>
      <c r="BX359" s="57"/>
      <c r="BY359" s="57"/>
      <c r="BZ359" s="57"/>
      <c r="CA359" s="57"/>
      <c r="CB359" s="57"/>
      <c r="CC359" s="57"/>
      <c r="CD359" s="57"/>
      <c r="CE359" s="57"/>
      <c r="CF359" s="57"/>
      <c r="CG359" s="57"/>
      <c r="CH359" s="57"/>
      <c r="CI359" s="57"/>
      <c r="CJ359" s="57"/>
      <c r="CK359" s="57"/>
      <c r="CL359" s="57"/>
      <c r="CM359" s="57"/>
      <c r="CN359" s="57"/>
      <c r="CO359" s="57"/>
      <c r="CP359" s="57"/>
      <c r="CQ359" s="57"/>
      <c r="CR359" s="57"/>
      <c r="CS359" s="57"/>
      <c r="CT359" s="57"/>
      <c r="CU359" s="57"/>
      <c r="CV359" s="57"/>
      <c r="CW359" s="57"/>
      <c r="CX359" s="57"/>
      <c r="CY359" s="57"/>
      <c r="CZ359" s="57"/>
      <c r="DA359" s="57"/>
      <c r="DB359" s="57"/>
      <c r="DC359" s="57"/>
      <c r="DD359" s="57"/>
      <c r="DE359" s="57"/>
      <c r="DF359" s="57"/>
      <c r="DG359" s="57"/>
      <c r="DH359" s="57"/>
      <c r="DI359" s="57"/>
      <c r="DJ359" s="57"/>
      <c r="DK359" s="57"/>
    </row>
  </sheetData>
  <phoneticPr fontId="14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26BA-B9BA-4422-8427-128F4A668330}">
  <dimension ref="A1:K360"/>
  <sheetViews>
    <sheetView showGridLines="0" topLeftCell="A334" workbookViewId="0">
      <selection activeCell="E2" sqref="E2:E359"/>
    </sheetView>
  </sheetViews>
  <sheetFormatPr defaultColWidth="9.140625" defaultRowHeight="30" customHeight="1" x14ac:dyDescent="0.25"/>
  <cols>
    <col min="1" max="1" width="11.140625" style="61" bestFit="1" customWidth="1"/>
    <col min="2" max="2" width="18" style="61" bestFit="1" customWidth="1"/>
    <col min="3" max="8" width="11.7109375" style="61" customWidth="1"/>
    <col min="9" max="16384" width="9.140625" style="61"/>
  </cols>
  <sheetData>
    <row r="1" spans="1:11" ht="30" customHeight="1" x14ac:dyDescent="0.25">
      <c r="A1" s="61" t="s">
        <v>51</v>
      </c>
      <c r="B1" s="61" t="s">
        <v>411</v>
      </c>
      <c r="C1" s="61" t="s">
        <v>0</v>
      </c>
      <c r="D1" s="61" t="s">
        <v>412</v>
      </c>
      <c r="E1" s="61" t="s">
        <v>413</v>
      </c>
      <c r="F1" s="61" t="s">
        <v>414</v>
      </c>
      <c r="G1" s="61" t="s">
        <v>592</v>
      </c>
      <c r="H1" s="61" t="s">
        <v>700</v>
      </c>
      <c r="I1" s="61" t="s">
        <v>701</v>
      </c>
      <c r="J1" s="61" t="s">
        <v>702</v>
      </c>
    </row>
    <row r="2" spans="1:11" ht="30" customHeight="1" x14ac:dyDescent="0.25">
      <c r="A2" s="62" t="s">
        <v>53</v>
      </c>
      <c r="B2" s="62" t="s">
        <v>499</v>
      </c>
      <c r="C2" s="62" t="s">
        <v>415</v>
      </c>
      <c r="D2" s="61">
        <v>17.940000000000001</v>
      </c>
      <c r="E2" s="61">
        <v>17.28</v>
      </c>
      <c r="F2" s="61">
        <v>3.8194444444444448E-2</v>
      </c>
      <c r="G2" s="371">
        <f>E2*(1-iDelta*2)</f>
        <v>16.588799999999999</v>
      </c>
      <c r="H2" s="61">
        <f>E2*(1-iDelta*1)</f>
        <v>16.9344</v>
      </c>
      <c r="I2" s="61">
        <f>E2*(1+iDelta*1)</f>
        <v>17.625600000000002</v>
      </c>
      <c r="J2" s="61">
        <f>E2*(1+iDelta*2)</f>
        <v>17.971200000000003</v>
      </c>
    </row>
    <row r="3" spans="1:11" ht="30" customHeight="1" x14ac:dyDescent="0.25">
      <c r="A3" s="62" t="s">
        <v>92</v>
      </c>
      <c r="B3" s="62" t="s">
        <v>416</v>
      </c>
      <c r="C3" s="62" t="s">
        <v>415</v>
      </c>
      <c r="D3" s="61">
        <v>205.72</v>
      </c>
      <c r="E3" s="61">
        <v>206.34</v>
      </c>
      <c r="F3" s="61">
        <v>-3.0047494426674419E-3</v>
      </c>
      <c r="G3" s="371">
        <f>E3*(1-iDelta*2)</f>
        <v>198.0864</v>
      </c>
      <c r="H3" s="61">
        <f>E3*(1-iDelta*1)</f>
        <v>202.2132</v>
      </c>
      <c r="I3" s="61">
        <f>E3*(1+iDelta*1)</f>
        <v>210.46680000000001</v>
      </c>
      <c r="J3" s="61">
        <f>E3*(1+iDelta*2)</f>
        <v>214.59360000000001</v>
      </c>
    </row>
    <row r="4" spans="1:11" ht="30" customHeight="1" x14ac:dyDescent="0.25">
      <c r="A4" s="62" t="s">
        <v>93</v>
      </c>
      <c r="B4" s="62" t="s">
        <v>416</v>
      </c>
      <c r="C4" s="62" t="s">
        <v>415</v>
      </c>
      <c r="D4" s="61">
        <v>3.22</v>
      </c>
      <c r="E4" s="61">
        <v>3.17</v>
      </c>
      <c r="F4" s="61">
        <v>1.5772870662460567E-2</v>
      </c>
      <c r="G4" s="371">
        <f>E4*(1-iDelta*2)</f>
        <v>3.0431999999999997</v>
      </c>
      <c r="H4" s="61">
        <f>E4*(1-iDelta*1)</f>
        <v>3.1065999999999998</v>
      </c>
      <c r="I4" s="61">
        <f>E4*(1+iDelta*1)</f>
        <v>3.2334000000000001</v>
      </c>
      <c r="J4" s="61">
        <f>E4*(1+iDelta*2)</f>
        <v>3.2968000000000002</v>
      </c>
    </row>
    <row r="5" spans="1:11" ht="30" customHeight="1" x14ac:dyDescent="0.25">
      <c r="A5" s="62" t="s">
        <v>94</v>
      </c>
      <c r="B5" s="62" t="s">
        <v>416</v>
      </c>
      <c r="C5" s="62" t="s">
        <v>415</v>
      </c>
      <c r="D5" s="61">
        <v>47</v>
      </c>
      <c r="E5" s="61">
        <v>46.7</v>
      </c>
      <c r="F5" s="61">
        <v>6.4239828693790149E-3</v>
      </c>
      <c r="G5" s="371">
        <f>E5*(1-iDelta*2)</f>
        <v>44.832000000000001</v>
      </c>
      <c r="H5" s="61">
        <f>E5*(1-iDelta*1)</f>
        <v>45.766000000000005</v>
      </c>
      <c r="I5" s="61">
        <f>E5*(1+iDelta*1)</f>
        <v>47.634</v>
      </c>
      <c r="J5" s="61">
        <f>E5*(1+iDelta*2)</f>
        <v>48.568000000000005</v>
      </c>
    </row>
    <row r="6" spans="1:11" ht="30" customHeight="1" x14ac:dyDescent="0.25">
      <c r="A6" s="62" t="s">
        <v>95</v>
      </c>
      <c r="B6" s="62" t="s">
        <v>416</v>
      </c>
      <c r="C6" s="62" t="s">
        <v>415</v>
      </c>
      <c r="D6" s="61">
        <v>14.92</v>
      </c>
      <c r="E6" s="61">
        <v>14.4</v>
      </c>
      <c r="F6" s="61">
        <v>3.6111111111111108E-2</v>
      </c>
      <c r="G6" s="371">
        <f>E6*(1-iDelta*2)</f>
        <v>13.824</v>
      </c>
      <c r="H6" s="61">
        <f>E6*(1-iDelta*1)</f>
        <v>14.112</v>
      </c>
      <c r="I6" s="61">
        <f>E6*(1+iDelta*1)</f>
        <v>14.688000000000001</v>
      </c>
      <c r="J6" s="61">
        <f>E6*(1+iDelta*2)</f>
        <v>14.976000000000001</v>
      </c>
    </row>
    <row r="7" spans="1:11" ht="30" customHeight="1" x14ac:dyDescent="0.25">
      <c r="A7" s="62" t="s">
        <v>378</v>
      </c>
      <c r="B7" s="62" t="s">
        <v>417</v>
      </c>
      <c r="C7" s="62" t="s">
        <v>418</v>
      </c>
      <c r="D7" s="61">
        <v>1.7914699999999999</v>
      </c>
      <c r="E7" s="61">
        <v>1.7596596</v>
      </c>
      <c r="F7" s="61">
        <v>1.8077587278812333E-2</v>
      </c>
      <c r="G7" s="371">
        <f>E7*(1-iDelta*2)</f>
        <v>1.6892732159999999</v>
      </c>
      <c r="H7" s="61">
        <f>E7*(1-iDelta*1)</f>
        <v>1.7244664080000001</v>
      </c>
      <c r="I7" s="61">
        <f>E7*(1+iDelta*1)</f>
        <v>1.7948527919999999</v>
      </c>
      <c r="J7" s="61">
        <f>E7*(1+iDelta*2)</f>
        <v>1.8300459840000001</v>
      </c>
    </row>
    <row r="8" spans="1:11" ht="30" customHeight="1" x14ac:dyDescent="0.25">
      <c r="A8" s="62" t="s">
        <v>96</v>
      </c>
      <c r="B8" s="62" t="s">
        <v>416</v>
      </c>
      <c r="C8" s="62" t="s">
        <v>415</v>
      </c>
      <c r="D8" s="61">
        <v>38.6</v>
      </c>
      <c r="E8" s="61">
        <v>37.07</v>
      </c>
      <c r="F8" s="61">
        <v>4.1273266792554629E-2</v>
      </c>
      <c r="G8" s="370">
        <f>E8*(1-iDelta*2)</f>
        <v>35.587199999999996</v>
      </c>
      <c r="H8" s="61">
        <f>E8*(1-iDelta*1)</f>
        <v>36.328600000000002</v>
      </c>
      <c r="I8" s="61">
        <f>E8*(1+iDelta*1)</f>
        <v>37.811399999999999</v>
      </c>
      <c r="J8" s="61">
        <f>E8*(1+iDelta*2)</f>
        <v>38.552800000000005</v>
      </c>
      <c r="K8" s="61">
        <f>E8*(1+iDelta*3)</f>
        <v>39.294200000000004</v>
      </c>
    </row>
    <row r="9" spans="1:11" ht="30" customHeight="1" x14ac:dyDescent="0.25">
      <c r="A9" s="62" t="s">
        <v>97</v>
      </c>
      <c r="B9" s="62" t="s">
        <v>416</v>
      </c>
      <c r="C9" s="62" t="s">
        <v>415</v>
      </c>
      <c r="D9" s="61">
        <v>32.79</v>
      </c>
      <c r="E9" s="61">
        <v>31.49</v>
      </c>
      <c r="F9" s="61">
        <v>4.1282946967291206E-2</v>
      </c>
      <c r="G9" s="371">
        <f>E9*(1-iDelta*2)</f>
        <v>30.230399999999996</v>
      </c>
      <c r="H9" s="61">
        <f>E9*(1-iDelta*1)</f>
        <v>30.860199999999999</v>
      </c>
      <c r="I9" s="61">
        <f>E9*(1+iDelta*1)</f>
        <v>32.119799999999998</v>
      </c>
      <c r="J9" s="61">
        <f>E9*(1+iDelta*2)</f>
        <v>32.749600000000001</v>
      </c>
    </row>
    <row r="10" spans="1:11" ht="30" customHeight="1" x14ac:dyDescent="0.25">
      <c r="A10" s="62" t="s">
        <v>98</v>
      </c>
      <c r="B10" s="62" t="s">
        <v>416</v>
      </c>
      <c r="C10" s="62" t="s">
        <v>415</v>
      </c>
      <c r="D10" s="61">
        <v>44.77</v>
      </c>
      <c r="E10" s="61">
        <v>44.76</v>
      </c>
      <c r="F10" s="61">
        <v>2.2341376228775692E-4</v>
      </c>
      <c r="G10" s="371">
        <f>E10*(1-iDelta*2)</f>
        <v>42.9696</v>
      </c>
      <c r="H10" s="61">
        <f>E10*(1-iDelta*1)</f>
        <v>43.864799999999995</v>
      </c>
      <c r="I10" s="61">
        <f>E10*(1+iDelta*1)</f>
        <v>45.655200000000001</v>
      </c>
      <c r="J10" s="61">
        <f>E10*(1+iDelta*2)</f>
        <v>46.550399999999996</v>
      </c>
    </row>
    <row r="11" spans="1:11" ht="30" customHeight="1" x14ac:dyDescent="0.25">
      <c r="A11" s="62" t="s">
        <v>99</v>
      </c>
      <c r="B11" s="62" t="s">
        <v>416</v>
      </c>
      <c r="C11" s="62" t="s">
        <v>415</v>
      </c>
      <c r="D11" s="61">
        <v>50.95</v>
      </c>
      <c r="E11" s="61">
        <v>48.66</v>
      </c>
      <c r="F11" s="61">
        <v>4.706124126592684E-2</v>
      </c>
      <c r="G11" s="371">
        <f>E11*(1-iDelta*2)</f>
        <v>46.713599999999992</v>
      </c>
      <c r="H11" s="61">
        <f>E11*(1-iDelta*1)</f>
        <v>47.686799999999998</v>
      </c>
      <c r="I11" s="61">
        <f>E11*(1+iDelta*1)</f>
        <v>49.633199999999995</v>
      </c>
      <c r="J11" s="61">
        <f>E11*(1+iDelta*2)</f>
        <v>50.606400000000001</v>
      </c>
    </row>
    <row r="12" spans="1:11" ht="30" customHeight="1" x14ac:dyDescent="0.25">
      <c r="A12" s="62" t="s">
        <v>379</v>
      </c>
      <c r="B12" s="62" t="s">
        <v>417</v>
      </c>
      <c r="C12" s="62" t="s">
        <v>418</v>
      </c>
      <c r="D12" s="61">
        <v>1.0676914</v>
      </c>
      <c r="E12" s="61">
        <v>1.0714595</v>
      </c>
      <c r="F12" s="61">
        <v>-3.5167918152762658E-3</v>
      </c>
      <c r="G12" s="371">
        <f>E12*(1-iDelta*2)</f>
        <v>1.02860112</v>
      </c>
      <c r="H12" s="61">
        <f>E12*(1-iDelta*1)</f>
        <v>1.0500303099999999</v>
      </c>
      <c r="I12" s="61">
        <f>E12*(1+iDelta*1)</f>
        <v>1.0928886900000001</v>
      </c>
      <c r="J12" s="61">
        <f>E12*(1+iDelta*2)</f>
        <v>1.11431788</v>
      </c>
    </row>
    <row r="13" spans="1:11" ht="30" customHeight="1" x14ac:dyDescent="0.25">
      <c r="A13" s="62" t="s">
        <v>100</v>
      </c>
      <c r="B13" s="62" t="s">
        <v>477</v>
      </c>
      <c r="C13" s="62" t="s">
        <v>477</v>
      </c>
      <c r="D13" s="61">
        <v>-1</v>
      </c>
      <c r="E13" s="61">
        <v>-1</v>
      </c>
      <c r="F13" s="61">
        <v>-1</v>
      </c>
      <c r="G13" s="371">
        <f>E13*(1-iDelta*2)</f>
        <v>-0.96</v>
      </c>
      <c r="H13" s="61">
        <f>E13*(1-iDelta*1)</f>
        <v>-0.98</v>
      </c>
      <c r="I13" s="61">
        <f>E13*(1+iDelta*1)</f>
        <v>-1.02</v>
      </c>
      <c r="J13" s="61">
        <f>E13*(1+iDelta*2)</f>
        <v>-1.04</v>
      </c>
    </row>
    <row r="14" spans="1:11" ht="30" customHeight="1" x14ac:dyDescent="0.25">
      <c r="A14" s="62" t="s">
        <v>55</v>
      </c>
      <c r="B14" s="62" t="s">
        <v>416</v>
      </c>
      <c r="C14" s="62" t="s">
        <v>415</v>
      </c>
      <c r="D14" s="61">
        <v>32.700000000000003</v>
      </c>
      <c r="E14" s="61">
        <v>33.51</v>
      </c>
      <c r="F14" s="61">
        <v>-2.4171888988361683E-2</v>
      </c>
      <c r="G14" s="371">
        <f>E14*(1-iDelta*2)</f>
        <v>32.169599999999996</v>
      </c>
      <c r="H14" s="61">
        <f>E14*(1-iDelta*1)</f>
        <v>32.839799999999997</v>
      </c>
      <c r="I14" s="61">
        <f>E14*(1+iDelta*1)</f>
        <v>34.180199999999999</v>
      </c>
      <c r="J14" s="61">
        <f>E14*(1+iDelta*2)</f>
        <v>34.8504</v>
      </c>
    </row>
    <row r="15" spans="1:11" ht="30" customHeight="1" x14ac:dyDescent="0.25">
      <c r="A15" s="62" t="s">
        <v>101</v>
      </c>
      <c r="B15" s="62" t="s">
        <v>416</v>
      </c>
      <c r="C15" s="62" t="s">
        <v>415</v>
      </c>
      <c r="D15" s="61">
        <v>80.959999999999994</v>
      </c>
      <c r="E15" s="61">
        <v>93.85</v>
      </c>
      <c r="F15" s="61">
        <v>-0.13734683004794884</v>
      </c>
      <c r="G15" s="371">
        <f>E15*(1-iDelta*2)</f>
        <v>90.095999999999989</v>
      </c>
      <c r="H15" s="61">
        <f>E15*(1-iDelta*1)</f>
        <v>91.972999999999999</v>
      </c>
      <c r="I15" s="61">
        <f>E15*(1+iDelta*1)</f>
        <v>95.72699999999999</v>
      </c>
      <c r="J15" s="61">
        <f>E15*(1+iDelta*2)</f>
        <v>97.603999999999999</v>
      </c>
    </row>
    <row r="16" spans="1:11" ht="30" customHeight="1" x14ac:dyDescent="0.25">
      <c r="A16" s="62" t="s">
        <v>102</v>
      </c>
      <c r="B16" s="62" t="s">
        <v>416</v>
      </c>
      <c r="C16" s="62" t="s">
        <v>415</v>
      </c>
      <c r="D16" s="61">
        <v>64.59</v>
      </c>
      <c r="E16" s="61">
        <v>65.239999999999995</v>
      </c>
      <c r="F16" s="61">
        <v>-9.9632127529123236E-3</v>
      </c>
      <c r="G16" s="371">
        <f>E16*(1-iDelta*2)</f>
        <v>62.630399999999995</v>
      </c>
      <c r="H16" s="61">
        <f>E16*(1-iDelta*1)</f>
        <v>63.935199999999995</v>
      </c>
      <c r="I16" s="61">
        <f>E16*(1+iDelta*1)</f>
        <v>66.544799999999995</v>
      </c>
      <c r="J16" s="61">
        <f>E16*(1+iDelta*2)</f>
        <v>67.849599999999995</v>
      </c>
    </row>
    <row r="17" spans="1:10" ht="30" customHeight="1" x14ac:dyDescent="0.25">
      <c r="A17" s="62" t="s">
        <v>103</v>
      </c>
      <c r="B17" s="62" t="s">
        <v>416</v>
      </c>
      <c r="C17" s="62" t="s">
        <v>415</v>
      </c>
      <c r="D17" s="61">
        <v>36.43</v>
      </c>
      <c r="E17" s="61">
        <v>35.979999999999997</v>
      </c>
      <c r="F17" s="61">
        <v>1.2506948304613675E-2</v>
      </c>
      <c r="G17" s="371">
        <f>E17*(1-iDelta*2)</f>
        <v>34.540799999999997</v>
      </c>
      <c r="H17" s="61">
        <f>E17*(1-iDelta*1)</f>
        <v>35.260399999999997</v>
      </c>
      <c r="I17" s="61">
        <f>E17*(1+iDelta*1)</f>
        <v>36.699599999999997</v>
      </c>
      <c r="J17" s="61">
        <f>E17*(1+iDelta*2)</f>
        <v>37.419199999999996</v>
      </c>
    </row>
    <row r="18" spans="1:10" ht="30" customHeight="1" x14ac:dyDescent="0.25">
      <c r="A18" s="62" t="s">
        <v>104</v>
      </c>
      <c r="B18" s="62" t="s">
        <v>416</v>
      </c>
      <c r="C18" s="62" t="s">
        <v>415</v>
      </c>
      <c r="D18" s="61">
        <v>379.45</v>
      </c>
      <c r="E18" s="61">
        <v>376.68</v>
      </c>
      <c r="F18" s="61">
        <v>7.353721992141871E-3</v>
      </c>
      <c r="G18" s="371">
        <f>E18*(1-iDelta*2)</f>
        <v>361.61279999999999</v>
      </c>
      <c r="H18" s="61">
        <f>E18*(1-iDelta*1)</f>
        <v>369.14640000000003</v>
      </c>
      <c r="I18" s="61">
        <f>E18*(1+iDelta*1)</f>
        <v>384.21359999999999</v>
      </c>
      <c r="J18" s="61">
        <f>E18*(1+iDelta*2)</f>
        <v>391.74720000000002</v>
      </c>
    </row>
    <row r="19" spans="1:10" ht="30" customHeight="1" x14ac:dyDescent="0.25">
      <c r="A19" s="62" t="s">
        <v>105</v>
      </c>
      <c r="B19" s="62" t="s">
        <v>416</v>
      </c>
      <c r="C19" s="62" t="s">
        <v>415</v>
      </c>
      <c r="D19" s="61">
        <v>4.32</v>
      </c>
      <c r="E19" s="61">
        <v>4.0599999999999996</v>
      </c>
      <c r="F19" s="61">
        <v>6.4039408866995079E-2</v>
      </c>
      <c r="G19" s="371">
        <f>E19*(1-iDelta*2)</f>
        <v>3.8975999999999993</v>
      </c>
      <c r="H19" s="61">
        <f>E19*(1-iDelta*1)</f>
        <v>3.9787999999999997</v>
      </c>
      <c r="I19" s="61">
        <f>E19*(1+iDelta*1)</f>
        <v>4.1411999999999995</v>
      </c>
      <c r="J19" s="61">
        <f>E19*(1+iDelta*2)</f>
        <v>4.2223999999999995</v>
      </c>
    </row>
    <row r="20" spans="1:10" ht="30" customHeight="1" x14ac:dyDescent="0.25">
      <c r="A20" s="62" t="s">
        <v>106</v>
      </c>
      <c r="B20" s="62" t="s">
        <v>416</v>
      </c>
      <c r="C20" s="62" t="s">
        <v>415</v>
      </c>
      <c r="D20" s="61">
        <v>67.69</v>
      </c>
      <c r="E20" s="61">
        <v>65.11</v>
      </c>
      <c r="F20" s="61">
        <v>3.9625249577637842E-2</v>
      </c>
      <c r="G20" s="371">
        <f>E20*(1-iDelta*2)</f>
        <v>62.505599999999994</v>
      </c>
      <c r="H20" s="61">
        <f>E20*(1-iDelta*1)</f>
        <v>63.8078</v>
      </c>
      <c r="I20" s="61">
        <f>E20*(1+iDelta*1)</f>
        <v>66.412199999999999</v>
      </c>
      <c r="J20" s="61">
        <f>E20*(1+iDelta*2)</f>
        <v>67.714399999999998</v>
      </c>
    </row>
    <row r="21" spans="1:10" ht="30" customHeight="1" x14ac:dyDescent="0.25">
      <c r="A21" s="62" t="s">
        <v>107</v>
      </c>
      <c r="B21" s="62" t="s">
        <v>416</v>
      </c>
      <c r="C21" s="62" t="s">
        <v>415</v>
      </c>
      <c r="D21" s="61">
        <v>33.93</v>
      </c>
      <c r="E21" s="61">
        <v>32.99</v>
      </c>
      <c r="F21" s="61">
        <v>2.8493482873598059E-2</v>
      </c>
      <c r="G21" s="371">
        <f>E21*(1-iDelta*2)</f>
        <v>31.670400000000001</v>
      </c>
      <c r="H21" s="61">
        <f>E21*(1-iDelta*1)</f>
        <v>32.330199999999998</v>
      </c>
      <c r="I21" s="61">
        <f>E21*(1+iDelta*1)</f>
        <v>33.649800000000006</v>
      </c>
      <c r="J21" s="61">
        <f>E21*(1+iDelta*2)</f>
        <v>34.309600000000003</v>
      </c>
    </row>
    <row r="22" spans="1:10" ht="30" customHeight="1" x14ac:dyDescent="0.25">
      <c r="A22" s="62" t="s">
        <v>108</v>
      </c>
      <c r="B22" s="62" t="s">
        <v>416</v>
      </c>
      <c r="C22" s="62" t="s">
        <v>415</v>
      </c>
      <c r="D22" s="61">
        <v>35.58</v>
      </c>
      <c r="E22" s="61">
        <v>35.369999999999997</v>
      </c>
      <c r="F22" s="61">
        <v>5.9372349448685328E-3</v>
      </c>
      <c r="G22" s="371">
        <f>E22*(1-iDelta*2)</f>
        <v>33.955199999999998</v>
      </c>
      <c r="H22" s="61">
        <f>E22*(1-iDelta*1)</f>
        <v>34.662599999999998</v>
      </c>
      <c r="I22" s="61">
        <f>E22*(1+iDelta*1)</f>
        <v>36.077399999999997</v>
      </c>
      <c r="J22" s="61">
        <f>E22*(1+iDelta*2)</f>
        <v>36.784799999999997</v>
      </c>
    </row>
    <row r="23" spans="1:10" ht="30" customHeight="1" x14ac:dyDescent="0.25">
      <c r="A23" s="62" t="s">
        <v>56</v>
      </c>
      <c r="B23" s="62" t="s">
        <v>416</v>
      </c>
      <c r="C23" s="62" t="s">
        <v>418</v>
      </c>
      <c r="D23" s="61">
        <v>0.76</v>
      </c>
      <c r="E23" s="61">
        <v>0.78</v>
      </c>
      <c r="F23" s="61">
        <v>-2.564102564102564E-2</v>
      </c>
      <c r="G23" s="371">
        <f>E23*(1-iDelta*2)</f>
        <v>0.74880000000000002</v>
      </c>
      <c r="H23" s="61">
        <f>E23*(1-iDelta*1)</f>
        <v>0.76439999999999997</v>
      </c>
      <c r="I23" s="61">
        <f>E23*(1+iDelta*1)</f>
        <v>0.79560000000000008</v>
      </c>
      <c r="J23" s="61">
        <f>E23*(1+iDelta*2)</f>
        <v>0.81120000000000003</v>
      </c>
    </row>
    <row r="24" spans="1:10" ht="30" customHeight="1" x14ac:dyDescent="0.25">
      <c r="A24" s="62" t="s">
        <v>109</v>
      </c>
      <c r="B24" s="62" t="s">
        <v>416</v>
      </c>
      <c r="C24" s="62" t="s">
        <v>415</v>
      </c>
      <c r="D24" s="61">
        <v>9.86</v>
      </c>
      <c r="E24" s="61">
        <v>9.86</v>
      </c>
      <c r="F24" s="61">
        <v>0</v>
      </c>
      <c r="G24" s="371">
        <f>E24*(1-iDelta*2)</f>
        <v>9.4655999999999985</v>
      </c>
      <c r="H24" s="61">
        <f>E24*(1-iDelta*1)</f>
        <v>9.6627999999999989</v>
      </c>
      <c r="I24" s="61">
        <f>E24*(1+iDelta*1)</f>
        <v>10.0572</v>
      </c>
      <c r="J24" s="61">
        <f>E24*(1+iDelta*2)</f>
        <v>10.2544</v>
      </c>
    </row>
    <row r="25" spans="1:10" ht="30" customHeight="1" x14ac:dyDescent="0.25">
      <c r="A25" s="62" t="s">
        <v>110</v>
      </c>
      <c r="B25" s="62" t="s">
        <v>416</v>
      </c>
      <c r="C25" s="62" t="s">
        <v>415</v>
      </c>
      <c r="D25" s="61">
        <v>19.489999999999998</v>
      </c>
      <c r="E25" s="61">
        <v>19.25</v>
      </c>
      <c r="F25" s="61">
        <v>1.2467532467532468E-2</v>
      </c>
      <c r="G25" s="371">
        <f>E25*(1-iDelta*2)</f>
        <v>18.48</v>
      </c>
      <c r="H25" s="61">
        <f>E25*(1-iDelta*1)</f>
        <v>18.864999999999998</v>
      </c>
      <c r="I25" s="61">
        <f>E25*(1+iDelta*1)</f>
        <v>19.635000000000002</v>
      </c>
      <c r="J25" s="61">
        <f>E25*(1+iDelta*2)</f>
        <v>20.02</v>
      </c>
    </row>
    <row r="26" spans="1:10" ht="30" customHeight="1" x14ac:dyDescent="0.25">
      <c r="A26" s="62" t="s">
        <v>111</v>
      </c>
      <c r="B26" s="62" t="s">
        <v>416</v>
      </c>
      <c r="C26" s="62" t="s">
        <v>415</v>
      </c>
      <c r="D26" s="61">
        <v>29.82</v>
      </c>
      <c r="E26" s="61">
        <v>29.33</v>
      </c>
      <c r="F26" s="61">
        <v>1.6706443914081145E-2</v>
      </c>
      <c r="G26" s="371">
        <f>E26*(1-iDelta*2)</f>
        <v>28.156799999999997</v>
      </c>
      <c r="H26" s="61">
        <f>E26*(1-iDelta*1)</f>
        <v>28.743399999999998</v>
      </c>
      <c r="I26" s="61">
        <f>E26*(1+iDelta*1)</f>
        <v>29.916599999999999</v>
      </c>
      <c r="J26" s="61">
        <f>E26*(1+iDelta*2)</f>
        <v>30.5032</v>
      </c>
    </row>
    <row r="27" spans="1:10" ht="30" customHeight="1" x14ac:dyDescent="0.25">
      <c r="A27" s="62" t="s">
        <v>112</v>
      </c>
      <c r="B27" s="62" t="s">
        <v>416</v>
      </c>
      <c r="C27" s="62" t="s">
        <v>415</v>
      </c>
      <c r="D27" s="61">
        <v>485.43</v>
      </c>
      <c r="E27" s="61">
        <v>487.67</v>
      </c>
      <c r="F27" s="61">
        <v>-4.5932700391658294E-3</v>
      </c>
      <c r="G27" s="371">
        <f>E27*(1-iDelta*2)</f>
        <v>468.16320000000002</v>
      </c>
      <c r="H27" s="61">
        <f>E27*(1-iDelta*1)</f>
        <v>477.91660000000002</v>
      </c>
      <c r="I27" s="61">
        <f>E27*(1+iDelta*1)</f>
        <v>497.42340000000002</v>
      </c>
      <c r="J27" s="61">
        <f>E27*(1+iDelta*2)</f>
        <v>507.17680000000001</v>
      </c>
    </row>
    <row r="28" spans="1:10" ht="30" customHeight="1" x14ac:dyDescent="0.25">
      <c r="A28" s="62" t="s">
        <v>7</v>
      </c>
      <c r="B28" s="62" t="s">
        <v>416</v>
      </c>
      <c r="C28" s="62" t="s">
        <v>415</v>
      </c>
      <c r="D28" s="61">
        <v>231.33</v>
      </c>
      <c r="E28" s="61">
        <v>229.94</v>
      </c>
      <c r="F28" s="61">
        <v>6.0450552317996E-3</v>
      </c>
      <c r="G28" s="371">
        <f>E28*(1-iDelta*2)</f>
        <v>220.7424</v>
      </c>
      <c r="H28" s="61">
        <f>E28*(1-iDelta*1)</f>
        <v>225.34119999999999</v>
      </c>
      <c r="I28" s="61">
        <f>E28*(1+iDelta*1)</f>
        <v>234.53880000000001</v>
      </c>
      <c r="J28" s="61">
        <f>E28*(1+iDelta*2)</f>
        <v>239.13759999999999</v>
      </c>
    </row>
    <row r="29" spans="1:10" ht="30" customHeight="1" x14ac:dyDescent="0.25">
      <c r="A29" s="62" t="s">
        <v>113</v>
      </c>
      <c r="B29" s="62" t="s">
        <v>416</v>
      </c>
      <c r="C29" s="62" t="s">
        <v>415</v>
      </c>
      <c r="D29" s="61">
        <v>21.6</v>
      </c>
      <c r="E29" s="61">
        <v>21.17</v>
      </c>
      <c r="F29" s="61">
        <v>2.0311761927255551E-2</v>
      </c>
      <c r="G29" s="371">
        <f>E29*(1-iDelta*2)</f>
        <v>20.3232</v>
      </c>
      <c r="H29" s="61">
        <f>E29*(1-iDelta*1)</f>
        <v>20.746600000000001</v>
      </c>
      <c r="I29" s="61">
        <f>E29*(1+iDelta*1)</f>
        <v>21.593400000000003</v>
      </c>
      <c r="J29" s="61">
        <f>E29*(1+iDelta*2)</f>
        <v>22.016800000000003</v>
      </c>
    </row>
    <row r="30" spans="1:10" ht="30" customHeight="1" x14ac:dyDescent="0.25">
      <c r="A30" s="62" t="s">
        <v>372</v>
      </c>
      <c r="B30" s="62" t="s">
        <v>416</v>
      </c>
      <c r="C30" s="62" t="s">
        <v>415</v>
      </c>
      <c r="D30" s="61">
        <v>10.29</v>
      </c>
      <c r="E30" s="61">
        <v>10.43</v>
      </c>
      <c r="F30" s="61">
        <v>-1.3422818791946308E-2</v>
      </c>
      <c r="G30" s="371">
        <f>E30*(1-iDelta*2)</f>
        <v>10.012799999999999</v>
      </c>
      <c r="H30" s="61">
        <f>E30*(1-iDelta*1)</f>
        <v>10.221399999999999</v>
      </c>
      <c r="I30" s="61">
        <f>E30*(1+iDelta*1)</f>
        <v>10.6386</v>
      </c>
      <c r="J30" s="61">
        <f>E30*(1+iDelta*2)</f>
        <v>10.847200000000001</v>
      </c>
    </row>
    <row r="31" spans="1:10" ht="30" customHeight="1" x14ac:dyDescent="0.25">
      <c r="A31" s="62" t="s">
        <v>377</v>
      </c>
      <c r="B31" s="62" t="s">
        <v>416</v>
      </c>
      <c r="C31" s="62" t="s">
        <v>415</v>
      </c>
      <c r="D31" s="61">
        <v>27.24</v>
      </c>
      <c r="E31" s="61">
        <v>27.62</v>
      </c>
      <c r="F31" s="61">
        <v>-1.3758146270818247E-2</v>
      </c>
      <c r="G31" s="371">
        <f>E31*(1-iDelta*2)</f>
        <v>26.5152</v>
      </c>
      <c r="H31" s="61">
        <f>E31*(1-iDelta*1)</f>
        <v>27.067599999999999</v>
      </c>
      <c r="I31" s="61">
        <f>E31*(1+iDelta*1)</f>
        <v>28.172400000000003</v>
      </c>
      <c r="J31" s="61">
        <f>E31*(1+iDelta*2)</f>
        <v>28.724800000000002</v>
      </c>
    </row>
    <row r="32" spans="1:10" ht="30" customHeight="1" x14ac:dyDescent="0.25">
      <c r="A32" s="62" t="s">
        <v>114</v>
      </c>
      <c r="B32" s="62" t="s">
        <v>416</v>
      </c>
      <c r="C32" s="62" t="s">
        <v>415</v>
      </c>
      <c r="D32" s="61">
        <v>75.98</v>
      </c>
      <c r="E32" s="61">
        <v>76.739999999999995</v>
      </c>
      <c r="F32" s="61">
        <v>-9.9035704977847271E-3</v>
      </c>
      <c r="G32" s="371">
        <f>E32*(1-iDelta*2)</f>
        <v>73.670399999999987</v>
      </c>
      <c r="H32" s="61">
        <f>E32*(1-iDelta*1)</f>
        <v>75.205199999999991</v>
      </c>
      <c r="I32" s="61">
        <f>E32*(1+iDelta*1)</f>
        <v>78.274799999999999</v>
      </c>
      <c r="J32" s="61">
        <f>E32*(1+iDelta*2)</f>
        <v>79.809600000000003</v>
      </c>
    </row>
    <row r="33" spans="1:10" ht="30" customHeight="1" x14ac:dyDescent="0.25">
      <c r="A33" s="62" t="s">
        <v>115</v>
      </c>
      <c r="B33" s="62" t="s">
        <v>416</v>
      </c>
      <c r="C33" s="62" t="s">
        <v>415</v>
      </c>
      <c r="D33" s="61">
        <v>114.84</v>
      </c>
      <c r="E33" s="61">
        <v>115.37</v>
      </c>
      <c r="F33" s="61">
        <v>-4.5939152292623735E-3</v>
      </c>
      <c r="G33" s="371">
        <f>E33*(1-iDelta*2)</f>
        <v>110.7552</v>
      </c>
      <c r="H33" s="61">
        <f>E33*(1-iDelta*1)</f>
        <v>113.0626</v>
      </c>
      <c r="I33" s="61">
        <f>E33*(1+iDelta*1)</f>
        <v>117.67740000000001</v>
      </c>
      <c r="J33" s="61">
        <f>E33*(1+iDelta*2)</f>
        <v>119.98480000000001</v>
      </c>
    </row>
    <row r="34" spans="1:10" ht="30" customHeight="1" x14ac:dyDescent="0.25">
      <c r="A34" s="62" t="s">
        <v>116</v>
      </c>
      <c r="B34" s="62" t="s">
        <v>416</v>
      </c>
      <c r="C34" s="62" t="s">
        <v>415</v>
      </c>
      <c r="D34" s="61">
        <v>53.39</v>
      </c>
      <c r="E34" s="61">
        <v>52.78</v>
      </c>
      <c r="F34" s="61">
        <v>1.1557408109132247E-2</v>
      </c>
      <c r="G34" s="371">
        <f>E34*(1-iDelta*2)</f>
        <v>50.668799999999997</v>
      </c>
      <c r="H34" s="61">
        <f>E34*(1-iDelta*1)</f>
        <v>51.724400000000003</v>
      </c>
      <c r="I34" s="61">
        <f>E34*(1+iDelta*1)</f>
        <v>53.835599999999999</v>
      </c>
      <c r="J34" s="61">
        <f>E34*(1+iDelta*2)</f>
        <v>54.891200000000005</v>
      </c>
    </row>
    <row r="35" spans="1:10" ht="30" customHeight="1" x14ac:dyDescent="0.25">
      <c r="A35" s="62" t="s">
        <v>380</v>
      </c>
      <c r="B35" s="62" t="s">
        <v>417</v>
      </c>
      <c r="C35" s="62" t="s">
        <v>418</v>
      </c>
      <c r="D35" s="61">
        <v>718.6472</v>
      </c>
      <c r="E35" s="61">
        <v>697.75729999999999</v>
      </c>
      <c r="F35" s="61">
        <v>2.9938633390148694E-2</v>
      </c>
      <c r="G35" s="371">
        <f>E35*(1-iDelta*2)</f>
        <v>669.84700799999996</v>
      </c>
      <c r="H35" s="61">
        <f>E35*(1-iDelta*1)</f>
        <v>683.80215399999997</v>
      </c>
      <c r="I35" s="61">
        <f>E35*(1+iDelta*1)</f>
        <v>711.712446</v>
      </c>
      <c r="J35" s="61">
        <f>E35*(1+iDelta*2)</f>
        <v>725.66759200000001</v>
      </c>
    </row>
    <row r="36" spans="1:10" ht="30" customHeight="1" x14ac:dyDescent="0.25">
      <c r="A36" s="62" t="s">
        <v>117</v>
      </c>
      <c r="B36" s="62" t="s">
        <v>416</v>
      </c>
      <c r="C36" s="62" t="s">
        <v>415</v>
      </c>
      <c r="D36" s="61">
        <v>340</v>
      </c>
      <c r="E36" s="61">
        <v>336.59</v>
      </c>
      <c r="F36" s="61">
        <v>1.0131019935232776E-2</v>
      </c>
      <c r="G36" s="371">
        <f>E36*(1-iDelta*2)</f>
        <v>323.12639999999999</v>
      </c>
      <c r="H36" s="61">
        <f>E36*(1-iDelta*1)</f>
        <v>329.85819999999995</v>
      </c>
      <c r="I36" s="61">
        <f>E36*(1+iDelta*1)</f>
        <v>343.3218</v>
      </c>
      <c r="J36" s="61">
        <f>E36*(1+iDelta*2)</f>
        <v>350.05359999999996</v>
      </c>
    </row>
    <row r="37" spans="1:10" ht="30" customHeight="1" x14ac:dyDescent="0.25">
      <c r="A37" s="62" t="s">
        <v>118</v>
      </c>
      <c r="B37" s="62" t="s">
        <v>416</v>
      </c>
      <c r="C37" s="62" t="s">
        <v>415</v>
      </c>
      <c r="D37" s="61">
        <v>7</v>
      </c>
      <c r="E37" s="61">
        <v>7.3</v>
      </c>
      <c r="F37" s="61">
        <v>-4.1095890410958902E-2</v>
      </c>
      <c r="G37" s="371">
        <f>E37*(1-iDelta*2)</f>
        <v>7.008</v>
      </c>
      <c r="H37" s="61">
        <f>E37*(1-iDelta*1)</f>
        <v>7.1539999999999999</v>
      </c>
      <c r="I37" s="61">
        <f>E37*(1+iDelta*1)</f>
        <v>7.4459999999999997</v>
      </c>
      <c r="J37" s="61">
        <f>E37*(1+iDelta*2)</f>
        <v>7.5919999999999996</v>
      </c>
    </row>
    <row r="38" spans="1:10" ht="30" customHeight="1" x14ac:dyDescent="0.25">
      <c r="A38" s="62" t="s">
        <v>119</v>
      </c>
      <c r="B38" s="62" t="s">
        <v>416</v>
      </c>
      <c r="C38" s="62" t="s">
        <v>415</v>
      </c>
      <c r="D38" s="61">
        <v>218.84</v>
      </c>
      <c r="E38" s="61">
        <v>217.42</v>
      </c>
      <c r="F38" s="61">
        <v>6.5311378897985467E-3</v>
      </c>
      <c r="G38" s="371">
        <f>E38*(1-iDelta*2)</f>
        <v>208.72319999999999</v>
      </c>
      <c r="H38" s="61">
        <f>E38*(1-iDelta*1)</f>
        <v>213.07159999999999</v>
      </c>
      <c r="I38" s="61">
        <f>E38*(1+iDelta*1)</f>
        <v>221.76839999999999</v>
      </c>
      <c r="J38" s="61">
        <f>E38*(1+iDelta*2)</f>
        <v>226.11679999999998</v>
      </c>
    </row>
    <row r="39" spans="1:10" ht="30" customHeight="1" x14ac:dyDescent="0.25">
      <c r="A39" s="62" t="s">
        <v>120</v>
      </c>
      <c r="B39" s="62" t="s">
        <v>416</v>
      </c>
      <c r="C39" s="62" t="s">
        <v>415</v>
      </c>
      <c r="D39" s="61">
        <v>47.29</v>
      </c>
      <c r="E39" s="61">
        <v>47.33</v>
      </c>
      <c r="F39" s="61">
        <v>-8.4512993872807945E-4</v>
      </c>
      <c r="G39" s="371">
        <f>E39*(1-iDelta*2)</f>
        <v>45.436799999999998</v>
      </c>
      <c r="H39" s="61">
        <f>E39*(1-iDelta*1)</f>
        <v>46.383399999999995</v>
      </c>
      <c r="I39" s="61">
        <f>E39*(1+iDelta*1)</f>
        <v>48.276600000000002</v>
      </c>
      <c r="J39" s="61">
        <f>E39*(1+iDelta*2)</f>
        <v>49.223199999999999</v>
      </c>
    </row>
    <row r="40" spans="1:10" ht="30" customHeight="1" x14ac:dyDescent="0.25">
      <c r="A40" s="62" t="s">
        <v>121</v>
      </c>
      <c r="B40" s="62" t="s">
        <v>416</v>
      </c>
      <c r="C40" s="62" t="s">
        <v>415</v>
      </c>
      <c r="D40" s="61">
        <v>896.09</v>
      </c>
      <c r="E40" s="61">
        <v>889.28</v>
      </c>
      <c r="F40" s="61">
        <v>7.657880532565671E-3</v>
      </c>
      <c r="G40" s="371">
        <f>E40*(1-iDelta*2)</f>
        <v>853.7088</v>
      </c>
      <c r="H40" s="61">
        <f>E40*(1-iDelta*1)</f>
        <v>871.49439999999993</v>
      </c>
      <c r="I40" s="61">
        <f>E40*(1+iDelta*1)</f>
        <v>907.06560000000002</v>
      </c>
      <c r="J40" s="61">
        <f>E40*(1+iDelta*2)</f>
        <v>924.85119999999995</v>
      </c>
    </row>
    <row r="41" spans="1:10" ht="30" customHeight="1" x14ac:dyDescent="0.25">
      <c r="A41" s="62" t="s">
        <v>122</v>
      </c>
      <c r="B41" s="62" t="s">
        <v>416</v>
      </c>
      <c r="C41" s="62" t="s">
        <v>415</v>
      </c>
      <c r="D41" s="61">
        <v>32.21</v>
      </c>
      <c r="E41" s="61">
        <v>32.015000000000001</v>
      </c>
      <c r="F41" s="61">
        <v>6.090894893018897E-3</v>
      </c>
      <c r="G41" s="371">
        <f>E41*(1-iDelta*2)</f>
        <v>30.734400000000001</v>
      </c>
      <c r="H41" s="61">
        <f>E41*(1-iDelta*1)</f>
        <v>31.374700000000001</v>
      </c>
      <c r="I41" s="61">
        <f>E41*(1+iDelta*1)</f>
        <v>32.655300000000004</v>
      </c>
      <c r="J41" s="61">
        <f>E41*(1+iDelta*2)</f>
        <v>33.2956</v>
      </c>
    </row>
    <row r="42" spans="1:10" ht="30" customHeight="1" x14ac:dyDescent="0.25">
      <c r="A42" s="62" t="s">
        <v>381</v>
      </c>
      <c r="B42" s="62" t="s">
        <v>417</v>
      </c>
      <c r="C42" s="62" t="s">
        <v>418</v>
      </c>
      <c r="D42" s="61">
        <v>435.44635</v>
      </c>
      <c r="E42" s="61">
        <v>429.04793999999998</v>
      </c>
      <c r="F42" s="61">
        <v>1.4913042118323654E-2</v>
      </c>
      <c r="G42" s="371">
        <f>E42*(1-iDelta*2)</f>
        <v>411.88602239999994</v>
      </c>
      <c r="H42" s="61">
        <f>E42*(1-iDelta*1)</f>
        <v>420.46698119999996</v>
      </c>
      <c r="I42" s="61">
        <f>E42*(1+iDelta*1)</f>
        <v>437.6288988</v>
      </c>
      <c r="J42" s="61">
        <f>E42*(1+iDelta*2)</f>
        <v>446.20985760000002</v>
      </c>
    </row>
    <row r="43" spans="1:10" ht="30" customHeight="1" x14ac:dyDescent="0.25">
      <c r="A43" s="62" t="s">
        <v>57</v>
      </c>
      <c r="B43" s="62" t="s">
        <v>419</v>
      </c>
      <c r="C43" s="62" t="s">
        <v>415</v>
      </c>
      <c r="D43" s="61">
        <v>86.24</v>
      </c>
      <c r="E43" s="61">
        <v>86.65</v>
      </c>
      <c r="F43" s="61">
        <v>-4.731679169070975E-3</v>
      </c>
      <c r="G43" s="371">
        <f>E43*(1-iDelta*2)</f>
        <v>83.183999999999997</v>
      </c>
      <c r="H43" s="61">
        <f>E43*(1-iDelta*1)</f>
        <v>84.917000000000002</v>
      </c>
      <c r="I43" s="61">
        <f>E43*(1+iDelta*1)</f>
        <v>88.38300000000001</v>
      </c>
      <c r="J43" s="61">
        <f>E43*(1+iDelta*2)</f>
        <v>90.116000000000014</v>
      </c>
    </row>
    <row r="44" spans="1:10" ht="30" customHeight="1" x14ac:dyDescent="0.25">
      <c r="A44" s="62" t="s">
        <v>123</v>
      </c>
      <c r="B44" s="62" t="s">
        <v>416</v>
      </c>
      <c r="C44" s="62" t="s">
        <v>415</v>
      </c>
      <c r="D44" s="61">
        <v>89.87</v>
      </c>
      <c r="E44" s="61">
        <v>88.83</v>
      </c>
      <c r="F44" s="61">
        <v>1.1707756388607453E-2</v>
      </c>
      <c r="G44" s="371">
        <f>E44*(1-iDelta*2)</f>
        <v>85.276799999999994</v>
      </c>
      <c r="H44" s="61">
        <f>E44*(1-iDelta*1)</f>
        <v>87.053399999999996</v>
      </c>
      <c r="I44" s="61">
        <f>E44*(1+iDelta*1)</f>
        <v>90.6066</v>
      </c>
      <c r="J44" s="61">
        <f>E44*(1+iDelta*2)</f>
        <v>92.383200000000002</v>
      </c>
    </row>
    <row r="45" spans="1:10" ht="30" customHeight="1" x14ac:dyDescent="0.25">
      <c r="A45" s="62" t="s">
        <v>382</v>
      </c>
      <c r="B45" s="62" t="s">
        <v>417</v>
      </c>
      <c r="C45" s="62" t="s">
        <v>418</v>
      </c>
      <c r="D45" s="61">
        <v>53759.266000000003</v>
      </c>
      <c r="E45" s="61">
        <v>53697.491999999998</v>
      </c>
      <c r="F45" s="61">
        <v>1.1504075460358558E-3</v>
      </c>
      <c r="G45" s="371">
        <f>E45*(1-iDelta*2)</f>
        <v>51549.592319999996</v>
      </c>
      <c r="H45" s="61">
        <f>E45*(1-iDelta*1)</f>
        <v>52623.542159999997</v>
      </c>
      <c r="I45" s="61">
        <f>E45*(1+iDelta*1)</f>
        <v>54771.44184</v>
      </c>
      <c r="J45" s="61">
        <f>E45*(1+iDelta*2)</f>
        <v>55845.391680000001</v>
      </c>
    </row>
    <row r="46" spans="1:10" ht="30" customHeight="1" x14ac:dyDescent="0.25">
      <c r="A46" s="62" t="s">
        <v>124</v>
      </c>
      <c r="B46" s="62" t="s">
        <v>416</v>
      </c>
      <c r="C46" s="62" t="s">
        <v>415</v>
      </c>
      <c r="D46" s="61">
        <v>37.21</v>
      </c>
      <c r="E46" s="61">
        <v>37.31</v>
      </c>
      <c r="F46" s="61">
        <v>-2.6802465826856071E-3</v>
      </c>
      <c r="G46" s="371">
        <f>E46*(1-iDelta*2)</f>
        <v>35.817599999999999</v>
      </c>
      <c r="H46" s="61">
        <f>E46*(1-iDelta*1)</f>
        <v>36.563800000000001</v>
      </c>
      <c r="I46" s="61">
        <f>E46*(1+iDelta*1)</f>
        <v>38.056200000000004</v>
      </c>
      <c r="J46" s="61">
        <f>E46*(1+iDelta*2)</f>
        <v>38.802400000000006</v>
      </c>
    </row>
    <row r="47" spans="1:10" ht="30" customHeight="1" x14ac:dyDescent="0.25">
      <c r="A47" s="62" t="s">
        <v>125</v>
      </c>
      <c r="B47" s="62" t="s">
        <v>416</v>
      </c>
      <c r="C47" s="62" t="s">
        <v>415</v>
      </c>
      <c r="D47" s="61">
        <v>12.35</v>
      </c>
      <c r="E47" s="61">
        <v>11.66</v>
      </c>
      <c r="F47" s="61">
        <v>5.9176672384219552E-2</v>
      </c>
      <c r="G47" s="371">
        <f>E47*(1-iDelta*2)</f>
        <v>11.1936</v>
      </c>
      <c r="H47" s="61">
        <f>E47*(1-iDelta*1)</f>
        <v>11.4268</v>
      </c>
      <c r="I47" s="61">
        <f>E47*(1+iDelta*1)</f>
        <v>11.8932</v>
      </c>
      <c r="J47" s="61">
        <f>E47*(1+iDelta*2)</f>
        <v>12.1264</v>
      </c>
    </row>
    <row r="48" spans="1:10" ht="30" customHeight="1" x14ac:dyDescent="0.25">
      <c r="A48" s="62" t="s">
        <v>126</v>
      </c>
      <c r="B48" s="62" t="s">
        <v>416</v>
      </c>
      <c r="C48" s="62" t="s">
        <v>415</v>
      </c>
      <c r="D48" s="61">
        <v>61.69</v>
      </c>
      <c r="E48" s="61">
        <v>61.84</v>
      </c>
      <c r="F48" s="61">
        <v>-2.4256144890038808E-3</v>
      </c>
      <c r="G48" s="371">
        <f>E48*(1-iDelta*2)</f>
        <v>59.366399999999999</v>
      </c>
      <c r="H48" s="61">
        <f>E48*(1-iDelta*1)</f>
        <v>60.603200000000001</v>
      </c>
      <c r="I48" s="61">
        <f>E48*(1+iDelta*1)</f>
        <v>63.076800000000006</v>
      </c>
      <c r="J48" s="61">
        <f>E48*(1+iDelta*2)</f>
        <v>64.313600000000008</v>
      </c>
    </row>
    <row r="49" spans="1:10" ht="30" customHeight="1" x14ac:dyDescent="0.25">
      <c r="A49" s="62" t="s">
        <v>127</v>
      </c>
      <c r="B49" s="62" t="s">
        <v>416</v>
      </c>
      <c r="C49" s="62" t="s">
        <v>415</v>
      </c>
      <c r="D49" s="61">
        <v>117.9</v>
      </c>
      <c r="E49" s="61">
        <v>116.87</v>
      </c>
      <c r="F49" s="61">
        <v>8.8132112603747752E-3</v>
      </c>
      <c r="G49" s="371">
        <f>E49*(1-iDelta*2)</f>
        <v>112.1952</v>
      </c>
      <c r="H49" s="61">
        <f>E49*(1-iDelta*1)</f>
        <v>114.5326</v>
      </c>
      <c r="I49" s="61">
        <f>E49*(1+iDelta*1)</f>
        <v>119.20740000000001</v>
      </c>
      <c r="J49" s="61">
        <f>E49*(1+iDelta*2)</f>
        <v>121.54480000000001</v>
      </c>
    </row>
    <row r="50" spans="1:10" ht="30" customHeight="1" x14ac:dyDescent="0.25">
      <c r="A50" s="62" t="s">
        <v>128</v>
      </c>
      <c r="B50" s="62" t="s">
        <v>416</v>
      </c>
      <c r="C50" s="62" t="s">
        <v>415</v>
      </c>
      <c r="D50" s="61">
        <v>17.64</v>
      </c>
      <c r="E50" s="61">
        <v>17.47</v>
      </c>
      <c r="F50" s="61">
        <v>9.7309673726388088E-3</v>
      </c>
      <c r="G50" s="371">
        <f>E50*(1-iDelta*2)</f>
        <v>16.771199999999997</v>
      </c>
      <c r="H50" s="61">
        <f>E50*(1-iDelta*1)</f>
        <v>17.1206</v>
      </c>
      <c r="I50" s="61">
        <f>E50*(1+iDelta*1)</f>
        <v>17.819399999999998</v>
      </c>
      <c r="J50" s="61">
        <f>E50*(1+iDelta*2)</f>
        <v>18.168800000000001</v>
      </c>
    </row>
    <row r="51" spans="1:10" ht="30" customHeight="1" x14ac:dyDescent="0.25">
      <c r="A51" s="62" t="s">
        <v>129</v>
      </c>
      <c r="B51" s="62" t="s">
        <v>416</v>
      </c>
      <c r="C51" s="62" t="s">
        <v>415</v>
      </c>
      <c r="D51" s="61">
        <v>50.99</v>
      </c>
      <c r="E51" s="61">
        <v>50.57</v>
      </c>
      <c r="F51" s="61">
        <v>8.3053193593039358E-3</v>
      </c>
      <c r="G51" s="371">
        <f>E51*(1-iDelta*2)</f>
        <v>48.547199999999997</v>
      </c>
      <c r="H51" s="61">
        <f>E51*(1-iDelta*1)</f>
        <v>49.558599999999998</v>
      </c>
      <c r="I51" s="61">
        <f>E51*(1+iDelta*1)</f>
        <v>51.581400000000002</v>
      </c>
      <c r="J51" s="61">
        <f>E51*(1+iDelta*2)</f>
        <v>52.592800000000004</v>
      </c>
    </row>
    <row r="52" spans="1:10" ht="30" customHeight="1" x14ac:dyDescent="0.25">
      <c r="A52" s="62" t="s">
        <v>130</v>
      </c>
      <c r="B52" s="62" t="s">
        <v>416</v>
      </c>
      <c r="C52" s="62" t="s">
        <v>415</v>
      </c>
      <c r="D52" s="61">
        <v>18.52</v>
      </c>
      <c r="E52" s="61">
        <v>18.579999999999998</v>
      </c>
      <c r="F52" s="61">
        <v>-3.2292787944025836E-3</v>
      </c>
      <c r="G52" s="371">
        <f>E52*(1-iDelta*2)</f>
        <v>17.836799999999997</v>
      </c>
      <c r="H52" s="61">
        <f>E52*(1-iDelta*1)</f>
        <v>18.208399999999997</v>
      </c>
      <c r="I52" s="61">
        <f>E52*(1+iDelta*1)</f>
        <v>18.951599999999999</v>
      </c>
      <c r="J52" s="61">
        <f>E52*(1+iDelta*2)</f>
        <v>19.3232</v>
      </c>
    </row>
    <row r="53" spans="1:10" ht="30" customHeight="1" x14ac:dyDescent="0.25">
      <c r="A53" s="62" t="s">
        <v>131</v>
      </c>
      <c r="B53" s="62" t="s">
        <v>416</v>
      </c>
      <c r="C53" s="62" t="s">
        <v>415</v>
      </c>
      <c r="D53" s="61">
        <v>17.25</v>
      </c>
      <c r="E53" s="61">
        <v>16.989999999999998</v>
      </c>
      <c r="F53" s="61">
        <v>1.5303119482048263E-2</v>
      </c>
      <c r="G53" s="371">
        <f>E53*(1-iDelta*2)</f>
        <v>16.310399999999998</v>
      </c>
      <c r="H53" s="61">
        <f>E53*(1-iDelta*1)</f>
        <v>16.650199999999998</v>
      </c>
      <c r="I53" s="61">
        <f>E53*(1+iDelta*1)</f>
        <v>17.329799999999999</v>
      </c>
      <c r="J53" s="61">
        <f>E53*(1+iDelta*2)</f>
        <v>17.669599999999999</v>
      </c>
    </row>
    <row r="54" spans="1:10" ht="30" customHeight="1" x14ac:dyDescent="0.25">
      <c r="A54" s="62" t="s">
        <v>132</v>
      </c>
      <c r="B54" s="62" t="s">
        <v>416</v>
      </c>
      <c r="C54" s="62" t="s">
        <v>415</v>
      </c>
      <c r="D54" s="61">
        <v>101.23</v>
      </c>
      <c r="E54" s="61">
        <v>100.14</v>
      </c>
      <c r="F54" s="61">
        <v>1.0884761334132215E-2</v>
      </c>
      <c r="G54" s="371">
        <f>E54*(1-iDelta*2)</f>
        <v>96.134399999999999</v>
      </c>
      <c r="H54" s="61">
        <f>E54*(1-iDelta*1)</f>
        <v>98.137199999999993</v>
      </c>
      <c r="I54" s="61">
        <f>E54*(1+iDelta*1)</f>
        <v>102.14280000000001</v>
      </c>
      <c r="J54" s="61">
        <f>E54*(1+iDelta*2)</f>
        <v>104.1456</v>
      </c>
    </row>
    <row r="55" spans="1:10" ht="30" customHeight="1" x14ac:dyDescent="0.25">
      <c r="A55" s="62" t="s">
        <v>133</v>
      </c>
      <c r="B55" s="62" t="s">
        <v>416</v>
      </c>
      <c r="C55" s="62" t="s">
        <v>415</v>
      </c>
      <c r="D55" s="61">
        <v>11.47</v>
      </c>
      <c r="E55" s="61">
        <v>10.92</v>
      </c>
      <c r="F55" s="61">
        <v>5.0366300366300368E-2</v>
      </c>
      <c r="G55" s="371">
        <f>E55*(1-iDelta*2)</f>
        <v>10.4832</v>
      </c>
      <c r="H55" s="61">
        <f>E55*(1-iDelta*1)</f>
        <v>10.701599999999999</v>
      </c>
      <c r="I55" s="61">
        <f>E55*(1+iDelta*1)</f>
        <v>11.138400000000001</v>
      </c>
      <c r="J55" s="61">
        <f>E55*(1+iDelta*2)</f>
        <v>11.3568</v>
      </c>
    </row>
    <row r="56" spans="1:10" ht="30" customHeight="1" x14ac:dyDescent="0.25">
      <c r="A56" s="62" t="s">
        <v>71</v>
      </c>
      <c r="B56" s="62" t="s">
        <v>419</v>
      </c>
      <c r="C56" s="62" t="s">
        <v>415</v>
      </c>
      <c r="D56" s="61">
        <v>17.829999999999998</v>
      </c>
      <c r="E56" s="61">
        <v>17.9681</v>
      </c>
      <c r="F56" s="61">
        <v>-7.6858432444164935E-3</v>
      </c>
      <c r="G56" s="371">
        <f>E56*(1-iDelta*2)</f>
        <v>17.249375999999998</v>
      </c>
      <c r="H56" s="61">
        <f>E56*(1-iDelta*1)</f>
        <v>17.608737999999999</v>
      </c>
      <c r="I56" s="61">
        <f>E56*(1+iDelta*1)</f>
        <v>18.327462000000001</v>
      </c>
      <c r="J56" s="61">
        <f>E56*(1+iDelta*2)</f>
        <v>18.686824000000001</v>
      </c>
    </row>
    <row r="57" spans="1:10" ht="30" customHeight="1" x14ac:dyDescent="0.25">
      <c r="A57" s="62" t="s">
        <v>134</v>
      </c>
      <c r="B57" s="62" t="s">
        <v>416</v>
      </c>
      <c r="C57" s="62" t="s">
        <v>415</v>
      </c>
      <c r="D57" s="61">
        <v>47.8</v>
      </c>
      <c r="E57" s="61">
        <v>48.5</v>
      </c>
      <c r="F57" s="61">
        <v>-1.443298969072165E-2</v>
      </c>
      <c r="G57" s="371">
        <f>E57*(1-iDelta*2)</f>
        <v>46.559999999999995</v>
      </c>
      <c r="H57" s="61">
        <f>E57*(1-iDelta*1)</f>
        <v>47.53</v>
      </c>
      <c r="I57" s="61">
        <f>E57*(1+iDelta*1)</f>
        <v>49.47</v>
      </c>
      <c r="J57" s="61">
        <f>E57*(1+iDelta*2)</f>
        <v>50.440000000000005</v>
      </c>
    </row>
    <row r="58" spans="1:10" ht="30" customHeight="1" x14ac:dyDescent="0.25">
      <c r="A58" s="62" t="s">
        <v>397</v>
      </c>
      <c r="B58" s="62" t="s">
        <v>419</v>
      </c>
      <c r="C58" s="62" t="s">
        <v>418</v>
      </c>
      <c r="D58" s="61">
        <v>14.48</v>
      </c>
      <c r="E58" s="61">
        <v>14.83</v>
      </c>
      <c r="F58" s="61">
        <v>-2.3600809170600135E-2</v>
      </c>
      <c r="G58" s="371">
        <f>E58*(1-iDelta*2)</f>
        <v>14.236799999999999</v>
      </c>
      <c r="H58" s="61">
        <f>E58*(1-iDelta*1)</f>
        <v>14.5334</v>
      </c>
      <c r="I58" s="61">
        <f>E58*(1+iDelta*1)</f>
        <v>15.1266</v>
      </c>
      <c r="J58" s="61">
        <f>E58*(1+iDelta*2)</f>
        <v>15.423200000000001</v>
      </c>
    </row>
    <row r="59" spans="1:10" ht="30" customHeight="1" x14ac:dyDescent="0.25">
      <c r="A59" s="62" t="s">
        <v>135</v>
      </c>
      <c r="B59" s="62" t="s">
        <v>416</v>
      </c>
      <c r="C59" s="62" t="s">
        <v>415</v>
      </c>
      <c r="D59" s="61">
        <v>29.62</v>
      </c>
      <c r="E59" s="61">
        <v>29.19</v>
      </c>
      <c r="F59" s="61">
        <v>1.473107228502912E-2</v>
      </c>
      <c r="G59" s="371">
        <f>E59*(1-iDelta*2)</f>
        <v>28.022400000000001</v>
      </c>
      <c r="H59" s="61">
        <f>E59*(1-iDelta*1)</f>
        <v>28.606200000000001</v>
      </c>
      <c r="I59" s="61">
        <f>E59*(1+iDelta*1)</f>
        <v>29.773800000000001</v>
      </c>
      <c r="J59" s="61">
        <f>E59*(1+iDelta*2)</f>
        <v>30.357600000000001</v>
      </c>
    </row>
    <row r="60" spans="1:10" ht="30" customHeight="1" x14ac:dyDescent="0.25">
      <c r="A60" s="62" t="s">
        <v>136</v>
      </c>
      <c r="B60" s="62" t="s">
        <v>416</v>
      </c>
      <c r="C60" s="62" t="s">
        <v>415</v>
      </c>
      <c r="D60" s="61">
        <v>78.63</v>
      </c>
      <c r="E60" s="61">
        <v>78.900000000000006</v>
      </c>
      <c r="F60" s="61">
        <v>-3.4220532319391636E-3</v>
      </c>
      <c r="G60" s="371">
        <f>E60*(1-iDelta*2)</f>
        <v>75.744</v>
      </c>
      <c r="H60" s="61">
        <f>E60*(1-iDelta*1)</f>
        <v>77.322000000000003</v>
      </c>
      <c r="I60" s="61">
        <f>E60*(1+iDelta*1)</f>
        <v>80.478000000000009</v>
      </c>
      <c r="J60" s="61">
        <f>E60*(1+iDelta*2)</f>
        <v>82.056000000000012</v>
      </c>
    </row>
    <row r="61" spans="1:10" ht="30" customHeight="1" x14ac:dyDescent="0.25">
      <c r="A61" s="62" t="s">
        <v>137</v>
      </c>
      <c r="B61" s="62" t="s">
        <v>416</v>
      </c>
      <c r="C61" s="62" t="s">
        <v>415</v>
      </c>
      <c r="D61" s="61">
        <v>30.34</v>
      </c>
      <c r="E61" s="61">
        <v>30.45</v>
      </c>
      <c r="F61" s="61">
        <v>-3.6124794745484401E-3</v>
      </c>
      <c r="G61" s="371">
        <f>E61*(1-iDelta*2)</f>
        <v>29.231999999999999</v>
      </c>
      <c r="H61" s="61">
        <f>E61*(1-iDelta*1)</f>
        <v>29.840999999999998</v>
      </c>
      <c r="I61" s="61">
        <f>E61*(1+iDelta*1)</f>
        <v>31.059000000000001</v>
      </c>
      <c r="J61" s="61">
        <f>E61*(1+iDelta*2)</f>
        <v>31.667999999999999</v>
      </c>
    </row>
    <row r="62" spans="1:10" ht="30" customHeight="1" x14ac:dyDescent="0.25">
      <c r="A62" s="62" t="s">
        <v>138</v>
      </c>
      <c r="B62" s="62" t="s">
        <v>416</v>
      </c>
      <c r="C62" s="62" t="s">
        <v>415</v>
      </c>
      <c r="D62" s="61">
        <v>6.39</v>
      </c>
      <c r="E62" s="61">
        <v>6.38</v>
      </c>
      <c r="F62" s="61">
        <v>1.567398119122257E-3</v>
      </c>
      <c r="G62" s="371">
        <f>E62*(1-iDelta*2)</f>
        <v>6.1247999999999996</v>
      </c>
      <c r="H62" s="61">
        <f>E62*(1-iDelta*1)</f>
        <v>6.2523999999999997</v>
      </c>
      <c r="I62" s="61">
        <f>E62*(1+iDelta*1)</f>
        <v>6.5076000000000001</v>
      </c>
      <c r="J62" s="61">
        <f>E62*(1+iDelta*2)</f>
        <v>6.6352000000000002</v>
      </c>
    </row>
    <row r="63" spans="1:10" ht="30" customHeight="1" x14ac:dyDescent="0.25">
      <c r="A63" s="62" t="s">
        <v>139</v>
      </c>
      <c r="B63" s="62" t="s">
        <v>416</v>
      </c>
      <c r="C63" s="62" t="s">
        <v>415</v>
      </c>
      <c r="D63" s="61">
        <v>7.48</v>
      </c>
      <c r="E63" s="61">
        <v>7.07</v>
      </c>
      <c r="F63" s="61">
        <v>5.7991513437057989E-2</v>
      </c>
      <c r="G63" s="371">
        <f>E63*(1-iDelta*2)</f>
        <v>6.7872000000000003</v>
      </c>
      <c r="H63" s="61">
        <f>E63*(1-iDelta*1)</f>
        <v>6.9286000000000003</v>
      </c>
      <c r="I63" s="61">
        <f>E63*(1+iDelta*1)</f>
        <v>7.2114000000000003</v>
      </c>
      <c r="J63" s="61">
        <f>E63*(1+iDelta*2)</f>
        <v>7.3528000000000002</v>
      </c>
    </row>
    <row r="64" spans="1:10" ht="30" customHeight="1" x14ac:dyDescent="0.25">
      <c r="A64" s="62" t="s">
        <v>140</v>
      </c>
      <c r="B64" s="62" t="s">
        <v>416</v>
      </c>
      <c r="C64" s="62" t="s">
        <v>415</v>
      </c>
      <c r="D64" s="61">
        <v>8.5</v>
      </c>
      <c r="E64" s="61">
        <v>7.98</v>
      </c>
      <c r="F64" s="61">
        <v>6.5162907268170422E-2</v>
      </c>
      <c r="G64" s="371">
        <f>E64*(1-iDelta*2)</f>
        <v>7.6608000000000001</v>
      </c>
      <c r="H64" s="61">
        <f>E64*(1-iDelta*1)</f>
        <v>7.8204000000000002</v>
      </c>
      <c r="I64" s="61">
        <f>E64*(1+iDelta*1)</f>
        <v>8.1395999999999997</v>
      </c>
      <c r="J64" s="61">
        <f>E64*(1+iDelta*2)</f>
        <v>8.2992000000000008</v>
      </c>
    </row>
    <row r="65" spans="1:10" ht="30" customHeight="1" x14ac:dyDescent="0.25">
      <c r="A65" s="62" t="s">
        <v>141</v>
      </c>
      <c r="B65" s="62" t="s">
        <v>416</v>
      </c>
      <c r="C65" s="62" t="s">
        <v>415</v>
      </c>
      <c r="D65" s="61">
        <v>1.0900000000000001</v>
      </c>
      <c r="E65" s="61">
        <v>1.07</v>
      </c>
      <c r="F65" s="61">
        <v>1.8691588785046728E-2</v>
      </c>
      <c r="G65" s="371">
        <f>E65*(1-iDelta*2)</f>
        <v>1.0272000000000001</v>
      </c>
      <c r="H65" s="61">
        <f>E65*(1-iDelta*1)</f>
        <v>1.0486</v>
      </c>
      <c r="I65" s="61">
        <f>E65*(1+iDelta*1)</f>
        <v>1.0914000000000001</v>
      </c>
      <c r="J65" s="61">
        <f>E65*(1+iDelta*2)</f>
        <v>1.1128</v>
      </c>
    </row>
    <row r="66" spans="1:10" ht="30" customHeight="1" x14ac:dyDescent="0.25">
      <c r="A66" s="62" t="s">
        <v>142</v>
      </c>
      <c r="B66" s="62" t="s">
        <v>416</v>
      </c>
      <c r="C66" s="62" t="s">
        <v>415</v>
      </c>
      <c r="D66" s="61">
        <v>162.58000000000001</v>
      </c>
      <c r="E66" s="61">
        <v>163.56</v>
      </c>
      <c r="F66" s="61">
        <v>-5.9916850085595498E-3</v>
      </c>
      <c r="G66" s="371">
        <f>E66*(1-iDelta*2)</f>
        <v>157.01759999999999</v>
      </c>
      <c r="H66" s="61">
        <f>E66*(1-iDelta*1)</f>
        <v>160.28880000000001</v>
      </c>
      <c r="I66" s="61">
        <f>E66*(1+iDelta*1)</f>
        <v>166.8312</v>
      </c>
      <c r="J66" s="61">
        <f>E66*(1+iDelta*2)</f>
        <v>170.10240000000002</v>
      </c>
    </row>
    <row r="67" spans="1:10" ht="30" customHeight="1" x14ac:dyDescent="0.25">
      <c r="A67" s="62" t="s">
        <v>143</v>
      </c>
      <c r="B67" s="62" t="s">
        <v>416</v>
      </c>
      <c r="C67" s="62" t="s">
        <v>415</v>
      </c>
      <c r="D67" s="61">
        <v>58.69</v>
      </c>
      <c r="E67" s="61">
        <v>58.34</v>
      </c>
      <c r="F67" s="61">
        <v>5.9993143640726778E-3</v>
      </c>
      <c r="G67" s="371">
        <f>E67*(1-iDelta*2)</f>
        <v>56.006399999999999</v>
      </c>
      <c r="H67" s="61">
        <f>E67*(1-iDelta*1)</f>
        <v>57.173200000000001</v>
      </c>
      <c r="I67" s="61">
        <f>E67*(1+iDelta*1)</f>
        <v>59.506800000000005</v>
      </c>
      <c r="J67" s="61">
        <f>E67*(1+iDelta*2)</f>
        <v>60.673600000000008</v>
      </c>
    </row>
    <row r="68" spans="1:10" ht="30" customHeight="1" x14ac:dyDescent="0.25">
      <c r="A68" s="62" t="s">
        <v>144</v>
      </c>
      <c r="B68" s="62" t="s">
        <v>416</v>
      </c>
      <c r="C68" s="62" t="s">
        <v>415</v>
      </c>
      <c r="D68" s="61">
        <v>67.98</v>
      </c>
      <c r="E68" s="61">
        <v>67.569999999999993</v>
      </c>
      <c r="F68" s="61">
        <v>6.0677815598638449E-3</v>
      </c>
      <c r="G68" s="371">
        <f>E68*(1-iDelta*2)</f>
        <v>64.867199999999997</v>
      </c>
      <c r="H68" s="61">
        <f>E68*(1-iDelta*1)</f>
        <v>66.218599999999995</v>
      </c>
      <c r="I68" s="61">
        <f>E68*(1+iDelta*1)</f>
        <v>68.921399999999991</v>
      </c>
      <c r="J68" s="61">
        <f>E68*(1+iDelta*2)</f>
        <v>70.272799999999989</v>
      </c>
    </row>
    <row r="69" spans="1:10" ht="30" customHeight="1" x14ac:dyDescent="0.25">
      <c r="A69" s="62" t="s">
        <v>145</v>
      </c>
      <c r="B69" s="62" t="s">
        <v>416</v>
      </c>
      <c r="C69" s="62" t="s">
        <v>415</v>
      </c>
      <c r="D69" s="61">
        <v>26.27</v>
      </c>
      <c r="E69" s="61">
        <v>25.57</v>
      </c>
      <c r="F69" s="61">
        <v>2.737583105201408E-2</v>
      </c>
      <c r="G69" s="371">
        <f>E69*(1-iDelta*2)</f>
        <v>24.5472</v>
      </c>
      <c r="H69" s="61">
        <f>E69*(1-iDelta*1)</f>
        <v>25.058599999999998</v>
      </c>
      <c r="I69" s="61">
        <f>E69*(1+iDelta*1)</f>
        <v>26.081400000000002</v>
      </c>
      <c r="J69" s="61">
        <f>E69*(1+iDelta*2)</f>
        <v>26.5928</v>
      </c>
    </row>
    <row r="70" spans="1:10" ht="30" customHeight="1" x14ac:dyDescent="0.25">
      <c r="A70" s="62" t="s">
        <v>146</v>
      </c>
      <c r="B70" s="62" t="s">
        <v>416</v>
      </c>
      <c r="C70" s="62" t="s">
        <v>415</v>
      </c>
      <c r="D70" s="61">
        <v>66.8</v>
      </c>
      <c r="E70" s="61">
        <v>67.23</v>
      </c>
      <c r="F70" s="61">
        <v>-6.3959541871188462E-3</v>
      </c>
      <c r="G70" s="371">
        <f>E70*(1-iDelta*2)</f>
        <v>64.540800000000004</v>
      </c>
      <c r="H70" s="61">
        <f>E70*(1-iDelta*1)</f>
        <v>65.885400000000004</v>
      </c>
      <c r="I70" s="61">
        <f>E70*(1+iDelta*1)</f>
        <v>68.574600000000004</v>
      </c>
      <c r="J70" s="61">
        <f>E70*(1+iDelta*2)</f>
        <v>69.919200000000004</v>
      </c>
    </row>
    <row r="71" spans="1:10" ht="30" customHeight="1" x14ac:dyDescent="0.25">
      <c r="A71" s="62" t="s">
        <v>147</v>
      </c>
      <c r="B71" s="62" t="s">
        <v>416</v>
      </c>
      <c r="C71" s="62" t="s">
        <v>415</v>
      </c>
      <c r="D71" s="61">
        <v>17.059999999999999</v>
      </c>
      <c r="E71" s="61">
        <v>16.760000000000002</v>
      </c>
      <c r="F71" s="61">
        <v>1.7899761336515514E-2</v>
      </c>
      <c r="G71" s="371">
        <f>E71*(1-iDelta*2)</f>
        <v>16.089600000000001</v>
      </c>
      <c r="H71" s="61">
        <f>E71*(1-iDelta*1)</f>
        <v>16.424800000000001</v>
      </c>
      <c r="I71" s="61">
        <f>E71*(1+iDelta*1)</f>
        <v>17.095200000000002</v>
      </c>
      <c r="J71" s="61">
        <f>E71*(1+iDelta*2)</f>
        <v>17.430400000000002</v>
      </c>
    </row>
    <row r="72" spans="1:10" ht="30" customHeight="1" x14ac:dyDescent="0.25">
      <c r="A72" s="62" t="s">
        <v>148</v>
      </c>
      <c r="B72" s="62" t="s">
        <v>416</v>
      </c>
      <c r="C72" s="62" t="s">
        <v>415</v>
      </c>
      <c r="D72" s="61">
        <v>8.61</v>
      </c>
      <c r="E72" s="61">
        <v>8.3800000000000008</v>
      </c>
      <c r="F72" s="61">
        <v>2.7446300715990454E-2</v>
      </c>
      <c r="G72" s="371">
        <f>E72*(1-iDelta*2)</f>
        <v>8.0448000000000004</v>
      </c>
      <c r="H72" s="61">
        <f>E72*(1-iDelta*1)</f>
        <v>8.2124000000000006</v>
      </c>
      <c r="I72" s="61">
        <f>E72*(1+iDelta*1)</f>
        <v>8.547600000000001</v>
      </c>
      <c r="J72" s="61">
        <f>E72*(1+iDelta*2)</f>
        <v>8.7152000000000012</v>
      </c>
    </row>
    <row r="73" spans="1:10" ht="30" customHeight="1" x14ac:dyDescent="0.25">
      <c r="A73" s="62" t="s">
        <v>149</v>
      </c>
      <c r="B73" s="62" t="s">
        <v>416</v>
      </c>
      <c r="C73" s="62" t="s">
        <v>415</v>
      </c>
      <c r="D73" s="61">
        <v>165.95</v>
      </c>
      <c r="E73" s="61">
        <v>161.99</v>
      </c>
      <c r="F73" s="61">
        <v>2.4445953453916907E-2</v>
      </c>
      <c r="G73" s="371">
        <f>E73*(1-iDelta*2)</f>
        <v>155.5104</v>
      </c>
      <c r="H73" s="61">
        <f>E73*(1-iDelta*1)</f>
        <v>158.75020000000001</v>
      </c>
      <c r="I73" s="61">
        <f>E73*(1+iDelta*1)</f>
        <v>165.22980000000001</v>
      </c>
      <c r="J73" s="61">
        <f>E73*(1+iDelta*2)</f>
        <v>168.46960000000001</v>
      </c>
    </row>
    <row r="74" spans="1:10" ht="30" customHeight="1" x14ac:dyDescent="0.25">
      <c r="A74" s="62" t="s">
        <v>150</v>
      </c>
      <c r="B74" s="62" t="s">
        <v>416</v>
      </c>
      <c r="C74" s="62" t="s">
        <v>415</v>
      </c>
      <c r="D74" s="61">
        <v>393.31</v>
      </c>
      <c r="E74" s="61">
        <v>391.26</v>
      </c>
      <c r="F74" s="61">
        <v>5.2394826969278741E-3</v>
      </c>
      <c r="G74" s="371">
        <f>E74*(1-iDelta*2)</f>
        <v>375.6096</v>
      </c>
      <c r="H74" s="61">
        <f>E74*(1-iDelta*1)</f>
        <v>383.4348</v>
      </c>
      <c r="I74" s="61">
        <f>E74*(1+iDelta*1)</f>
        <v>399.08519999999999</v>
      </c>
      <c r="J74" s="61">
        <f>E74*(1+iDelta*2)</f>
        <v>406.91039999999998</v>
      </c>
    </row>
    <row r="75" spans="1:10" ht="30" customHeight="1" x14ac:dyDescent="0.25">
      <c r="A75" s="62" t="s">
        <v>151</v>
      </c>
      <c r="B75" s="62" t="s">
        <v>416</v>
      </c>
      <c r="C75" s="62" t="s">
        <v>415</v>
      </c>
      <c r="D75" s="61">
        <v>23.22</v>
      </c>
      <c r="E75" s="61">
        <v>22.82</v>
      </c>
      <c r="F75" s="61">
        <v>1.7528483786152498E-2</v>
      </c>
      <c r="G75" s="371">
        <f>E75*(1-iDelta*2)</f>
        <v>21.9072</v>
      </c>
      <c r="H75" s="61">
        <f>E75*(1-iDelta*1)</f>
        <v>22.363599999999998</v>
      </c>
      <c r="I75" s="61">
        <f>E75*(1+iDelta*1)</f>
        <v>23.276400000000002</v>
      </c>
      <c r="J75" s="61">
        <f>E75*(1+iDelta*2)</f>
        <v>23.732800000000001</v>
      </c>
    </row>
    <row r="76" spans="1:10" ht="30" customHeight="1" x14ac:dyDescent="0.25">
      <c r="A76" s="62" t="s">
        <v>152</v>
      </c>
      <c r="B76" s="62" t="s">
        <v>416</v>
      </c>
      <c r="C76" s="62" t="s">
        <v>415</v>
      </c>
      <c r="D76" s="61">
        <v>41.52</v>
      </c>
      <c r="E76" s="61">
        <v>41.67</v>
      </c>
      <c r="F76" s="61">
        <v>-3.599712023038157E-3</v>
      </c>
      <c r="G76" s="371">
        <f>E76*(1-iDelta*2)</f>
        <v>40.0032</v>
      </c>
      <c r="H76" s="61">
        <f>E76*(1-iDelta*1)</f>
        <v>40.836600000000004</v>
      </c>
      <c r="I76" s="61">
        <f>E76*(1+iDelta*1)</f>
        <v>42.503399999999999</v>
      </c>
      <c r="J76" s="61">
        <f>E76*(1+iDelta*2)</f>
        <v>43.336800000000004</v>
      </c>
    </row>
    <row r="77" spans="1:10" ht="30" customHeight="1" x14ac:dyDescent="0.25">
      <c r="A77" s="62" t="s">
        <v>153</v>
      </c>
      <c r="B77" s="62" t="s">
        <v>416</v>
      </c>
      <c r="C77" s="62" t="s">
        <v>415</v>
      </c>
      <c r="D77" s="61">
        <v>8.6</v>
      </c>
      <c r="E77" s="61">
        <v>8.5</v>
      </c>
      <c r="F77" s="61">
        <v>1.1764705882352941E-2</v>
      </c>
      <c r="G77" s="371">
        <f>E77*(1-iDelta*2)</f>
        <v>8.16</v>
      </c>
      <c r="H77" s="61">
        <f>E77*(1-iDelta*1)</f>
        <v>8.33</v>
      </c>
      <c r="I77" s="61">
        <f>E77*(1+iDelta*1)</f>
        <v>8.67</v>
      </c>
      <c r="J77" s="61">
        <f>E77*(1+iDelta*2)</f>
        <v>8.84</v>
      </c>
    </row>
    <row r="78" spans="1:10" ht="30" customHeight="1" x14ac:dyDescent="0.25">
      <c r="A78" s="62" t="s">
        <v>154</v>
      </c>
      <c r="B78" s="62" t="s">
        <v>416</v>
      </c>
      <c r="C78" s="62" t="s">
        <v>415</v>
      </c>
      <c r="D78" s="61">
        <v>30.25</v>
      </c>
      <c r="E78" s="61">
        <v>27.42</v>
      </c>
      <c r="F78" s="61">
        <v>0.10320933625091175</v>
      </c>
      <c r="G78" s="371">
        <f>E78*(1-iDelta*2)</f>
        <v>26.3232</v>
      </c>
      <c r="H78" s="61">
        <f>E78*(1-iDelta*1)</f>
        <v>26.871600000000001</v>
      </c>
      <c r="I78" s="61">
        <f>E78*(1+iDelta*1)</f>
        <v>27.968400000000003</v>
      </c>
      <c r="J78" s="61">
        <f>E78*(1+iDelta*2)</f>
        <v>28.516800000000003</v>
      </c>
    </row>
    <row r="79" spans="1:10" ht="30" customHeight="1" x14ac:dyDescent="0.25">
      <c r="A79" s="62" t="s">
        <v>155</v>
      </c>
      <c r="B79" s="62" t="s">
        <v>416</v>
      </c>
      <c r="C79" s="62" t="s">
        <v>415</v>
      </c>
      <c r="D79" s="61">
        <v>250.59</v>
      </c>
      <c r="E79" s="61">
        <v>250.56</v>
      </c>
      <c r="F79" s="61">
        <v>1.1973180076628352E-4</v>
      </c>
      <c r="G79" s="371">
        <f>E79*(1-iDelta*2)</f>
        <v>240.5376</v>
      </c>
      <c r="H79" s="61">
        <f>E79*(1-iDelta*1)</f>
        <v>245.5488</v>
      </c>
      <c r="I79" s="61">
        <f>E79*(1+iDelta*1)</f>
        <v>255.5712</v>
      </c>
      <c r="J79" s="61">
        <f>E79*(1+iDelta*2)</f>
        <v>260.58240000000001</v>
      </c>
    </row>
    <row r="80" spans="1:10" ht="30" customHeight="1" x14ac:dyDescent="0.25">
      <c r="A80" s="62" t="s">
        <v>156</v>
      </c>
      <c r="B80" s="62" t="s">
        <v>416</v>
      </c>
      <c r="C80" s="62" t="s">
        <v>415</v>
      </c>
      <c r="D80" s="61">
        <v>140.81</v>
      </c>
      <c r="E80" s="61">
        <v>141.91</v>
      </c>
      <c r="F80" s="61">
        <v>-7.7513917271510111E-3</v>
      </c>
      <c r="G80" s="371">
        <f>E80*(1-iDelta*2)</f>
        <v>136.2336</v>
      </c>
      <c r="H80" s="61">
        <f>E80*(1-iDelta*1)</f>
        <v>139.0718</v>
      </c>
      <c r="I80" s="61">
        <f>E80*(1+iDelta*1)</f>
        <v>144.7482</v>
      </c>
      <c r="J80" s="61">
        <f>E80*(1+iDelta*2)</f>
        <v>147.5864</v>
      </c>
    </row>
    <row r="81" spans="1:10" ht="30" customHeight="1" x14ac:dyDescent="0.25">
      <c r="A81" s="62" t="s">
        <v>157</v>
      </c>
      <c r="B81" s="62" t="s">
        <v>416</v>
      </c>
      <c r="C81" s="62" t="s">
        <v>415</v>
      </c>
      <c r="D81" s="61">
        <v>38.72</v>
      </c>
      <c r="E81" s="61">
        <v>39.090000000000003</v>
      </c>
      <c r="F81" s="61">
        <v>-9.4653364031721671E-3</v>
      </c>
      <c r="G81" s="371">
        <f>E81*(1-iDelta*2)</f>
        <v>37.526400000000002</v>
      </c>
      <c r="H81" s="61">
        <f>E81*(1-iDelta*1)</f>
        <v>38.308199999999999</v>
      </c>
      <c r="I81" s="61">
        <f>E81*(1+iDelta*1)</f>
        <v>39.871800000000007</v>
      </c>
      <c r="J81" s="61">
        <f>E81*(1+iDelta*2)</f>
        <v>40.653600000000004</v>
      </c>
    </row>
    <row r="82" spans="1:10" ht="30" customHeight="1" x14ac:dyDescent="0.25">
      <c r="A82" s="62" t="s">
        <v>158</v>
      </c>
      <c r="B82" s="62" t="s">
        <v>416</v>
      </c>
      <c r="C82" s="62" t="s">
        <v>415</v>
      </c>
      <c r="D82" s="61">
        <v>19</v>
      </c>
      <c r="E82" s="61">
        <v>18.95</v>
      </c>
      <c r="F82" s="61">
        <v>2.6385224274406332E-3</v>
      </c>
      <c r="G82" s="371">
        <f>E82*(1-iDelta*2)</f>
        <v>18.192</v>
      </c>
      <c r="H82" s="61">
        <f>E82*(1-iDelta*1)</f>
        <v>18.570999999999998</v>
      </c>
      <c r="I82" s="61">
        <f>E82*(1+iDelta*1)</f>
        <v>19.329000000000001</v>
      </c>
      <c r="J82" s="61">
        <f>E82*(1+iDelta*2)</f>
        <v>19.707999999999998</v>
      </c>
    </row>
    <row r="83" spans="1:10" ht="30" customHeight="1" x14ac:dyDescent="0.25">
      <c r="A83" s="62" t="s">
        <v>159</v>
      </c>
      <c r="B83" s="62" t="s">
        <v>416</v>
      </c>
      <c r="C83" s="62" t="s">
        <v>415</v>
      </c>
      <c r="D83" s="61">
        <v>17.11</v>
      </c>
      <c r="E83" s="61">
        <v>16.82</v>
      </c>
      <c r="F83" s="61">
        <v>1.7241379310344827E-2</v>
      </c>
      <c r="G83" s="371">
        <f>E83*(1-iDelta*2)</f>
        <v>16.147199999999998</v>
      </c>
      <c r="H83" s="61">
        <f>E83*(1-iDelta*1)</f>
        <v>16.483599999999999</v>
      </c>
      <c r="I83" s="61">
        <f>E83*(1+iDelta*1)</f>
        <v>17.156400000000001</v>
      </c>
      <c r="J83" s="61">
        <f>E83*(1+iDelta*2)</f>
        <v>17.492800000000003</v>
      </c>
    </row>
    <row r="84" spans="1:10" ht="30" customHeight="1" x14ac:dyDescent="0.25">
      <c r="A84" s="62" t="s">
        <v>160</v>
      </c>
      <c r="B84" s="62" t="s">
        <v>416</v>
      </c>
      <c r="C84" s="62" t="s">
        <v>415</v>
      </c>
      <c r="D84" s="61">
        <v>8.11</v>
      </c>
      <c r="E84" s="61">
        <v>8.0500000000000007</v>
      </c>
      <c r="F84" s="61">
        <v>7.4534161490683228E-3</v>
      </c>
      <c r="G84" s="371">
        <f>E84*(1-iDelta*2)</f>
        <v>7.7280000000000006</v>
      </c>
      <c r="H84" s="61">
        <f>E84*(1-iDelta*1)</f>
        <v>7.8890000000000002</v>
      </c>
      <c r="I84" s="61">
        <f>E84*(1+iDelta*1)</f>
        <v>8.2110000000000003</v>
      </c>
      <c r="J84" s="61">
        <f>E84*(1+iDelta*2)</f>
        <v>8.3720000000000017</v>
      </c>
    </row>
    <row r="85" spans="1:10" ht="30" customHeight="1" x14ac:dyDescent="0.25">
      <c r="A85" s="62" t="s">
        <v>161</v>
      </c>
      <c r="B85" s="62" t="s">
        <v>416</v>
      </c>
      <c r="C85" s="62" t="s">
        <v>415</v>
      </c>
      <c r="D85" s="61">
        <v>12.88</v>
      </c>
      <c r="E85" s="61">
        <v>12.9</v>
      </c>
      <c r="F85" s="61">
        <v>-1.5503875968992248E-3</v>
      </c>
      <c r="G85" s="371">
        <f>E85*(1-iDelta*2)</f>
        <v>12.384</v>
      </c>
      <c r="H85" s="61">
        <f>E85*(1-iDelta*1)</f>
        <v>12.641999999999999</v>
      </c>
      <c r="I85" s="61">
        <f>E85*(1+iDelta*1)</f>
        <v>13.158000000000001</v>
      </c>
      <c r="J85" s="61">
        <f>E85*(1+iDelta*2)</f>
        <v>13.416</v>
      </c>
    </row>
    <row r="86" spans="1:10" ht="30" customHeight="1" x14ac:dyDescent="0.25">
      <c r="A86" s="62" t="s">
        <v>162</v>
      </c>
      <c r="B86" s="62" t="s">
        <v>416</v>
      </c>
      <c r="C86" s="62" t="s">
        <v>415</v>
      </c>
      <c r="D86" s="61">
        <v>81.25</v>
      </c>
      <c r="E86" s="61">
        <v>80.05</v>
      </c>
      <c r="F86" s="61">
        <v>1.4990630855715179E-2</v>
      </c>
      <c r="G86" s="371">
        <f>E86*(1-iDelta*2)</f>
        <v>76.847999999999999</v>
      </c>
      <c r="H86" s="61">
        <f>E86*(1-iDelta*1)</f>
        <v>78.448999999999998</v>
      </c>
      <c r="I86" s="61">
        <f>E86*(1+iDelta*1)</f>
        <v>81.650999999999996</v>
      </c>
      <c r="J86" s="61">
        <f>E86*(1+iDelta*2)</f>
        <v>83.251999999999995</v>
      </c>
    </row>
    <row r="87" spans="1:10" ht="30" customHeight="1" x14ac:dyDescent="0.25">
      <c r="A87" s="62" t="s">
        <v>163</v>
      </c>
      <c r="B87" s="62" t="s">
        <v>416</v>
      </c>
      <c r="C87" s="62" t="s">
        <v>415</v>
      </c>
      <c r="D87" s="61">
        <v>15.05</v>
      </c>
      <c r="E87" s="61">
        <v>14.93</v>
      </c>
      <c r="F87" s="61">
        <v>8.0375083724045539E-3</v>
      </c>
      <c r="G87" s="371">
        <f>E87*(1-iDelta*2)</f>
        <v>14.332799999999999</v>
      </c>
      <c r="H87" s="61">
        <f>E87*(1-iDelta*1)</f>
        <v>14.631399999999999</v>
      </c>
      <c r="I87" s="61">
        <f>E87*(1+iDelta*1)</f>
        <v>15.2286</v>
      </c>
      <c r="J87" s="61">
        <f>E87*(1+iDelta*2)</f>
        <v>15.527200000000001</v>
      </c>
    </row>
    <row r="88" spans="1:10" ht="30" customHeight="1" x14ac:dyDescent="0.25">
      <c r="A88" s="62" t="s">
        <v>164</v>
      </c>
      <c r="B88" s="62" t="s">
        <v>416</v>
      </c>
      <c r="C88" s="62" t="s">
        <v>415</v>
      </c>
      <c r="D88" s="61">
        <v>90.5</v>
      </c>
      <c r="E88" s="61">
        <v>90.5</v>
      </c>
      <c r="F88" s="61">
        <v>0</v>
      </c>
      <c r="G88" s="371">
        <f>E88*(1-iDelta*2)</f>
        <v>86.88</v>
      </c>
      <c r="H88" s="61">
        <f>E88*(1-iDelta*1)</f>
        <v>88.69</v>
      </c>
      <c r="I88" s="61">
        <f>E88*(1+iDelta*1)</f>
        <v>92.31</v>
      </c>
      <c r="J88" s="61">
        <f>E88*(1+iDelta*2)</f>
        <v>94.12</v>
      </c>
    </row>
    <row r="89" spans="1:10" ht="30" customHeight="1" x14ac:dyDescent="0.25">
      <c r="A89" s="62" t="s">
        <v>165</v>
      </c>
      <c r="B89" s="62" t="s">
        <v>416</v>
      </c>
      <c r="C89" s="62" t="s">
        <v>415</v>
      </c>
      <c r="D89" s="61">
        <v>76</v>
      </c>
      <c r="E89" s="61">
        <v>76.08</v>
      </c>
      <c r="F89" s="61">
        <v>-1.0515247108307045E-3</v>
      </c>
      <c r="G89" s="371">
        <f>E89*(1-iDelta*2)</f>
        <v>73.036799999999999</v>
      </c>
      <c r="H89" s="61">
        <f>E89*(1-iDelta*1)</f>
        <v>74.558399999999992</v>
      </c>
      <c r="I89" s="61">
        <f>E89*(1+iDelta*1)</f>
        <v>77.601600000000005</v>
      </c>
      <c r="J89" s="61">
        <f>E89*(1+iDelta*2)</f>
        <v>79.123199999999997</v>
      </c>
    </row>
    <row r="90" spans="1:10" ht="30" customHeight="1" x14ac:dyDescent="0.25">
      <c r="A90" s="62" t="s">
        <v>166</v>
      </c>
      <c r="B90" s="62" t="s">
        <v>416</v>
      </c>
      <c r="C90" s="62" t="s">
        <v>415</v>
      </c>
      <c r="D90" s="61">
        <v>23.78</v>
      </c>
      <c r="E90" s="61">
        <v>23.25</v>
      </c>
      <c r="F90" s="61">
        <v>2.2795698924731184E-2</v>
      </c>
      <c r="G90" s="371">
        <f>E90*(1-iDelta*2)</f>
        <v>22.32</v>
      </c>
      <c r="H90" s="61">
        <f>E90*(1-iDelta*1)</f>
        <v>22.785</v>
      </c>
      <c r="I90" s="61">
        <f>E90*(1+iDelta*1)</f>
        <v>23.715</v>
      </c>
      <c r="J90" s="61">
        <f>E90*(1+iDelta*2)</f>
        <v>24.18</v>
      </c>
    </row>
    <row r="91" spans="1:10" ht="30" customHeight="1" x14ac:dyDescent="0.25">
      <c r="A91" s="62" t="s">
        <v>167</v>
      </c>
      <c r="B91" s="62" t="s">
        <v>416</v>
      </c>
      <c r="C91" s="62" t="s">
        <v>415</v>
      </c>
      <c r="D91" s="61">
        <v>89.262</v>
      </c>
      <c r="E91" s="61">
        <v>89.215999999999994</v>
      </c>
      <c r="F91" s="61">
        <v>5.1560258249641318E-4</v>
      </c>
      <c r="G91" s="371">
        <f>E91*(1-iDelta*2)</f>
        <v>85.647359999999992</v>
      </c>
      <c r="H91" s="61">
        <f>E91*(1-iDelta*1)</f>
        <v>87.431679999999986</v>
      </c>
      <c r="I91" s="61">
        <f>E91*(1+iDelta*1)</f>
        <v>91.000320000000002</v>
      </c>
      <c r="J91" s="61">
        <f>E91*(1+iDelta*2)</f>
        <v>92.784639999999996</v>
      </c>
    </row>
    <row r="92" spans="1:10" ht="30" customHeight="1" x14ac:dyDescent="0.25">
      <c r="A92" s="62" t="s">
        <v>168</v>
      </c>
      <c r="B92" s="62" t="s">
        <v>416</v>
      </c>
      <c r="C92" s="62" t="s">
        <v>415</v>
      </c>
      <c r="D92" s="61">
        <v>174.93</v>
      </c>
      <c r="E92" s="61">
        <v>171.94</v>
      </c>
      <c r="F92" s="61">
        <v>1.7389787135047109E-2</v>
      </c>
      <c r="G92" s="371">
        <f>E92*(1-iDelta*2)</f>
        <v>165.0624</v>
      </c>
      <c r="H92" s="61">
        <f>E92*(1-iDelta*1)</f>
        <v>168.50119999999998</v>
      </c>
      <c r="I92" s="61">
        <f>E92*(1+iDelta*1)</f>
        <v>175.37880000000001</v>
      </c>
      <c r="J92" s="61">
        <f>E92*(1+iDelta*2)</f>
        <v>178.8176</v>
      </c>
    </row>
    <row r="93" spans="1:10" ht="30" customHeight="1" x14ac:dyDescent="0.25">
      <c r="A93" s="62" t="s">
        <v>169</v>
      </c>
      <c r="B93" s="62" t="s">
        <v>416</v>
      </c>
      <c r="C93" s="62" t="s">
        <v>415</v>
      </c>
      <c r="D93" s="61">
        <v>94.7</v>
      </c>
      <c r="E93" s="61">
        <v>96.34</v>
      </c>
      <c r="F93" s="61">
        <v>-1.7023043388000831E-2</v>
      </c>
      <c r="G93" s="371">
        <f>E93*(1-iDelta*2)</f>
        <v>92.486400000000003</v>
      </c>
      <c r="H93" s="61">
        <f>E93*(1-iDelta*1)</f>
        <v>94.413200000000003</v>
      </c>
      <c r="I93" s="61">
        <f>E93*(1+iDelta*1)</f>
        <v>98.266800000000003</v>
      </c>
      <c r="J93" s="61">
        <f>E93*(1+iDelta*2)</f>
        <v>100.1936</v>
      </c>
    </row>
    <row r="94" spans="1:10" ht="30" customHeight="1" x14ac:dyDescent="0.25">
      <c r="A94" s="62" t="s">
        <v>72</v>
      </c>
      <c r="B94" s="62" t="s">
        <v>419</v>
      </c>
      <c r="C94" s="62" t="s">
        <v>415</v>
      </c>
      <c r="D94" s="61">
        <v>352.09</v>
      </c>
      <c r="E94" s="61">
        <v>350.61</v>
      </c>
      <c r="F94" s="61">
        <v>4.2212144548073359E-3</v>
      </c>
      <c r="G94" s="371">
        <f>E94*(1-iDelta*2)</f>
        <v>336.5856</v>
      </c>
      <c r="H94" s="61">
        <f>E94*(1-iDelta*1)</f>
        <v>343.59780000000001</v>
      </c>
      <c r="I94" s="61">
        <f>E94*(1+iDelta*1)</f>
        <v>357.62220000000002</v>
      </c>
      <c r="J94" s="61">
        <f>E94*(1+iDelta*2)</f>
        <v>364.63440000000003</v>
      </c>
    </row>
    <row r="95" spans="1:10" ht="30" customHeight="1" x14ac:dyDescent="0.25">
      <c r="A95" s="62" t="s">
        <v>170</v>
      </c>
      <c r="B95" s="62" t="s">
        <v>416</v>
      </c>
      <c r="C95" s="62" t="s">
        <v>415</v>
      </c>
      <c r="D95" s="61">
        <v>29.04</v>
      </c>
      <c r="E95" s="61">
        <v>29.2</v>
      </c>
      <c r="F95" s="61">
        <v>-5.4794520547945206E-3</v>
      </c>
      <c r="G95" s="371">
        <f>E95*(1-iDelta*2)</f>
        <v>28.032</v>
      </c>
      <c r="H95" s="61">
        <f>E95*(1-iDelta*1)</f>
        <v>28.616</v>
      </c>
      <c r="I95" s="61">
        <f>E95*(1+iDelta*1)</f>
        <v>29.783999999999999</v>
      </c>
      <c r="J95" s="61">
        <f>E95*(1+iDelta*2)</f>
        <v>30.367999999999999</v>
      </c>
    </row>
    <row r="96" spans="1:10" ht="30" customHeight="1" x14ac:dyDescent="0.25">
      <c r="A96" s="62" t="s">
        <v>171</v>
      </c>
      <c r="B96" s="62" t="s">
        <v>416</v>
      </c>
      <c r="C96" s="62" t="s">
        <v>415</v>
      </c>
      <c r="D96" s="61">
        <v>16.86</v>
      </c>
      <c r="E96" s="61">
        <v>17.27</v>
      </c>
      <c r="F96" s="61">
        <v>-2.3740590619571511E-2</v>
      </c>
      <c r="G96" s="371">
        <f>E96*(1-iDelta*2)</f>
        <v>16.5792</v>
      </c>
      <c r="H96" s="61">
        <f>E96*(1-iDelta*1)</f>
        <v>16.924599999999998</v>
      </c>
      <c r="I96" s="61">
        <f>E96*(1+iDelta*1)</f>
        <v>17.615400000000001</v>
      </c>
      <c r="J96" s="61">
        <f>E96*(1+iDelta*2)</f>
        <v>17.960799999999999</v>
      </c>
    </row>
    <row r="97" spans="1:10" ht="30" customHeight="1" x14ac:dyDescent="0.25">
      <c r="A97" s="62" t="s">
        <v>383</v>
      </c>
      <c r="B97" s="62" t="s">
        <v>417</v>
      </c>
      <c r="C97" s="62" t="s">
        <v>418</v>
      </c>
      <c r="D97" s="61">
        <v>0.29410517000000003</v>
      </c>
      <c r="E97" s="61">
        <v>0.25713286000000002</v>
      </c>
      <c r="F97" s="61">
        <v>0.14378679566664487</v>
      </c>
      <c r="G97" s="371">
        <f>E97*(1-iDelta*2)</f>
        <v>0.2468475456</v>
      </c>
      <c r="H97" s="61">
        <f>E97*(1-iDelta*1)</f>
        <v>0.25199020280000001</v>
      </c>
      <c r="I97" s="61">
        <f>E97*(1+iDelta*1)</f>
        <v>0.26227551720000003</v>
      </c>
      <c r="J97" s="61">
        <f>E97*(1+iDelta*2)</f>
        <v>0.26741817440000004</v>
      </c>
    </row>
    <row r="98" spans="1:10" ht="30" customHeight="1" x14ac:dyDescent="0.25">
      <c r="A98" s="62" t="s">
        <v>172</v>
      </c>
      <c r="B98" s="62" t="s">
        <v>416</v>
      </c>
      <c r="C98" s="62" t="s">
        <v>415</v>
      </c>
      <c r="D98" s="61">
        <v>2.65</v>
      </c>
      <c r="E98" s="61">
        <v>2.5099999999999998</v>
      </c>
      <c r="F98" s="61">
        <v>5.5776892430278883E-2</v>
      </c>
      <c r="G98" s="371">
        <f>E98*(1-iDelta*2)</f>
        <v>2.4095999999999997</v>
      </c>
      <c r="H98" s="61">
        <f>E98*(1-iDelta*1)</f>
        <v>2.4597999999999995</v>
      </c>
      <c r="I98" s="61">
        <f>E98*(1+iDelta*1)</f>
        <v>2.5602</v>
      </c>
      <c r="J98" s="61">
        <f>E98*(1+iDelta*2)</f>
        <v>2.6103999999999998</v>
      </c>
    </row>
    <row r="99" spans="1:10" ht="30" customHeight="1" x14ac:dyDescent="0.25">
      <c r="A99" s="62" t="s">
        <v>173</v>
      </c>
      <c r="B99" s="62" t="s">
        <v>416</v>
      </c>
      <c r="C99" s="62" t="s">
        <v>415</v>
      </c>
      <c r="D99" s="61">
        <v>9.09</v>
      </c>
      <c r="E99" s="61">
        <v>9.02</v>
      </c>
      <c r="F99" s="61">
        <v>7.7605321507760536E-3</v>
      </c>
      <c r="G99" s="371">
        <f>E99*(1-iDelta*2)</f>
        <v>8.6591999999999985</v>
      </c>
      <c r="H99" s="61">
        <f>E99*(1-iDelta*1)</f>
        <v>8.839599999999999</v>
      </c>
      <c r="I99" s="61">
        <f>E99*(1+iDelta*1)</f>
        <v>9.2004000000000001</v>
      </c>
      <c r="J99" s="61">
        <f>E99*(1+iDelta*2)</f>
        <v>9.3808000000000007</v>
      </c>
    </row>
    <row r="100" spans="1:10" ht="30" customHeight="1" x14ac:dyDescent="0.25">
      <c r="A100" s="62" t="s">
        <v>174</v>
      </c>
      <c r="B100" s="62" t="s">
        <v>416</v>
      </c>
      <c r="C100" s="62" t="s">
        <v>415</v>
      </c>
      <c r="D100" s="61">
        <v>18.989999999999998</v>
      </c>
      <c r="E100" s="61">
        <v>18.88</v>
      </c>
      <c r="F100" s="61">
        <v>5.8262711864406781E-3</v>
      </c>
      <c r="G100" s="371">
        <f>E100*(1-iDelta*2)</f>
        <v>18.124799999999997</v>
      </c>
      <c r="H100" s="61">
        <f>E100*(1-iDelta*1)</f>
        <v>18.502399999999998</v>
      </c>
      <c r="I100" s="61">
        <f>E100*(1+iDelta*1)</f>
        <v>19.2576</v>
      </c>
      <c r="J100" s="61">
        <f>E100*(1+iDelta*2)</f>
        <v>19.635200000000001</v>
      </c>
    </row>
    <row r="101" spans="1:10" ht="30" customHeight="1" x14ac:dyDescent="0.25">
      <c r="A101" s="62" t="s">
        <v>73</v>
      </c>
      <c r="B101" s="62" t="s">
        <v>419</v>
      </c>
      <c r="C101" s="62" t="s">
        <v>415</v>
      </c>
      <c r="D101" s="61">
        <v>51.94</v>
      </c>
      <c r="E101" s="61">
        <v>52.38</v>
      </c>
      <c r="F101" s="61">
        <v>-8.4001527300496381E-3</v>
      </c>
      <c r="G101" s="371">
        <f>E101*(1-iDelta*2)</f>
        <v>50.284799999999997</v>
      </c>
      <c r="H101" s="61">
        <f>E101*(1-iDelta*1)</f>
        <v>51.3324</v>
      </c>
      <c r="I101" s="61">
        <f>E101*(1+iDelta*1)</f>
        <v>53.427600000000005</v>
      </c>
      <c r="J101" s="61">
        <f>E101*(1+iDelta*2)</f>
        <v>54.475200000000008</v>
      </c>
    </row>
    <row r="102" spans="1:10" ht="30" customHeight="1" x14ac:dyDescent="0.25">
      <c r="A102" s="62" t="s">
        <v>175</v>
      </c>
      <c r="B102" s="62" t="s">
        <v>416</v>
      </c>
      <c r="C102" s="62" t="s">
        <v>415</v>
      </c>
      <c r="D102" s="61">
        <v>101.44</v>
      </c>
      <c r="E102" s="61">
        <v>101.06</v>
      </c>
      <c r="F102" s="61">
        <v>3.7601424896101326E-3</v>
      </c>
      <c r="G102" s="371">
        <f>E102*(1-iDelta*2)</f>
        <v>97.017600000000002</v>
      </c>
      <c r="H102" s="61">
        <f>E102*(1-iDelta*1)</f>
        <v>99.038799999999995</v>
      </c>
      <c r="I102" s="61">
        <f>E102*(1+iDelta*1)</f>
        <v>103.08120000000001</v>
      </c>
      <c r="J102" s="61">
        <f>E102*(1+iDelta*2)</f>
        <v>105.1024</v>
      </c>
    </row>
    <row r="103" spans="1:10" ht="30" customHeight="1" x14ac:dyDescent="0.25">
      <c r="A103" s="62" t="s">
        <v>176</v>
      </c>
      <c r="B103" s="62" t="s">
        <v>416</v>
      </c>
      <c r="C103" s="62" t="s">
        <v>415</v>
      </c>
      <c r="D103" s="61">
        <v>39.54</v>
      </c>
      <c r="E103" s="61">
        <v>39.51</v>
      </c>
      <c r="F103" s="61">
        <v>7.5930144267274111E-4</v>
      </c>
      <c r="G103" s="371">
        <f>E103*(1-iDelta*2)</f>
        <v>37.929599999999994</v>
      </c>
      <c r="H103" s="61">
        <f>E103*(1-iDelta*1)</f>
        <v>38.719799999999999</v>
      </c>
      <c r="I103" s="61">
        <f>E103*(1+iDelta*1)</f>
        <v>40.300199999999997</v>
      </c>
      <c r="J103" s="61">
        <f>E103*(1+iDelta*2)</f>
        <v>41.090400000000002</v>
      </c>
    </row>
    <row r="104" spans="1:10" ht="30" customHeight="1" x14ac:dyDescent="0.25">
      <c r="A104" s="62" t="s">
        <v>177</v>
      </c>
      <c r="B104" s="62" t="s">
        <v>416</v>
      </c>
      <c r="C104" s="62" t="s">
        <v>415</v>
      </c>
      <c r="D104" s="61">
        <v>179.74</v>
      </c>
      <c r="E104" s="61">
        <v>183.45</v>
      </c>
      <c r="F104" s="61">
        <v>-2.0223494140092668E-2</v>
      </c>
      <c r="G104" s="371">
        <f>E104*(1-iDelta*2)</f>
        <v>176.11199999999999</v>
      </c>
      <c r="H104" s="61">
        <f>E104*(1-iDelta*1)</f>
        <v>179.78099999999998</v>
      </c>
      <c r="I104" s="61">
        <f>E104*(1+iDelta*1)</f>
        <v>187.119</v>
      </c>
      <c r="J104" s="61">
        <f>E104*(1+iDelta*2)</f>
        <v>190.78799999999998</v>
      </c>
    </row>
    <row r="105" spans="1:10" ht="30" customHeight="1" x14ac:dyDescent="0.25">
      <c r="A105" s="62" t="s">
        <v>178</v>
      </c>
      <c r="B105" s="62" t="s">
        <v>416</v>
      </c>
      <c r="C105" s="62" t="s">
        <v>415</v>
      </c>
      <c r="D105" s="61">
        <v>84.91</v>
      </c>
      <c r="E105" s="61">
        <v>84.27</v>
      </c>
      <c r="F105" s="61">
        <v>7.5946362881215146E-3</v>
      </c>
      <c r="G105" s="371">
        <f>E105*(1-iDelta*2)</f>
        <v>80.899199999999993</v>
      </c>
      <c r="H105" s="61">
        <f>E105*(1-iDelta*1)</f>
        <v>82.584599999999995</v>
      </c>
      <c r="I105" s="61">
        <f>E105*(1+iDelta*1)</f>
        <v>85.955399999999997</v>
      </c>
      <c r="J105" s="61">
        <f>E105*(1+iDelta*2)</f>
        <v>87.640799999999999</v>
      </c>
    </row>
    <row r="106" spans="1:10" ht="30" customHeight="1" x14ac:dyDescent="0.25">
      <c r="A106" s="62" t="s">
        <v>179</v>
      </c>
      <c r="B106" s="62" t="s">
        <v>416</v>
      </c>
      <c r="C106" s="62" t="s">
        <v>415</v>
      </c>
      <c r="D106" s="61">
        <v>33.299999999999997</v>
      </c>
      <c r="E106" s="61">
        <v>32.74</v>
      </c>
      <c r="F106" s="61">
        <v>1.7104459376908979E-2</v>
      </c>
      <c r="G106" s="371">
        <f>E106*(1-iDelta*2)</f>
        <v>31.430400000000002</v>
      </c>
      <c r="H106" s="61">
        <f>E106*(1-iDelta*1)</f>
        <v>32.0852</v>
      </c>
      <c r="I106" s="61">
        <f>E106*(1+iDelta*1)</f>
        <v>33.394800000000004</v>
      </c>
      <c r="J106" s="61">
        <f>E106*(1+iDelta*2)</f>
        <v>34.049600000000005</v>
      </c>
    </row>
    <row r="107" spans="1:10" ht="30" customHeight="1" x14ac:dyDescent="0.25">
      <c r="A107" s="62" t="s">
        <v>384</v>
      </c>
      <c r="B107" s="62" t="s">
        <v>417</v>
      </c>
      <c r="C107" s="62" t="s">
        <v>418</v>
      </c>
      <c r="D107" s="61">
        <v>5.6128429999999998</v>
      </c>
      <c r="E107" s="61">
        <v>5.407699</v>
      </c>
      <c r="F107" s="61">
        <v>3.7935543379910751E-2</v>
      </c>
      <c r="G107" s="371">
        <f>E107*(1-iDelta*2)</f>
        <v>5.1913910400000001</v>
      </c>
      <c r="H107" s="61">
        <f>E107*(1-iDelta*1)</f>
        <v>5.2995450200000001</v>
      </c>
      <c r="I107" s="61">
        <f>E107*(1+iDelta*1)</f>
        <v>5.51585298</v>
      </c>
      <c r="J107" s="61">
        <f>E107*(1+iDelta*2)</f>
        <v>5.62400696</v>
      </c>
    </row>
    <row r="108" spans="1:10" ht="30" customHeight="1" x14ac:dyDescent="0.25">
      <c r="A108" s="62" t="s">
        <v>180</v>
      </c>
      <c r="B108" s="62" t="s">
        <v>416</v>
      </c>
      <c r="C108" s="62" t="s">
        <v>415</v>
      </c>
      <c r="D108" s="61">
        <v>22.45</v>
      </c>
      <c r="E108" s="61">
        <v>22.05</v>
      </c>
      <c r="F108" s="61">
        <v>1.8140589569160998E-2</v>
      </c>
      <c r="G108" s="371">
        <f>E108*(1-iDelta*2)</f>
        <v>21.167999999999999</v>
      </c>
      <c r="H108" s="61">
        <f>E108*(1-iDelta*1)</f>
        <v>21.609000000000002</v>
      </c>
      <c r="I108" s="61">
        <f>E108*(1+iDelta*1)</f>
        <v>22.491</v>
      </c>
      <c r="J108" s="61">
        <f>E108*(1+iDelta*2)</f>
        <v>22.932000000000002</v>
      </c>
    </row>
    <row r="109" spans="1:10" ht="30" customHeight="1" x14ac:dyDescent="0.25">
      <c r="A109" s="62" t="s">
        <v>181</v>
      </c>
      <c r="B109" s="62" t="s">
        <v>416</v>
      </c>
      <c r="C109" s="62" t="s">
        <v>415</v>
      </c>
      <c r="D109" s="61">
        <v>9.27</v>
      </c>
      <c r="E109" s="61">
        <v>9.1199999999999992</v>
      </c>
      <c r="F109" s="61">
        <v>1.6447368421052631E-2</v>
      </c>
      <c r="G109" s="371">
        <f>E109*(1-iDelta*2)</f>
        <v>8.7551999999999985</v>
      </c>
      <c r="H109" s="61">
        <f>E109*(1-iDelta*1)</f>
        <v>8.9375999999999998</v>
      </c>
      <c r="I109" s="61">
        <f>E109*(1+iDelta*1)</f>
        <v>9.3023999999999987</v>
      </c>
      <c r="J109" s="61">
        <f>E109*(1+iDelta*2)</f>
        <v>9.4847999999999999</v>
      </c>
    </row>
    <row r="110" spans="1:10" ht="30" customHeight="1" x14ac:dyDescent="0.25">
      <c r="A110" s="62" t="s">
        <v>385</v>
      </c>
      <c r="B110" s="62" t="s">
        <v>417</v>
      </c>
      <c r="C110" s="62" t="s">
        <v>418</v>
      </c>
      <c r="D110" s="61">
        <v>3794.4395</v>
      </c>
      <c r="E110" s="61">
        <v>3612.6801999999998</v>
      </c>
      <c r="F110" s="61">
        <v>5.0311483424411607E-2</v>
      </c>
      <c r="G110" s="371">
        <f>E110*(1-iDelta*2)</f>
        <v>3468.1729919999998</v>
      </c>
      <c r="H110" s="61">
        <f>E110*(1-iDelta*1)</f>
        <v>3540.4265959999998</v>
      </c>
      <c r="I110" s="61">
        <f>E110*(1+iDelta*1)</f>
        <v>3684.9338039999998</v>
      </c>
      <c r="J110" s="61">
        <f>E110*(1+iDelta*2)</f>
        <v>3757.1874079999998</v>
      </c>
    </row>
    <row r="111" spans="1:10" ht="30" customHeight="1" x14ac:dyDescent="0.25">
      <c r="A111" s="62" t="s">
        <v>182</v>
      </c>
      <c r="B111" s="62" t="s">
        <v>416</v>
      </c>
      <c r="C111" s="62" t="s">
        <v>415</v>
      </c>
      <c r="D111" s="61">
        <v>21.95</v>
      </c>
      <c r="E111" s="61">
        <v>22.02</v>
      </c>
      <c r="F111" s="61">
        <v>-3.1789282470481382E-3</v>
      </c>
      <c r="G111" s="371">
        <f>E111*(1-iDelta*2)</f>
        <v>21.139199999999999</v>
      </c>
      <c r="H111" s="61">
        <f>E111*(1-iDelta*1)</f>
        <v>21.579599999999999</v>
      </c>
      <c r="I111" s="61">
        <f>E111*(1+iDelta*1)</f>
        <v>22.4604</v>
      </c>
      <c r="J111" s="61">
        <f>E111*(1+iDelta*2)</f>
        <v>22.9008</v>
      </c>
    </row>
    <row r="112" spans="1:10" ht="30" customHeight="1" x14ac:dyDescent="0.25">
      <c r="A112" s="62" t="s">
        <v>183</v>
      </c>
      <c r="B112" s="62" t="s">
        <v>416</v>
      </c>
      <c r="C112" s="62" t="s">
        <v>415</v>
      </c>
      <c r="D112" s="61">
        <v>148.88999999999999</v>
      </c>
      <c r="E112" s="61">
        <v>161.69</v>
      </c>
      <c r="F112" s="61">
        <v>-7.916383202424393E-2</v>
      </c>
      <c r="G112" s="371">
        <f>E112*(1-iDelta*2)</f>
        <v>155.22239999999999</v>
      </c>
      <c r="H112" s="61">
        <f>E112*(1-iDelta*1)</f>
        <v>158.4562</v>
      </c>
      <c r="I112" s="61">
        <f>E112*(1+iDelta*1)</f>
        <v>164.9238</v>
      </c>
      <c r="J112" s="61">
        <f>E112*(1+iDelta*2)</f>
        <v>168.1576</v>
      </c>
    </row>
    <row r="113" spans="1:10" ht="30" customHeight="1" x14ac:dyDescent="0.25">
      <c r="A113" s="62" t="s">
        <v>184</v>
      </c>
      <c r="B113" s="62" t="s">
        <v>416</v>
      </c>
      <c r="C113" s="62" t="s">
        <v>415</v>
      </c>
      <c r="D113" s="61">
        <v>4.3899999999999997</v>
      </c>
      <c r="E113" s="61">
        <v>4.34</v>
      </c>
      <c r="F113" s="61">
        <v>1.1520737327188941E-2</v>
      </c>
      <c r="G113" s="371">
        <f>E113*(1-iDelta*2)</f>
        <v>4.1663999999999994</v>
      </c>
      <c r="H113" s="61">
        <f>E113*(1-iDelta*1)</f>
        <v>4.2531999999999996</v>
      </c>
      <c r="I113" s="61">
        <f>E113*(1+iDelta*1)</f>
        <v>4.4268000000000001</v>
      </c>
      <c r="J113" s="61">
        <f>E113*(1+iDelta*2)</f>
        <v>4.5136000000000003</v>
      </c>
    </row>
    <row r="114" spans="1:10" ht="30" customHeight="1" x14ac:dyDescent="0.25">
      <c r="A114" s="62" t="s">
        <v>185</v>
      </c>
      <c r="B114" s="62" t="s">
        <v>416</v>
      </c>
      <c r="C114" s="62" t="s">
        <v>415</v>
      </c>
      <c r="D114" s="61">
        <v>6</v>
      </c>
      <c r="E114" s="61">
        <v>5.94</v>
      </c>
      <c r="F114" s="61">
        <v>1.01010101010101E-2</v>
      </c>
      <c r="G114" s="371">
        <f>E114*(1-iDelta*2)</f>
        <v>5.7023999999999999</v>
      </c>
      <c r="H114" s="61">
        <f>E114*(1-iDelta*1)</f>
        <v>5.8212000000000002</v>
      </c>
      <c r="I114" s="61">
        <f>E114*(1+iDelta*1)</f>
        <v>6.0588000000000006</v>
      </c>
      <c r="J114" s="61">
        <f>E114*(1+iDelta*2)</f>
        <v>6.1776000000000009</v>
      </c>
    </row>
    <row r="115" spans="1:10" ht="30" customHeight="1" x14ac:dyDescent="0.25">
      <c r="A115" s="62" t="s">
        <v>186</v>
      </c>
      <c r="B115" s="62" t="s">
        <v>416</v>
      </c>
      <c r="C115" s="62" t="s">
        <v>415</v>
      </c>
      <c r="D115" s="61">
        <v>13.8</v>
      </c>
      <c r="E115" s="61">
        <v>13.71</v>
      </c>
      <c r="F115" s="61">
        <v>6.5645514223194746E-3</v>
      </c>
      <c r="G115" s="371">
        <f>E115*(1-iDelta*2)</f>
        <v>13.1616</v>
      </c>
      <c r="H115" s="61">
        <f>E115*(1-iDelta*1)</f>
        <v>13.4358</v>
      </c>
      <c r="I115" s="61">
        <f>E115*(1+iDelta*1)</f>
        <v>13.984200000000001</v>
      </c>
      <c r="J115" s="61">
        <f>E115*(1+iDelta*2)</f>
        <v>14.258400000000002</v>
      </c>
    </row>
    <row r="116" spans="1:10" ht="30" customHeight="1" x14ac:dyDescent="0.25">
      <c r="A116" s="62" t="s">
        <v>187</v>
      </c>
      <c r="B116" s="62" t="s">
        <v>416</v>
      </c>
      <c r="C116" s="62" t="s">
        <v>415</v>
      </c>
      <c r="D116" s="61">
        <v>22.7</v>
      </c>
      <c r="E116" s="61">
        <v>22.900099999999998</v>
      </c>
      <c r="F116" s="61">
        <v>-8.7379531093750677E-3</v>
      </c>
      <c r="G116" s="371">
        <f>E116*(1-iDelta*2)</f>
        <v>21.984095999999997</v>
      </c>
      <c r="H116" s="61">
        <f>E116*(1-iDelta*1)</f>
        <v>22.442097999999998</v>
      </c>
      <c r="I116" s="61">
        <f>E116*(1+iDelta*1)</f>
        <v>23.358101999999999</v>
      </c>
      <c r="J116" s="61">
        <f>E116*(1+iDelta*2)</f>
        <v>23.816103999999999</v>
      </c>
    </row>
    <row r="117" spans="1:10" ht="30" customHeight="1" x14ac:dyDescent="0.25">
      <c r="A117" s="62" t="s">
        <v>188</v>
      </c>
      <c r="B117" s="62" t="s">
        <v>416</v>
      </c>
      <c r="C117" s="62" t="s">
        <v>415</v>
      </c>
      <c r="D117" s="61">
        <v>54.73</v>
      </c>
      <c r="E117" s="61">
        <v>54.44</v>
      </c>
      <c r="F117" s="61">
        <v>5.3269654665686998E-3</v>
      </c>
      <c r="G117" s="371">
        <f>E117*(1-iDelta*2)</f>
        <v>52.262399999999992</v>
      </c>
      <c r="H117" s="61">
        <f>E117*(1-iDelta*1)</f>
        <v>53.351199999999999</v>
      </c>
      <c r="I117" s="61">
        <f>E117*(1+iDelta*1)</f>
        <v>55.528799999999997</v>
      </c>
      <c r="J117" s="61">
        <f>E117*(1+iDelta*2)</f>
        <v>56.617600000000003</v>
      </c>
    </row>
    <row r="118" spans="1:10" ht="30" customHeight="1" x14ac:dyDescent="0.25">
      <c r="A118" s="62" t="s">
        <v>189</v>
      </c>
      <c r="B118" s="62" t="s">
        <v>416</v>
      </c>
      <c r="C118" s="62" t="s">
        <v>415</v>
      </c>
      <c r="D118" s="61">
        <v>79.78</v>
      </c>
      <c r="E118" s="61">
        <v>80.05</v>
      </c>
      <c r="F118" s="61">
        <v>-3.372891942535915E-3</v>
      </c>
      <c r="G118" s="371">
        <f>E118*(1-iDelta*2)</f>
        <v>76.847999999999999</v>
      </c>
      <c r="H118" s="61">
        <f>E118*(1-iDelta*1)</f>
        <v>78.448999999999998</v>
      </c>
      <c r="I118" s="61">
        <f>E118*(1+iDelta*1)</f>
        <v>81.650999999999996</v>
      </c>
      <c r="J118" s="61">
        <f>E118*(1+iDelta*2)</f>
        <v>83.251999999999995</v>
      </c>
    </row>
    <row r="119" spans="1:10" ht="30" customHeight="1" x14ac:dyDescent="0.25">
      <c r="A119" s="62" t="s">
        <v>190</v>
      </c>
      <c r="B119" s="62" t="s">
        <v>416</v>
      </c>
      <c r="C119" s="62" t="s">
        <v>415</v>
      </c>
      <c r="D119" s="61">
        <v>12.63</v>
      </c>
      <c r="E119" s="61">
        <v>12.16</v>
      </c>
      <c r="F119" s="61">
        <v>3.8651315789473686E-2</v>
      </c>
      <c r="G119" s="371">
        <f>E119*(1-iDelta*2)</f>
        <v>11.6736</v>
      </c>
      <c r="H119" s="61">
        <f>E119*(1-iDelta*1)</f>
        <v>11.9168</v>
      </c>
      <c r="I119" s="61">
        <f>E119*(1+iDelta*1)</f>
        <v>12.4032</v>
      </c>
      <c r="J119" s="61">
        <f>E119*(1+iDelta*2)</f>
        <v>12.6464</v>
      </c>
    </row>
    <row r="120" spans="1:10" ht="30" customHeight="1" x14ac:dyDescent="0.25">
      <c r="A120" s="62" t="s">
        <v>191</v>
      </c>
      <c r="B120" s="62" t="s">
        <v>416</v>
      </c>
      <c r="C120" s="62" t="s">
        <v>415</v>
      </c>
      <c r="D120" s="61">
        <v>13.11</v>
      </c>
      <c r="E120" s="61">
        <v>13.16</v>
      </c>
      <c r="F120" s="61">
        <v>-3.7993920972644378E-3</v>
      </c>
      <c r="G120" s="371">
        <f>E120*(1-iDelta*2)</f>
        <v>12.633599999999999</v>
      </c>
      <c r="H120" s="61">
        <f>E120*(1-iDelta*1)</f>
        <v>12.896800000000001</v>
      </c>
      <c r="I120" s="61">
        <f>E120*(1+iDelta*1)</f>
        <v>13.4232</v>
      </c>
      <c r="J120" s="61">
        <f>E120*(1+iDelta*2)</f>
        <v>13.686400000000001</v>
      </c>
    </row>
    <row r="121" spans="1:10" ht="30" customHeight="1" x14ac:dyDescent="0.25">
      <c r="A121" s="62" t="s">
        <v>192</v>
      </c>
      <c r="B121" s="62" t="s">
        <v>416</v>
      </c>
      <c r="C121" s="62" t="s">
        <v>415</v>
      </c>
      <c r="D121" s="61">
        <v>20.63</v>
      </c>
      <c r="E121" s="61">
        <v>18.7</v>
      </c>
      <c r="F121" s="61">
        <v>0.10320855614973262</v>
      </c>
      <c r="G121" s="371">
        <f>E121*(1-iDelta*2)</f>
        <v>17.951999999999998</v>
      </c>
      <c r="H121" s="61">
        <f>E121*(1-iDelta*1)</f>
        <v>18.326000000000001</v>
      </c>
      <c r="I121" s="61">
        <f>E121*(1+iDelta*1)</f>
        <v>19.073999999999998</v>
      </c>
      <c r="J121" s="61">
        <f>E121*(1+iDelta*2)</f>
        <v>19.448</v>
      </c>
    </row>
    <row r="122" spans="1:10" ht="30" customHeight="1" x14ac:dyDescent="0.25">
      <c r="A122" s="62" t="s">
        <v>58</v>
      </c>
      <c r="B122" s="62" t="s">
        <v>419</v>
      </c>
      <c r="C122" s="62" t="s">
        <v>415</v>
      </c>
      <c r="D122" s="61">
        <v>33.24</v>
      </c>
      <c r="E122" s="61">
        <v>34.26</v>
      </c>
      <c r="F122" s="61">
        <v>-2.9772329246935202E-2</v>
      </c>
      <c r="G122" s="371">
        <f>E122*(1-iDelta*2)</f>
        <v>32.889599999999994</v>
      </c>
      <c r="H122" s="61">
        <f>E122*(1-iDelta*1)</f>
        <v>33.574799999999996</v>
      </c>
      <c r="I122" s="61">
        <f>E122*(1+iDelta*1)</f>
        <v>34.9452</v>
      </c>
      <c r="J122" s="61">
        <f>E122*(1+iDelta*2)</f>
        <v>35.630400000000002</v>
      </c>
    </row>
    <row r="123" spans="1:10" ht="30" customHeight="1" x14ac:dyDescent="0.25">
      <c r="A123" s="62" t="s">
        <v>193</v>
      </c>
      <c r="B123" s="62" t="s">
        <v>416</v>
      </c>
      <c r="C123" s="62" t="s">
        <v>415</v>
      </c>
      <c r="D123" s="61">
        <v>21.85</v>
      </c>
      <c r="E123" s="61">
        <v>21.66</v>
      </c>
      <c r="F123" s="61">
        <v>8.771929824561403E-3</v>
      </c>
      <c r="G123" s="371">
        <f>E123*(1-iDelta*2)</f>
        <v>20.793599999999998</v>
      </c>
      <c r="H123" s="61">
        <f>E123*(1-iDelta*1)</f>
        <v>21.226800000000001</v>
      </c>
      <c r="I123" s="61">
        <f>E123*(1+iDelta*1)</f>
        <v>22.0932</v>
      </c>
      <c r="J123" s="61">
        <f>E123*(1+iDelta*2)</f>
        <v>22.526400000000002</v>
      </c>
    </row>
    <row r="124" spans="1:10" ht="30" customHeight="1" x14ac:dyDescent="0.25">
      <c r="A124" s="62" t="s">
        <v>194</v>
      </c>
      <c r="B124" s="62" t="s">
        <v>416</v>
      </c>
      <c r="C124" s="62" t="s">
        <v>415</v>
      </c>
      <c r="D124" s="61">
        <v>29.72</v>
      </c>
      <c r="E124" s="61">
        <v>29.46</v>
      </c>
      <c r="F124" s="61">
        <v>8.8255261371350986E-3</v>
      </c>
      <c r="G124" s="371">
        <f>E124*(1-iDelta*2)</f>
        <v>28.281600000000001</v>
      </c>
      <c r="H124" s="61">
        <f>E124*(1-iDelta*1)</f>
        <v>28.870799999999999</v>
      </c>
      <c r="I124" s="61">
        <f>E124*(1+iDelta*1)</f>
        <v>30.049200000000003</v>
      </c>
      <c r="J124" s="61">
        <f>E124*(1+iDelta*2)</f>
        <v>30.638400000000001</v>
      </c>
    </row>
    <row r="125" spans="1:10" ht="30" customHeight="1" x14ac:dyDescent="0.25">
      <c r="A125" s="62" t="s">
        <v>195</v>
      </c>
      <c r="B125" s="62" t="s">
        <v>416</v>
      </c>
      <c r="C125" s="62" t="s">
        <v>415</v>
      </c>
      <c r="D125" s="61">
        <v>68.78</v>
      </c>
      <c r="E125" s="61">
        <v>69.3</v>
      </c>
      <c r="F125" s="61">
        <v>-7.5036075036075036E-3</v>
      </c>
      <c r="G125" s="371">
        <f>E125*(1-iDelta*2)</f>
        <v>66.527999999999992</v>
      </c>
      <c r="H125" s="61">
        <f>E125*(1-iDelta*1)</f>
        <v>67.914000000000001</v>
      </c>
      <c r="I125" s="61">
        <f>E125*(1+iDelta*1)</f>
        <v>70.685999999999993</v>
      </c>
      <c r="J125" s="61">
        <f>E125*(1+iDelta*2)</f>
        <v>72.072000000000003</v>
      </c>
    </row>
    <row r="126" spans="1:10" ht="30" customHeight="1" x14ac:dyDescent="0.25">
      <c r="A126" s="62" t="s">
        <v>196</v>
      </c>
      <c r="B126" s="62" t="s">
        <v>416</v>
      </c>
      <c r="C126" s="62" t="s">
        <v>415</v>
      </c>
      <c r="D126" s="61">
        <v>57.87</v>
      </c>
      <c r="E126" s="61">
        <v>57.58</v>
      </c>
      <c r="F126" s="61">
        <v>5.0364709968739145E-3</v>
      </c>
      <c r="G126" s="371">
        <f>E126*(1-iDelta*2)</f>
        <v>55.276799999999994</v>
      </c>
      <c r="H126" s="61">
        <f>E126*(1-iDelta*1)</f>
        <v>56.428399999999996</v>
      </c>
      <c r="I126" s="61">
        <f>E126*(1+iDelta*1)</f>
        <v>58.7316</v>
      </c>
      <c r="J126" s="61">
        <f>E126*(1+iDelta*2)</f>
        <v>59.883200000000002</v>
      </c>
    </row>
    <row r="127" spans="1:10" ht="30" customHeight="1" x14ac:dyDescent="0.25">
      <c r="A127" s="62" t="s">
        <v>74</v>
      </c>
      <c r="B127" s="62" t="s">
        <v>419</v>
      </c>
      <c r="C127" s="62" t="s">
        <v>415</v>
      </c>
      <c r="D127" s="61">
        <v>164.64</v>
      </c>
      <c r="E127" s="61">
        <v>168.86</v>
      </c>
      <c r="F127" s="61">
        <v>-2.499111690157527E-2</v>
      </c>
      <c r="G127" s="371">
        <f>E127*(1-iDelta*2)</f>
        <v>162.10560000000001</v>
      </c>
      <c r="H127" s="61">
        <f>E127*(1-iDelta*1)</f>
        <v>165.4828</v>
      </c>
      <c r="I127" s="61">
        <f>E127*(1+iDelta*1)</f>
        <v>172.23720000000003</v>
      </c>
      <c r="J127" s="61">
        <f>E127*(1+iDelta*2)</f>
        <v>175.61440000000002</v>
      </c>
    </row>
    <row r="128" spans="1:10" ht="30" customHeight="1" x14ac:dyDescent="0.25">
      <c r="A128" s="62" t="s">
        <v>197</v>
      </c>
      <c r="B128" s="62" t="s">
        <v>416</v>
      </c>
      <c r="C128" s="62" t="s">
        <v>415</v>
      </c>
      <c r="D128" s="61">
        <v>55.05</v>
      </c>
      <c r="E128" s="61">
        <v>54.44</v>
      </c>
      <c r="F128" s="61">
        <v>1.1204996326230713E-2</v>
      </c>
      <c r="G128" s="371">
        <f>E128*(1-iDelta*2)</f>
        <v>52.262399999999992</v>
      </c>
      <c r="H128" s="61">
        <f>E128*(1-iDelta*1)</f>
        <v>53.351199999999999</v>
      </c>
      <c r="I128" s="61">
        <f>E128*(1+iDelta*1)</f>
        <v>55.528799999999997</v>
      </c>
      <c r="J128" s="61">
        <f>E128*(1+iDelta*2)</f>
        <v>56.617600000000003</v>
      </c>
    </row>
    <row r="129" spans="1:10" ht="30" customHeight="1" x14ac:dyDescent="0.25">
      <c r="A129" s="62" t="s">
        <v>48</v>
      </c>
      <c r="B129" s="62" t="s">
        <v>416</v>
      </c>
      <c r="C129" s="62" t="s">
        <v>415</v>
      </c>
      <c r="D129" s="61">
        <v>151.77000000000001</v>
      </c>
      <c r="E129" s="61">
        <v>153.44</v>
      </c>
      <c r="F129" s="61">
        <v>-1.0883733055265903E-2</v>
      </c>
      <c r="G129" s="371">
        <f>E129*(1-iDelta*2)</f>
        <v>147.30240000000001</v>
      </c>
      <c r="H129" s="61">
        <f>E129*(1-iDelta*1)</f>
        <v>150.37119999999999</v>
      </c>
      <c r="I129" s="61">
        <f>E129*(1+iDelta*1)</f>
        <v>156.50880000000001</v>
      </c>
      <c r="J129" s="61">
        <f>E129*(1+iDelta*2)</f>
        <v>159.57759999999999</v>
      </c>
    </row>
    <row r="130" spans="1:10" ht="30" customHeight="1" x14ac:dyDescent="0.25">
      <c r="A130" s="62" t="s">
        <v>198</v>
      </c>
      <c r="B130" s="62" t="s">
        <v>416</v>
      </c>
      <c r="C130" s="62" t="s">
        <v>415</v>
      </c>
      <c r="D130" s="61">
        <v>11.4</v>
      </c>
      <c r="E130" s="61">
        <v>11.5</v>
      </c>
      <c r="F130" s="61">
        <v>-8.6956521739130436E-3</v>
      </c>
      <c r="G130" s="371">
        <f>E130*(1-iDelta*2)</f>
        <v>11.04</v>
      </c>
      <c r="H130" s="61">
        <f>E130*(1-iDelta*1)</f>
        <v>11.27</v>
      </c>
      <c r="I130" s="61">
        <f>E130*(1+iDelta*1)</f>
        <v>11.73</v>
      </c>
      <c r="J130" s="61">
        <f>E130*(1+iDelta*2)</f>
        <v>11.96</v>
      </c>
    </row>
    <row r="131" spans="1:10" ht="30" customHeight="1" x14ac:dyDescent="0.25">
      <c r="A131" s="62" t="s">
        <v>199</v>
      </c>
      <c r="B131" s="62" t="s">
        <v>416</v>
      </c>
      <c r="C131" s="62" t="s">
        <v>415</v>
      </c>
      <c r="D131" s="61">
        <v>10.09</v>
      </c>
      <c r="E131" s="61">
        <v>10.07</v>
      </c>
      <c r="F131" s="61">
        <v>1.9860973187686196E-3</v>
      </c>
      <c r="G131" s="371">
        <f>E131*(1-iDelta*2)</f>
        <v>9.6671999999999993</v>
      </c>
      <c r="H131" s="61">
        <f>E131*(1-iDelta*1)</f>
        <v>9.8686000000000007</v>
      </c>
      <c r="I131" s="61">
        <f>E131*(1+iDelta*1)</f>
        <v>10.2714</v>
      </c>
      <c r="J131" s="61">
        <f>E131*(1+iDelta*2)</f>
        <v>10.472800000000001</v>
      </c>
    </row>
    <row r="132" spans="1:10" ht="30" customHeight="1" x14ac:dyDescent="0.25">
      <c r="A132" s="62" t="s">
        <v>200</v>
      </c>
      <c r="B132" s="62" t="s">
        <v>416</v>
      </c>
      <c r="C132" s="62" t="s">
        <v>415</v>
      </c>
      <c r="D132" s="61">
        <v>14.9</v>
      </c>
      <c r="E132" s="61">
        <v>15.14</v>
      </c>
      <c r="F132" s="61">
        <v>-1.5852047556142668E-2</v>
      </c>
      <c r="G132" s="371">
        <f>E132*(1-iDelta*2)</f>
        <v>14.5344</v>
      </c>
      <c r="H132" s="61">
        <f>E132*(1-iDelta*1)</f>
        <v>14.837200000000001</v>
      </c>
      <c r="I132" s="61">
        <f>E132*(1+iDelta*1)</f>
        <v>15.4428</v>
      </c>
      <c r="J132" s="61">
        <f>E132*(1+iDelta*2)</f>
        <v>15.745600000000001</v>
      </c>
    </row>
    <row r="133" spans="1:10" ht="30" customHeight="1" x14ac:dyDescent="0.25">
      <c r="A133" s="62" t="s">
        <v>201</v>
      </c>
      <c r="B133" s="62" t="s">
        <v>416</v>
      </c>
      <c r="C133" s="62" t="s">
        <v>415</v>
      </c>
      <c r="D133" s="61">
        <v>18.149999999999999</v>
      </c>
      <c r="E133" s="61">
        <v>17.940000000000001</v>
      </c>
      <c r="F133" s="61">
        <v>1.1705685618729096E-2</v>
      </c>
      <c r="G133" s="371">
        <f>E133*(1-iDelta*2)</f>
        <v>17.2224</v>
      </c>
      <c r="H133" s="61">
        <f>E133*(1-iDelta*1)</f>
        <v>17.581200000000003</v>
      </c>
      <c r="I133" s="61">
        <f>E133*(1+iDelta*1)</f>
        <v>18.2988</v>
      </c>
      <c r="J133" s="61">
        <f>E133*(1+iDelta*2)</f>
        <v>18.657600000000002</v>
      </c>
    </row>
    <row r="134" spans="1:10" ht="30" customHeight="1" x14ac:dyDescent="0.25">
      <c r="A134" s="62" t="s">
        <v>202</v>
      </c>
      <c r="B134" s="62" t="s">
        <v>416</v>
      </c>
      <c r="C134" s="62" t="s">
        <v>415</v>
      </c>
      <c r="D134" s="61">
        <v>40.409999999999997</v>
      </c>
      <c r="E134" s="61">
        <v>40.92</v>
      </c>
      <c r="F134" s="61">
        <v>-1.2463343108504398E-2</v>
      </c>
      <c r="G134" s="371">
        <f>E134*(1-iDelta*2)</f>
        <v>39.283200000000001</v>
      </c>
      <c r="H134" s="61">
        <f>E134*(1-iDelta*1)</f>
        <v>40.101599999999998</v>
      </c>
      <c r="I134" s="61">
        <f>E134*(1+iDelta*1)</f>
        <v>41.738400000000006</v>
      </c>
      <c r="J134" s="61">
        <f>E134*(1+iDelta*2)</f>
        <v>42.556800000000003</v>
      </c>
    </row>
    <row r="135" spans="1:10" ht="30" customHeight="1" x14ac:dyDescent="0.25">
      <c r="A135" s="62" t="s">
        <v>203</v>
      </c>
      <c r="B135" s="62" t="s">
        <v>416</v>
      </c>
      <c r="C135" s="62" t="s">
        <v>415</v>
      </c>
      <c r="D135" s="61">
        <v>22.5</v>
      </c>
      <c r="E135" s="61">
        <v>22.51</v>
      </c>
      <c r="F135" s="61">
        <v>-4.4424700133274098E-4</v>
      </c>
      <c r="G135" s="371">
        <f>E135*(1-iDelta*2)</f>
        <v>21.6096</v>
      </c>
      <c r="H135" s="61">
        <f>E135*(1-iDelta*1)</f>
        <v>22.059800000000003</v>
      </c>
      <c r="I135" s="61">
        <f>E135*(1+iDelta*1)</f>
        <v>22.9602</v>
      </c>
      <c r="J135" s="61">
        <f>E135*(1+iDelta*2)</f>
        <v>23.410400000000003</v>
      </c>
    </row>
    <row r="136" spans="1:10" ht="30" customHeight="1" x14ac:dyDescent="0.25">
      <c r="A136" s="62" t="s">
        <v>204</v>
      </c>
      <c r="B136" s="62" t="s">
        <v>416</v>
      </c>
      <c r="C136" s="62" t="s">
        <v>415</v>
      </c>
      <c r="D136" s="61">
        <v>115.69</v>
      </c>
      <c r="E136" s="61">
        <v>116.41</v>
      </c>
      <c r="F136" s="61">
        <v>-6.1850356498582594E-3</v>
      </c>
      <c r="G136" s="371">
        <f>E136*(1-iDelta*2)</f>
        <v>111.75359999999999</v>
      </c>
      <c r="H136" s="61">
        <f>E136*(1-iDelta*1)</f>
        <v>114.0818</v>
      </c>
      <c r="I136" s="61">
        <f>E136*(1+iDelta*1)</f>
        <v>118.73819999999999</v>
      </c>
      <c r="J136" s="61">
        <f>E136*(1+iDelta*2)</f>
        <v>121.0664</v>
      </c>
    </row>
    <row r="137" spans="1:10" ht="30" customHeight="1" x14ac:dyDescent="0.25">
      <c r="A137" s="62" t="s">
        <v>59</v>
      </c>
      <c r="B137" s="62" t="s">
        <v>416</v>
      </c>
      <c r="C137" s="62" t="s">
        <v>418</v>
      </c>
      <c r="D137" s="61">
        <v>0.68</v>
      </c>
      <c r="E137" s="61">
        <v>0.69</v>
      </c>
      <c r="F137" s="61">
        <v>-1.4492753623188406E-2</v>
      </c>
      <c r="G137" s="371">
        <f>E137*(1-iDelta*2)</f>
        <v>0.66239999999999988</v>
      </c>
      <c r="H137" s="61">
        <f>E137*(1-iDelta*1)</f>
        <v>0.67619999999999991</v>
      </c>
      <c r="I137" s="61">
        <f>E137*(1+iDelta*1)</f>
        <v>0.70379999999999998</v>
      </c>
      <c r="J137" s="61">
        <f>E137*(1+iDelta*2)</f>
        <v>0.71760000000000002</v>
      </c>
    </row>
    <row r="138" spans="1:10" ht="30" customHeight="1" x14ac:dyDescent="0.25">
      <c r="A138" s="62" t="s">
        <v>205</v>
      </c>
      <c r="B138" s="62" t="s">
        <v>416</v>
      </c>
      <c r="C138" s="62" t="s">
        <v>415</v>
      </c>
      <c r="D138" s="61">
        <v>19.84</v>
      </c>
      <c r="E138" s="61">
        <v>19.510000000000002</v>
      </c>
      <c r="F138" s="61">
        <v>1.6914402870322913E-2</v>
      </c>
      <c r="G138" s="371">
        <f>E138*(1-iDelta*2)</f>
        <v>18.729600000000001</v>
      </c>
      <c r="H138" s="61">
        <f>E138*(1-iDelta*1)</f>
        <v>19.119800000000001</v>
      </c>
      <c r="I138" s="61">
        <f>E138*(1+iDelta*1)</f>
        <v>19.900200000000002</v>
      </c>
      <c r="J138" s="61">
        <f>E138*(1+iDelta*2)</f>
        <v>20.290400000000002</v>
      </c>
    </row>
    <row r="139" spans="1:10" ht="30" customHeight="1" x14ac:dyDescent="0.25">
      <c r="A139" s="62" t="s">
        <v>206</v>
      </c>
      <c r="B139" s="62" t="s">
        <v>416</v>
      </c>
      <c r="C139" s="62" t="s">
        <v>415</v>
      </c>
      <c r="D139" s="61">
        <v>18.920000000000002</v>
      </c>
      <c r="E139" s="61">
        <v>19</v>
      </c>
      <c r="F139" s="61">
        <v>-4.2105263157894736E-3</v>
      </c>
      <c r="G139" s="371">
        <f>E139*(1-iDelta*2)</f>
        <v>18.239999999999998</v>
      </c>
      <c r="H139" s="61">
        <f>E139*(1-iDelta*1)</f>
        <v>18.62</v>
      </c>
      <c r="I139" s="61">
        <f>E139*(1+iDelta*1)</f>
        <v>19.38</v>
      </c>
      <c r="J139" s="61">
        <f>E139*(1+iDelta*2)</f>
        <v>19.760000000000002</v>
      </c>
    </row>
    <row r="140" spans="1:10" ht="30" customHeight="1" x14ac:dyDescent="0.25">
      <c r="A140" s="62" t="s">
        <v>207</v>
      </c>
      <c r="B140" s="62" t="s">
        <v>416</v>
      </c>
      <c r="C140" s="62" t="s">
        <v>415</v>
      </c>
      <c r="D140" s="61">
        <v>33.590000000000003</v>
      </c>
      <c r="E140" s="61">
        <v>32.56</v>
      </c>
      <c r="F140" s="61">
        <v>3.1633906633906632E-2</v>
      </c>
      <c r="G140" s="371">
        <f>E140*(1-iDelta*2)</f>
        <v>31.2576</v>
      </c>
      <c r="H140" s="61">
        <f>E140*(1-iDelta*1)</f>
        <v>31.908800000000003</v>
      </c>
      <c r="I140" s="61">
        <f>E140*(1+iDelta*1)</f>
        <v>33.211200000000005</v>
      </c>
      <c r="J140" s="61">
        <f>E140*(1+iDelta*2)</f>
        <v>33.862400000000001</v>
      </c>
    </row>
    <row r="141" spans="1:10" ht="30" customHeight="1" x14ac:dyDescent="0.25">
      <c r="A141" s="62" t="s">
        <v>60</v>
      </c>
      <c r="B141" s="62" t="s">
        <v>419</v>
      </c>
      <c r="C141" s="62" t="s">
        <v>418</v>
      </c>
      <c r="D141" s="61">
        <v>29.39</v>
      </c>
      <c r="E141" s="61">
        <v>30.22</v>
      </c>
      <c r="F141" s="61">
        <v>-2.7465254798146922E-2</v>
      </c>
      <c r="G141" s="371">
        <f>E141*(1-iDelta*2)</f>
        <v>29.011199999999999</v>
      </c>
      <c r="H141" s="61">
        <f>E141*(1-iDelta*1)</f>
        <v>29.615599999999997</v>
      </c>
      <c r="I141" s="61">
        <f>E141*(1+iDelta*1)</f>
        <v>30.824400000000001</v>
      </c>
      <c r="J141" s="61">
        <f>E141*(1+iDelta*2)</f>
        <v>31.428799999999999</v>
      </c>
    </row>
    <row r="142" spans="1:10" ht="30" customHeight="1" x14ac:dyDescent="0.25">
      <c r="A142" s="62" t="s">
        <v>208</v>
      </c>
      <c r="B142" s="62" t="s">
        <v>416</v>
      </c>
      <c r="C142" s="62" t="s">
        <v>415</v>
      </c>
      <c r="D142" s="61">
        <v>29.02</v>
      </c>
      <c r="E142" s="61">
        <v>29.4</v>
      </c>
      <c r="F142" s="61">
        <v>-1.292517006802721E-2</v>
      </c>
      <c r="G142" s="371">
        <f>E142*(1-iDelta*2)</f>
        <v>28.223999999999997</v>
      </c>
      <c r="H142" s="61">
        <f>E142*(1-iDelta*1)</f>
        <v>28.811999999999998</v>
      </c>
      <c r="I142" s="61">
        <f>E142*(1+iDelta*1)</f>
        <v>29.988</v>
      </c>
      <c r="J142" s="61">
        <f>E142*(1+iDelta*2)</f>
        <v>30.576000000000001</v>
      </c>
    </row>
    <row r="143" spans="1:10" ht="30" customHeight="1" x14ac:dyDescent="0.25">
      <c r="A143" s="62" t="s">
        <v>209</v>
      </c>
      <c r="B143" s="62" t="s">
        <v>416</v>
      </c>
      <c r="C143" s="62" t="s">
        <v>415</v>
      </c>
      <c r="D143" s="61">
        <v>33.69</v>
      </c>
      <c r="E143" s="61">
        <v>33.229999999999997</v>
      </c>
      <c r="F143" s="61">
        <v>1.3842913030394222E-2</v>
      </c>
      <c r="G143" s="371">
        <f>E143*(1-iDelta*2)</f>
        <v>31.900799999999997</v>
      </c>
      <c r="H143" s="61">
        <f>E143*(1-iDelta*1)</f>
        <v>32.565399999999997</v>
      </c>
      <c r="I143" s="61">
        <f>E143*(1+iDelta*1)</f>
        <v>33.894599999999997</v>
      </c>
      <c r="J143" s="61">
        <f>E143*(1+iDelta*2)</f>
        <v>34.559199999999997</v>
      </c>
    </row>
    <row r="144" spans="1:10" ht="30" customHeight="1" x14ac:dyDescent="0.25">
      <c r="A144" s="62" t="s">
        <v>210</v>
      </c>
      <c r="B144" s="62" t="s">
        <v>477</v>
      </c>
      <c r="C144" s="62" t="s">
        <v>477</v>
      </c>
      <c r="D144" s="61">
        <v>-1</v>
      </c>
      <c r="E144" s="61">
        <v>-1</v>
      </c>
      <c r="F144" s="61">
        <v>-1</v>
      </c>
      <c r="G144" s="371">
        <f>E144*(1-iDelta*2)</f>
        <v>-0.96</v>
      </c>
      <c r="H144" s="61">
        <f>E144*(1-iDelta*1)</f>
        <v>-0.98</v>
      </c>
      <c r="I144" s="61">
        <f>E144*(1+iDelta*1)</f>
        <v>-1.02</v>
      </c>
      <c r="J144" s="61">
        <f>E144*(1+iDelta*2)</f>
        <v>-1.04</v>
      </c>
    </row>
    <row r="145" spans="1:10" ht="30" customHeight="1" x14ac:dyDescent="0.25">
      <c r="A145" s="62" t="s">
        <v>211</v>
      </c>
      <c r="B145" s="62" t="s">
        <v>416</v>
      </c>
      <c r="C145" s="62" t="s">
        <v>415</v>
      </c>
      <c r="D145" s="61">
        <v>29.32</v>
      </c>
      <c r="E145" s="61">
        <v>29.23</v>
      </c>
      <c r="F145" s="61">
        <v>3.0790283954840918E-3</v>
      </c>
      <c r="G145" s="371">
        <f>E145*(1-iDelta*2)</f>
        <v>28.0608</v>
      </c>
      <c r="H145" s="61">
        <f>E145*(1-iDelta*1)</f>
        <v>28.645399999999999</v>
      </c>
      <c r="I145" s="61">
        <f>E145*(1+iDelta*1)</f>
        <v>29.814600000000002</v>
      </c>
      <c r="J145" s="61">
        <f>E145*(1+iDelta*2)</f>
        <v>30.3992</v>
      </c>
    </row>
    <row r="146" spans="1:10" ht="30" customHeight="1" x14ac:dyDescent="0.25">
      <c r="A146" s="62" t="s">
        <v>54</v>
      </c>
      <c r="B146" s="62" t="s">
        <v>419</v>
      </c>
      <c r="C146" s="62" t="s">
        <v>418</v>
      </c>
      <c r="D146" s="61">
        <v>7.49</v>
      </c>
      <c r="E146" s="61">
        <v>7.51</v>
      </c>
      <c r="F146" s="61">
        <v>-2.6631158455392811E-3</v>
      </c>
      <c r="G146" s="371">
        <f>E146*(1-iDelta*2)</f>
        <v>7.2095999999999991</v>
      </c>
      <c r="H146" s="61">
        <f>E146*(1-iDelta*1)</f>
        <v>7.3597999999999999</v>
      </c>
      <c r="I146" s="61">
        <f>E146*(1+iDelta*1)</f>
        <v>7.6601999999999997</v>
      </c>
      <c r="J146" s="61">
        <f>E146*(1+iDelta*2)</f>
        <v>7.8104000000000005</v>
      </c>
    </row>
    <row r="147" spans="1:10" ht="30" customHeight="1" x14ac:dyDescent="0.25">
      <c r="A147" s="62" t="s">
        <v>398</v>
      </c>
      <c r="B147" s="62" t="s">
        <v>419</v>
      </c>
      <c r="C147" s="62" t="s">
        <v>418</v>
      </c>
      <c r="D147" s="61">
        <v>18.664999999999999</v>
      </c>
      <c r="E147" s="61">
        <v>18.62</v>
      </c>
      <c r="F147" s="61">
        <v>2.4167561761546724E-3</v>
      </c>
      <c r="G147" s="371">
        <f>E147*(1-iDelta*2)</f>
        <v>17.8752</v>
      </c>
      <c r="H147" s="61">
        <f>E147*(1-iDelta*1)</f>
        <v>18.247600000000002</v>
      </c>
      <c r="I147" s="61">
        <f>E147*(1+iDelta*1)</f>
        <v>18.9924</v>
      </c>
      <c r="J147" s="61">
        <f>E147*(1+iDelta*2)</f>
        <v>19.364800000000002</v>
      </c>
    </row>
    <row r="148" spans="1:10" ht="30" customHeight="1" x14ac:dyDescent="0.25">
      <c r="A148" s="62" t="s">
        <v>407</v>
      </c>
      <c r="B148" s="62" t="s">
        <v>477</v>
      </c>
      <c r="C148" s="62" t="s">
        <v>477</v>
      </c>
      <c r="D148" s="61">
        <v>-1</v>
      </c>
      <c r="E148" s="61">
        <v>-1</v>
      </c>
      <c r="F148" s="61">
        <v>-1</v>
      </c>
      <c r="G148" s="371">
        <f>E148*(1-iDelta*2)</f>
        <v>-0.96</v>
      </c>
      <c r="H148" s="61">
        <f>E148*(1-iDelta*1)</f>
        <v>-0.98</v>
      </c>
      <c r="I148" s="61">
        <f>E148*(1+iDelta*1)</f>
        <v>-1.02</v>
      </c>
      <c r="J148" s="61">
        <f>E148*(1+iDelta*2)</f>
        <v>-1.04</v>
      </c>
    </row>
    <row r="149" spans="1:10" ht="30" customHeight="1" x14ac:dyDescent="0.25">
      <c r="A149" s="62" t="s">
        <v>213</v>
      </c>
      <c r="B149" s="62" t="s">
        <v>416</v>
      </c>
      <c r="C149" s="62" t="s">
        <v>415</v>
      </c>
      <c r="D149" s="61">
        <v>25.72</v>
      </c>
      <c r="E149" s="61">
        <v>25.29</v>
      </c>
      <c r="F149" s="61">
        <v>1.7002767892447607E-2</v>
      </c>
      <c r="G149" s="371">
        <f>E149*(1-iDelta*2)</f>
        <v>24.278399999999998</v>
      </c>
      <c r="H149" s="61">
        <f>E149*(1-iDelta*1)</f>
        <v>24.784199999999998</v>
      </c>
      <c r="I149" s="61">
        <f>E149*(1+iDelta*1)</f>
        <v>25.7958</v>
      </c>
      <c r="J149" s="61">
        <f>E149*(1+iDelta*2)</f>
        <v>26.301600000000001</v>
      </c>
    </row>
    <row r="150" spans="1:10" ht="30" customHeight="1" x14ac:dyDescent="0.25">
      <c r="A150" s="62" t="s">
        <v>75</v>
      </c>
      <c r="B150" s="62" t="s">
        <v>419</v>
      </c>
      <c r="C150" s="62" t="s">
        <v>415</v>
      </c>
      <c r="D150" s="61">
        <v>33.520000000000003</v>
      </c>
      <c r="E150" s="61">
        <v>34.35</v>
      </c>
      <c r="F150" s="61">
        <v>-2.4163027656477438E-2</v>
      </c>
      <c r="G150" s="371">
        <f>E150*(1-iDelta*2)</f>
        <v>32.975999999999999</v>
      </c>
      <c r="H150" s="61">
        <f>E150*(1-iDelta*1)</f>
        <v>33.663000000000004</v>
      </c>
      <c r="I150" s="61">
        <f>E150*(1+iDelta*1)</f>
        <v>35.036999999999999</v>
      </c>
      <c r="J150" s="61">
        <f>E150*(1+iDelta*2)</f>
        <v>35.724000000000004</v>
      </c>
    </row>
    <row r="151" spans="1:10" ht="30" customHeight="1" x14ac:dyDescent="0.25">
      <c r="A151" s="62" t="s">
        <v>214</v>
      </c>
      <c r="B151" s="62" t="s">
        <v>416</v>
      </c>
      <c r="C151" s="62" t="s">
        <v>415</v>
      </c>
      <c r="D151" s="61">
        <v>16.62</v>
      </c>
      <c r="E151" s="61">
        <v>16.87</v>
      </c>
      <c r="F151" s="61">
        <v>-1.4819205690574985E-2</v>
      </c>
      <c r="G151" s="371">
        <f>E151*(1-iDelta*2)</f>
        <v>16.1952</v>
      </c>
      <c r="H151" s="61">
        <f>E151*(1-iDelta*1)</f>
        <v>16.532600000000002</v>
      </c>
      <c r="I151" s="61">
        <f>E151*(1+iDelta*1)</f>
        <v>17.2074</v>
      </c>
      <c r="J151" s="61">
        <f>E151*(1+iDelta*2)</f>
        <v>17.544800000000002</v>
      </c>
    </row>
    <row r="152" spans="1:10" ht="30" customHeight="1" x14ac:dyDescent="0.25">
      <c r="A152" s="62" t="s">
        <v>215</v>
      </c>
      <c r="B152" s="62" t="s">
        <v>416</v>
      </c>
      <c r="C152" s="62" t="s">
        <v>415</v>
      </c>
      <c r="D152" s="61">
        <v>151.06</v>
      </c>
      <c r="E152" s="61">
        <v>148.08000000000001</v>
      </c>
      <c r="F152" s="61">
        <v>2.0124257158292816E-2</v>
      </c>
      <c r="G152" s="371">
        <f>E152*(1-iDelta*2)</f>
        <v>142.1568</v>
      </c>
      <c r="H152" s="61">
        <f>E152*(1-iDelta*1)</f>
        <v>145.11840000000001</v>
      </c>
      <c r="I152" s="61">
        <f>E152*(1+iDelta*1)</f>
        <v>151.04160000000002</v>
      </c>
      <c r="J152" s="61">
        <f>E152*(1+iDelta*2)</f>
        <v>154.00320000000002</v>
      </c>
    </row>
    <row r="153" spans="1:10" ht="30" customHeight="1" x14ac:dyDescent="0.25">
      <c r="A153" s="62" t="s">
        <v>61</v>
      </c>
      <c r="B153" s="62" t="s">
        <v>419</v>
      </c>
      <c r="C153" s="62" t="s">
        <v>415</v>
      </c>
      <c r="D153" s="61">
        <v>111.49</v>
      </c>
      <c r="E153" s="61">
        <v>110.14</v>
      </c>
      <c r="F153" s="61">
        <v>1.225712729253677E-2</v>
      </c>
      <c r="G153" s="371">
        <f>E153*(1-iDelta*2)</f>
        <v>105.73439999999999</v>
      </c>
      <c r="H153" s="61">
        <f>E153*(1-iDelta*1)</f>
        <v>107.9372</v>
      </c>
      <c r="I153" s="61">
        <f>E153*(1+iDelta*1)</f>
        <v>112.3428</v>
      </c>
      <c r="J153" s="61">
        <f>E153*(1+iDelta*2)</f>
        <v>114.54560000000001</v>
      </c>
    </row>
    <row r="154" spans="1:10" ht="30" customHeight="1" x14ac:dyDescent="0.25">
      <c r="A154" s="62" t="s">
        <v>216</v>
      </c>
      <c r="B154" s="62" t="s">
        <v>416</v>
      </c>
      <c r="C154" s="62" t="s">
        <v>415</v>
      </c>
      <c r="D154" s="61">
        <v>497.24</v>
      </c>
      <c r="E154" s="61">
        <v>515.67999999999995</v>
      </c>
      <c r="F154" s="61">
        <v>-3.57586099906919E-2</v>
      </c>
      <c r="G154" s="371">
        <f>E154*(1-iDelta*2)</f>
        <v>495.05279999999993</v>
      </c>
      <c r="H154" s="61">
        <f>E154*(1-iDelta*1)</f>
        <v>505.36639999999994</v>
      </c>
      <c r="I154" s="61">
        <f>E154*(1+iDelta*1)</f>
        <v>525.99360000000001</v>
      </c>
      <c r="J154" s="61">
        <f>E154*(1+iDelta*2)</f>
        <v>536.30719999999997</v>
      </c>
    </row>
    <row r="155" spans="1:10" ht="30" customHeight="1" x14ac:dyDescent="0.25">
      <c r="A155" s="62" t="s">
        <v>217</v>
      </c>
      <c r="B155" s="62" t="s">
        <v>416</v>
      </c>
      <c r="C155" s="62" t="s">
        <v>415</v>
      </c>
      <c r="D155" s="61">
        <v>21.835999999999999</v>
      </c>
      <c r="E155" s="61">
        <v>21.84</v>
      </c>
      <c r="F155" s="61">
        <v>-1.8315018315018315E-4</v>
      </c>
      <c r="G155" s="371">
        <f>E155*(1-iDelta*2)</f>
        <v>20.9664</v>
      </c>
      <c r="H155" s="61">
        <f>E155*(1-iDelta*1)</f>
        <v>21.403199999999998</v>
      </c>
      <c r="I155" s="61">
        <f>E155*(1+iDelta*1)</f>
        <v>22.276800000000001</v>
      </c>
      <c r="J155" s="61">
        <f>E155*(1+iDelta*2)</f>
        <v>22.7136</v>
      </c>
    </row>
    <row r="156" spans="1:10" ht="30" customHeight="1" x14ac:dyDescent="0.25">
      <c r="A156" s="62" t="s">
        <v>218</v>
      </c>
      <c r="B156" s="62" t="s">
        <v>416</v>
      </c>
      <c r="C156" s="62" t="s">
        <v>415</v>
      </c>
      <c r="D156" s="61">
        <v>13.58</v>
      </c>
      <c r="E156" s="61">
        <v>13.15</v>
      </c>
      <c r="F156" s="61">
        <v>3.2699619771863121E-2</v>
      </c>
      <c r="G156" s="371">
        <f>E156*(1-iDelta*2)</f>
        <v>12.624000000000001</v>
      </c>
      <c r="H156" s="61">
        <f>E156*(1-iDelta*1)</f>
        <v>12.887</v>
      </c>
      <c r="I156" s="61">
        <f>E156*(1+iDelta*1)</f>
        <v>13.413</v>
      </c>
      <c r="J156" s="61">
        <f>E156*(1+iDelta*2)</f>
        <v>13.676</v>
      </c>
    </row>
    <row r="157" spans="1:10" ht="30" customHeight="1" x14ac:dyDescent="0.25">
      <c r="A157" s="62" t="s">
        <v>219</v>
      </c>
      <c r="B157" s="62" t="s">
        <v>416</v>
      </c>
      <c r="C157" s="62" t="s">
        <v>415</v>
      </c>
      <c r="D157" s="61">
        <v>86.1</v>
      </c>
      <c r="E157" s="61">
        <v>84.69</v>
      </c>
      <c r="F157" s="61">
        <v>1.6648955012398159E-2</v>
      </c>
      <c r="G157" s="371">
        <f>E157*(1-iDelta*2)</f>
        <v>81.302399999999992</v>
      </c>
      <c r="H157" s="61">
        <f>E157*(1-iDelta*1)</f>
        <v>82.996200000000002</v>
      </c>
      <c r="I157" s="61">
        <f>E157*(1+iDelta*1)</f>
        <v>86.383799999999994</v>
      </c>
      <c r="J157" s="61">
        <f>E157*(1+iDelta*2)</f>
        <v>88.077600000000004</v>
      </c>
    </row>
    <row r="158" spans="1:10" ht="30" customHeight="1" x14ac:dyDescent="0.25">
      <c r="A158" s="62" t="s">
        <v>62</v>
      </c>
      <c r="B158" s="62" t="s">
        <v>416</v>
      </c>
      <c r="C158" s="62" t="s">
        <v>418</v>
      </c>
      <c r="D158" s="61">
        <v>0.185</v>
      </c>
      <c r="E158" s="61">
        <v>0.19500000000000001</v>
      </c>
      <c r="F158" s="61">
        <v>-5.128205128205128E-2</v>
      </c>
      <c r="G158" s="371">
        <f>E158*(1-iDelta*2)</f>
        <v>0.18720000000000001</v>
      </c>
      <c r="H158" s="61">
        <f>E158*(1-iDelta*1)</f>
        <v>0.19109999999999999</v>
      </c>
      <c r="I158" s="61">
        <f>E158*(1+iDelta*1)</f>
        <v>0.19890000000000002</v>
      </c>
      <c r="J158" s="61">
        <f>E158*(1+iDelta*2)</f>
        <v>0.20280000000000001</v>
      </c>
    </row>
    <row r="159" spans="1:10" ht="30" customHeight="1" x14ac:dyDescent="0.25">
      <c r="A159" s="62" t="s">
        <v>220</v>
      </c>
      <c r="B159" s="62" t="s">
        <v>416</v>
      </c>
      <c r="C159" s="62" t="s">
        <v>415</v>
      </c>
      <c r="D159" s="61">
        <v>95.24</v>
      </c>
      <c r="E159" s="61">
        <v>93.54</v>
      </c>
      <c r="F159" s="61">
        <v>1.817404319007911E-2</v>
      </c>
      <c r="G159" s="371">
        <f>E159*(1-iDelta*2)</f>
        <v>89.798400000000001</v>
      </c>
      <c r="H159" s="61">
        <f>E159*(1-iDelta*1)</f>
        <v>91.669200000000004</v>
      </c>
      <c r="I159" s="61">
        <f>E159*(1+iDelta*1)</f>
        <v>95.410800000000009</v>
      </c>
      <c r="J159" s="61">
        <f>E159*(1+iDelta*2)</f>
        <v>97.281600000000012</v>
      </c>
    </row>
    <row r="160" spans="1:10" ht="30" customHeight="1" x14ac:dyDescent="0.25">
      <c r="A160" s="62" t="s">
        <v>76</v>
      </c>
      <c r="B160" s="62" t="s">
        <v>419</v>
      </c>
      <c r="C160" s="62" t="s">
        <v>415</v>
      </c>
      <c r="D160" s="61">
        <v>101.48</v>
      </c>
      <c r="E160" s="61">
        <v>101.36</v>
      </c>
      <c r="F160" s="61">
        <v>1.1838989739542225E-3</v>
      </c>
      <c r="G160" s="371">
        <f>E160*(1-iDelta*2)</f>
        <v>97.305599999999998</v>
      </c>
      <c r="H160" s="61">
        <f>E160*(1-iDelta*1)</f>
        <v>99.332799999999992</v>
      </c>
      <c r="I160" s="61">
        <f>E160*(1+iDelta*1)</f>
        <v>103.38720000000001</v>
      </c>
      <c r="J160" s="61">
        <f>E160*(1+iDelta*2)</f>
        <v>105.4144</v>
      </c>
    </row>
    <row r="161" spans="1:10" ht="30" customHeight="1" x14ac:dyDescent="0.25">
      <c r="A161" s="62" t="s">
        <v>221</v>
      </c>
      <c r="B161" s="62" t="s">
        <v>416</v>
      </c>
      <c r="C161" s="62" t="s">
        <v>415</v>
      </c>
      <c r="D161" s="61">
        <v>8.8000000000000007</v>
      </c>
      <c r="E161" s="61">
        <v>7.98</v>
      </c>
      <c r="F161" s="61">
        <v>0.10275689223057644</v>
      </c>
      <c r="G161" s="371">
        <f>E161*(1-iDelta*2)</f>
        <v>7.6608000000000001</v>
      </c>
      <c r="H161" s="61">
        <f>E161*(1-iDelta*1)</f>
        <v>7.8204000000000002</v>
      </c>
      <c r="I161" s="61">
        <f>E161*(1+iDelta*1)</f>
        <v>8.1395999999999997</v>
      </c>
      <c r="J161" s="61">
        <f>E161*(1+iDelta*2)</f>
        <v>8.2992000000000008</v>
      </c>
    </row>
    <row r="162" spans="1:10" ht="30" customHeight="1" x14ac:dyDescent="0.25">
      <c r="A162" s="62" t="s">
        <v>222</v>
      </c>
      <c r="B162" s="62" t="s">
        <v>416</v>
      </c>
      <c r="C162" s="62" t="s">
        <v>415</v>
      </c>
      <c r="D162" s="61">
        <v>24.82</v>
      </c>
      <c r="E162" s="61">
        <v>24.35</v>
      </c>
      <c r="F162" s="61">
        <v>1.9301848049281315E-2</v>
      </c>
      <c r="G162" s="371">
        <f>E162*(1-iDelta*2)</f>
        <v>23.376000000000001</v>
      </c>
      <c r="H162" s="61">
        <f>E162*(1-iDelta*1)</f>
        <v>23.863</v>
      </c>
      <c r="I162" s="61">
        <f>E162*(1+iDelta*1)</f>
        <v>24.837000000000003</v>
      </c>
      <c r="J162" s="61">
        <f>E162*(1+iDelta*2)</f>
        <v>25.324000000000002</v>
      </c>
    </row>
    <row r="163" spans="1:10" ht="30" customHeight="1" x14ac:dyDescent="0.25">
      <c r="A163" s="62" t="s">
        <v>77</v>
      </c>
      <c r="B163" s="62" t="s">
        <v>419</v>
      </c>
      <c r="C163" s="62" t="s">
        <v>415</v>
      </c>
      <c r="D163" s="61">
        <v>161.63999999999999</v>
      </c>
      <c r="E163" s="61">
        <v>159.78</v>
      </c>
      <c r="F163" s="61">
        <v>1.1641006383777694E-2</v>
      </c>
      <c r="G163" s="371">
        <f>E163*(1-iDelta*2)</f>
        <v>153.3888</v>
      </c>
      <c r="H163" s="61">
        <f>E163*(1-iDelta*1)</f>
        <v>156.58439999999999</v>
      </c>
      <c r="I163" s="61">
        <f>E163*(1+iDelta*1)</f>
        <v>162.97560000000001</v>
      </c>
      <c r="J163" s="61">
        <f>E163*(1+iDelta*2)</f>
        <v>166.1712</v>
      </c>
    </row>
    <row r="164" spans="1:10" ht="30" customHeight="1" x14ac:dyDescent="0.25">
      <c r="A164" s="62" t="s">
        <v>223</v>
      </c>
      <c r="B164" s="62" t="s">
        <v>416</v>
      </c>
      <c r="C164" s="62" t="s">
        <v>415</v>
      </c>
      <c r="D164" s="61">
        <v>72.069999999999993</v>
      </c>
      <c r="E164" s="61">
        <v>71.89</v>
      </c>
      <c r="F164" s="61">
        <v>2.5038252886354154E-3</v>
      </c>
      <c r="G164" s="371">
        <f>E164*(1-iDelta*2)</f>
        <v>69.014399999999995</v>
      </c>
      <c r="H164" s="61">
        <f>E164*(1-iDelta*1)</f>
        <v>70.452200000000005</v>
      </c>
      <c r="I164" s="61">
        <f>E164*(1+iDelta*1)</f>
        <v>73.327799999999996</v>
      </c>
      <c r="J164" s="61">
        <f>E164*(1+iDelta*2)</f>
        <v>74.765600000000006</v>
      </c>
    </row>
    <row r="165" spans="1:10" ht="30" customHeight="1" x14ac:dyDescent="0.25">
      <c r="A165" s="62" t="s">
        <v>224</v>
      </c>
      <c r="B165" s="62" t="s">
        <v>416</v>
      </c>
      <c r="C165" s="62" t="s">
        <v>415</v>
      </c>
      <c r="D165" s="61">
        <v>55.18</v>
      </c>
      <c r="E165" s="61">
        <v>55.68</v>
      </c>
      <c r="F165" s="61">
        <v>-8.9798850574712638E-3</v>
      </c>
      <c r="G165" s="371">
        <f>E165*(1-iDelta*2)</f>
        <v>53.452799999999996</v>
      </c>
      <c r="H165" s="61">
        <f>E165*(1-iDelta*1)</f>
        <v>54.566400000000002</v>
      </c>
      <c r="I165" s="61">
        <f>E165*(1+iDelta*1)</f>
        <v>56.793599999999998</v>
      </c>
      <c r="J165" s="61">
        <f>E165*(1+iDelta*2)</f>
        <v>57.907200000000003</v>
      </c>
    </row>
    <row r="166" spans="1:10" ht="30" customHeight="1" x14ac:dyDescent="0.25">
      <c r="A166" s="62" t="s">
        <v>225</v>
      </c>
      <c r="B166" s="62" t="s">
        <v>416</v>
      </c>
      <c r="C166" s="62" t="s">
        <v>415</v>
      </c>
      <c r="D166" s="61">
        <v>251.74</v>
      </c>
      <c r="E166" s="61">
        <v>248.92</v>
      </c>
      <c r="F166" s="61">
        <v>1.1328941025228989E-2</v>
      </c>
      <c r="G166" s="371">
        <f>E166*(1-iDelta*2)</f>
        <v>238.96319999999997</v>
      </c>
      <c r="H166" s="61">
        <f>E166*(1-iDelta*1)</f>
        <v>243.94159999999999</v>
      </c>
      <c r="I166" s="61">
        <f>E166*(1+iDelta*1)</f>
        <v>253.89839999999998</v>
      </c>
      <c r="J166" s="61">
        <f>E166*(1+iDelta*2)</f>
        <v>258.8768</v>
      </c>
    </row>
    <row r="167" spans="1:10" ht="30" customHeight="1" x14ac:dyDescent="0.25">
      <c r="A167" s="62" t="s">
        <v>226</v>
      </c>
      <c r="B167" s="62" t="s">
        <v>416</v>
      </c>
      <c r="C167" s="62" t="s">
        <v>415</v>
      </c>
      <c r="D167" s="61">
        <v>63.22</v>
      </c>
      <c r="E167" s="61">
        <v>62.51</v>
      </c>
      <c r="F167" s="61">
        <v>1.1358182690769476E-2</v>
      </c>
      <c r="G167" s="371">
        <f>E167*(1-iDelta*2)</f>
        <v>60.009599999999999</v>
      </c>
      <c r="H167" s="61">
        <f>E167*(1-iDelta*1)</f>
        <v>61.259799999999998</v>
      </c>
      <c r="I167" s="61">
        <f>E167*(1+iDelta*1)</f>
        <v>63.760199999999998</v>
      </c>
      <c r="J167" s="61">
        <f>E167*(1+iDelta*2)</f>
        <v>65.010400000000004</v>
      </c>
    </row>
    <row r="168" spans="1:10" ht="30" customHeight="1" x14ac:dyDescent="0.25">
      <c r="A168" s="62" t="s">
        <v>227</v>
      </c>
      <c r="B168" s="62" t="s">
        <v>416</v>
      </c>
      <c r="C168" s="62" t="s">
        <v>415</v>
      </c>
      <c r="D168" s="61">
        <v>41.87</v>
      </c>
      <c r="E168" s="61">
        <v>42.14</v>
      </c>
      <c r="F168" s="61">
        <v>-6.407214048410062E-3</v>
      </c>
      <c r="G168" s="371">
        <f>E168*(1-iDelta*2)</f>
        <v>40.4544</v>
      </c>
      <c r="H168" s="61">
        <f>E168*(1-iDelta*1)</f>
        <v>41.297199999999997</v>
      </c>
      <c r="I168" s="61">
        <f>E168*(1+iDelta*1)</f>
        <v>42.982800000000005</v>
      </c>
      <c r="J168" s="61">
        <f>E168*(1+iDelta*2)</f>
        <v>43.825600000000001</v>
      </c>
    </row>
    <row r="169" spans="1:10" ht="30" customHeight="1" x14ac:dyDescent="0.25">
      <c r="A169" s="62" t="s">
        <v>228</v>
      </c>
      <c r="B169" s="62" t="s">
        <v>416</v>
      </c>
      <c r="C169" s="62" t="s">
        <v>415</v>
      </c>
      <c r="D169" s="61">
        <v>35.799999999999997</v>
      </c>
      <c r="E169" s="61">
        <v>35.965299999999999</v>
      </c>
      <c r="F169" s="61">
        <v>-4.5960967932979846E-3</v>
      </c>
      <c r="G169" s="371">
        <f>E169*(1-iDelta*2)</f>
        <v>34.526688</v>
      </c>
      <c r="H169" s="61">
        <f>E169*(1-iDelta*1)</f>
        <v>35.245993999999996</v>
      </c>
      <c r="I169" s="61">
        <f>E169*(1+iDelta*1)</f>
        <v>36.684606000000002</v>
      </c>
      <c r="J169" s="61">
        <f>E169*(1+iDelta*2)</f>
        <v>37.403911999999998</v>
      </c>
    </row>
    <row r="170" spans="1:10" ht="30" customHeight="1" x14ac:dyDescent="0.25">
      <c r="A170" s="62" t="s">
        <v>229</v>
      </c>
      <c r="B170" s="62" t="s">
        <v>416</v>
      </c>
      <c r="C170" s="62" t="s">
        <v>415</v>
      </c>
      <c r="D170" s="61">
        <v>60.86</v>
      </c>
      <c r="E170" s="61">
        <v>61.15</v>
      </c>
      <c r="F170" s="61">
        <v>-4.7424366312346687E-3</v>
      </c>
      <c r="G170" s="371">
        <f>E170*(1-iDelta*2)</f>
        <v>58.703999999999994</v>
      </c>
      <c r="H170" s="61">
        <f>E170*(1-iDelta*1)</f>
        <v>59.927</v>
      </c>
      <c r="I170" s="61">
        <f>E170*(1+iDelta*1)</f>
        <v>62.372999999999998</v>
      </c>
      <c r="J170" s="61">
        <f>E170*(1+iDelta*2)</f>
        <v>63.596000000000004</v>
      </c>
    </row>
    <row r="171" spans="1:10" ht="30" customHeight="1" x14ac:dyDescent="0.25">
      <c r="A171" s="62" t="s">
        <v>230</v>
      </c>
      <c r="B171" s="62" t="s">
        <v>416</v>
      </c>
      <c r="C171" s="62" t="s">
        <v>415</v>
      </c>
      <c r="D171" s="61">
        <v>67.83</v>
      </c>
      <c r="E171" s="61">
        <v>67.55</v>
      </c>
      <c r="F171" s="61">
        <v>4.1450777202072537E-3</v>
      </c>
      <c r="G171" s="371">
        <f>E171*(1-iDelta*2)</f>
        <v>64.847999999999999</v>
      </c>
      <c r="H171" s="61">
        <f>E171*(1-iDelta*1)</f>
        <v>66.198999999999998</v>
      </c>
      <c r="I171" s="61">
        <f>E171*(1+iDelta*1)</f>
        <v>68.900999999999996</v>
      </c>
      <c r="J171" s="61">
        <f>E171*(1+iDelta*2)</f>
        <v>70.251999999999995</v>
      </c>
    </row>
    <row r="172" spans="1:10" ht="30" customHeight="1" x14ac:dyDescent="0.25">
      <c r="A172" s="62" t="s">
        <v>231</v>
      </c>
      <c r="B172" s="62" t="s">
        <v>416</v>
      </c>
      <c r="C172" s="62" t="s">
        <v>415</v>
      </c>
      <c r="D172" s="61">
        <v>37.200000000000003</v>
      </c>
      <c r="E172" s="61">
        <v>36.94</v>
      </c>
      <c r="F172" s="61">
        <v>7.0384407146724419E-3</v>
      </c>
      <c r="G172" s="371">
        <f>E172*(1-iDelta*2)</f>
        <v>35.462399999999995</v>
      </c>
      <c r="H172" s="61">
        <f>E172*(1-iDelta*1)</f>
        <v>36.2012</v>
      </c>
      <c r="I172" s="61">
        <f>E172*(1+iDelta*1)</f>
        <v>37.678799999999995</v>
      </c>
      <c r="J172" s="61">
        <f>E172*(1+iDelta*2)</f>
        <v>38.4176</v>
      </c>
    </row>
    <row r="173" spans="1:10" ht="30" customHeight="1" x14ac:dyDescent="0.25">
      <c r="A173" s="62" t="s">
        <v>232</v>
      </c>
      <c r="B173" s="62" t="s">
        <v>416</v>
      </c>
      <c r="C173" s="62" t="s">
        <v>415</v>
      </c>
      <c r="D173" s="61">
        <v>65.75</v>
      </c>
      <c r="E173" s="61">
        <v>63.06</v>
      </c>
      <c r="F173" s="61">
        <v>4.2657786235331431E-2</v>
      </c>
      <c r="G173" s="371">
        <f>E173*(1-iDelta*2)</f>
        <v>60.537599999999998</v>
      </c>
      <c r="H173" s="61">
        <f>E173*(1-iDelta*1)</f>
        <v>61.7988</v>
      </c>
      <c r="I173" s="61">
        <f>E173*(1+iDelta*1)</f>
        <v>64.321200000000005</v>
      </c>
      <c r="J173" s="61">
        <f>E173*(1+iDelta*2)</f>
        <v>65.582400000000007</v>
      </c>
    </row>
    <row r="174" spans="1:10" ht="30" customHeight="1" x14ac:dyDescent="0.25">
      <c r="A174" s="62" t="s">
        <v>233</v>
      </c>
      <c r="B174" s="62" t="s">
        <v>416</v>
      </c>
      <c r="C174" s="62" t="s">
        <v>415</v>
      </c>
      <c r="D174" s="61">
        <v>56.64</v>
      </c>
      <c r="E174" s="61">
        <v>56.5</v>
      </c>
      <c r="F174" s="61">
        <v>2.4778761061946901E-3</v>
      </c>
      <c r="G174" s="371">
        <f>E174*(1-iDelta*2)</f>
        <v>54.239999999999995</v>
      </c>
      <c r="H174" s="61">
        <f>E174*(1-iDelta*1)</f>
        <v>55.37</v>
      </c>
      <c r="I174" s="61">
        <f>E174*(1+iDelta*1)</f>
        <v>57.63</v>
      </c>
      <c r="J174" s="61">
        <f>E174*(1+iDelta*2)</f>
        <v>58.760000000000005</v>
      </c>
    </row>
    <row r="175" spans="1:10" ht="30" customHeight="1" x14ac:dyDescent="0.25">
      <c r="A175" s="62" t="s">
        <v>373</v>
      </c>
      <c r="B175" s="62" t="s">
        <v>416</v>
      </c>
      <c r="C175" s="62" t="s">
        <v>415</v>
      </c>
      <c r="D175" s="61">
        <v>16.989999999999998</v>
      </c>
      <c r="E175" s="61">
        <v>17.5</v>
      </c>
      <c r="F175" s="61">
        <v>-2.9142857142857144E-2</v>
      </c>
      <c r="G175" s="371">
        <f>E175*(1-iDelta*2)</f>
        <v>16.8</v>
      </c>
      <c r="H175" s="61">
        <f>E175*(1-iDelta*1)</f>
        <v>17.149999999999999</v>
      </c>
      <c r="I175" s="61">
        <f>E175*(1+iDelta*1)</f>
        <v>17.850000000000001</v>
      </c>
      <c r="J175" s="61">
        <f>E175*(1+iDelta*2)</f>
        <v>18.2</v>
      </c>
    </row>
    <row r="176" spans="1:10" ht="30" customHeight="1" x14ac:dyDescent="0.25">
      <c r="A176" s="62" t="s">
        <v>234</v>
      </c>
      <c r="B176" s="62" t="s">
        <v>416</v>
      </c>
      <c r="C176" s="62" t="s">
        <v>415</v>
      </c>
      <c r="D176" s="61">
        <v>39.28</v>
      </c>
      <c r="E176" s="61">
        <v>37.97</v>
      </c>
      <c r="F176" s="61">
        <v>3.4500921780352911E-2</v>
      </c>
      <c r="G176" s="371">
        <f>E176*(1-iDelta*2)</f>
        <v>36.4512</v>
      </c>
      <c r="H176" s="61">
        <f>E176*(1-iDelta*1)</f>
        <v>37.210599999999999</v>
      </c>
      <c r="I176" s="61">
        <f>E176*(1+iDelta*1)</f>
        <v>38.729399999999998</v>
      </c>
      <c r="J176" s="61">
        <f>E176*(1+iDelta*2)</f>
        <v>39.488799999999998</v>
      </c>
    </row>
    <row r="177" spans="1:10" ht="30" customHeight="1" x14ac:dyDescent="0.25">
      <c r="A177" s="62" t="s">
        <v>235</v>
      </c>
      <c r="B177" s="62" t="s">
        <v>416</v>
      </c>
      <c r="C177" s="62" t="s">
        <v>415</v>
      </c>
      <c r="D177" s="61">
        <v>66.89</v>
      </c>
      <c r="E177" s="61">
        <v>66.34</v>
      </c>
      <c r="F177" s="61">
        <v>8.2906240578836301E-3</v>
      </c>
      <c r="G177" s="371">
        <f>E177*(1-iDelta*2)</f>
        <v>63.686399999999999</v>
      </c>
      <c r="H177" s="61">
        <f>E177*(1-iDelta*1)</f>
        <v>65.013199999999998</v>
      </c>
      <c r="I177" s="61">
        <f>E177*(1+iDelta*1)</f>
        <v>67.666800000000009</v>
      </c>
      <c r="J177" s="61">
        <f>E177*(1+iDelta*2)</f>
        <v>68.993600000000001</v>
      </c>
    </row>
    <row r="178" spans="1:10" ht="30" customHeight="1" x14ac:dyDescent="0.25">
      <c r="A178" s="62" t="s">
        <v>236</v>
      </c>
      <c r="B178" s="62" t="s">
        <v>416</v>
      </c>
      <c r="C178" s="62" t="s">
        <v>415</v>
      </c>
      <c r="D178" s="61">
        <v>52.97</v>
      </c>
      <c r="E178" s="61">
        <v>51.69</v>
      </c>
      <c r="F178" s="61">
        <v>2.4763010253433932E-2</v>
      </c>
      <c r="G178" s="371">
        <f>E178*(1-iDelta*2)</f>
        <v>49.622399999999999</v>
      </c>
      <c r="H178" s="61">
        <f>E178*(1-iDelta*1)</f>
        <v>50.656199999999998</v>
      </c>
      <c r="I178" s="61">
        <f>E178*(1+iDelta*1)</f>
        <v>52.723799999999997</v>
      </c>
      <c r="J178" s="61">
        <f>E178*(1+iDelta*2)</f>
        <v>53.757599999999996</v>
      </c>
    </row>
    <row r="179" spans="1:10" ht="30" customHeight="1" x14ac:dyDescent="0.25">
      <c r="A179" s="62" t="s">
        <v>237</v>
      </c>
      <c r="B179" s="62" t="s">
        <v>416</v>
      </c>
      <c r="C179" s="62" t="s">
        <v>415</v>
      </c>
      <c r="D179" s="61">
        <v>79.92</v>
      </c>
      <c r="E179" s="61">
        <v>80.069999999999993</v>
      </c>
      <c r="F179" s="61">
        <v>-1.8733608092918695E-3</v>
      </c>
      <c r="G179" s="371">
        <f>E179*(1-iDelta*2)</f>
        <v>76.867199999999997</v>
      </c>
      <c r="H179" s="61">
        <f>E179*(1-iDelta*1)</f>
        <v>78.468599999999995</v>
      </c>
      <c r="I179" s="61">
        <f>E179*(1+iDelta*1)</f>
        <v>81.671399999999991</v>
      </c>
      <c r="J179" s="61">
        <f>E179*(1+iDelta*2)</f>
        <v>83.272799999999989</v>
      </c>
    </row>
    <row r="180" spans="1:10" ht="30" customHeight="1" x14ac:dyDescent="0.25">
      <c r="A180" s="62" t="s">
        <v>238</v>
      </c>
      <c r="B180" s="62" t="s">
        <v>416</v>
      </c>
      <c r="C180" s="62" t="s">
        <v>415</v>
      </c>
      <c r="D180" s="61">
        <v>39.25</v>
      </c>
      <c r="E180" s="61">
        <v>38.590000000000003</v>
      </c>
      <c r="F180" s="61">
        <v>1.7102876392847889E-2</v>
      </c>
      <c r="G180" s="371">
        <f>E180*(1-iDelta*2)</f>
        <v>37.046399999999998</v>
      </c>
      <c r="H180" s="61">
        <f>E180*(1-iDelta*1)</f>
        <v>37.818200000000004</v>
      </c>
      <c r="I180" s="61">
        <f>E180*(1+iDelta*1)</f>
        <v>39.361800000000002</v>
      </c>
      <c r="J180" s="61">
        <f>E180*(1+iDelta*2)</f>
        <v>40.133600000000008</v>
      </c>
    </row>
    <row r="181" spans="1:10" ht="30" customHeight="1" x14ac:dyDescent="0.25">
      <c r="A181" s="62" t="s">
        <v>63</v>
      </c>
      <c r="B181" s="62" t="s">
        <v>416</v>
      </c>
      <c r="C181" s="62" t="s">
        <v>418</v>
      </c>
      <c r="D181" s="61">
        <v>0.28000000000000003</v>
      </c>
      <c r="E181" s="61">
        <v>0.3</v>
      </c>
      <c r="F181" s="61">
        <v>-6.6666666666666666E-2</v>
      </c>
      <c r="G181" s="371">
        <f>E181*(1-iDelta*2)</f>
        <v>0.28799999999999998</v>
      </c>
      <c r="H181" s="61">
        <f>E181*(1-iDelta*1)</f>
        <v>0.29399999999999998</v>
      </c>
      <c r="I181" s="61">
        <f>E181*(1+iDelta*1)</f>
        <v>0.30599999999999999</v>
      </c>
      <c r="J181" s="61">
        <f>E181*(1+iDelta*2)</f>
        <v>0.312</v>
      </c>
    </row>
    <row r="182" spans="1:10" ht="30" customHeight="1" x14ac:dyDescent="0.25">
      <c r="A182" s="62" t="s">
        <v>239</v>
      </c>
      <c r="B182" s="62" t="s">
        <v>416</v>
      </c>
      <c r="C182" s="62" t="s">
        <v>415</v>
      </c>
      <c r="D182" s="61">
        <v>104.05</v>
      </c>
      <c r="E182" s="61">
        <v>105.45</v>
      </c>
      <c r="F182" s="61">
        <v>-1.3276434329065908E-2</v>
      </c>
      <c r="G182" s="371">
        <f>E182*(1-iDelta*2)</f>
        <v>101.232</v>
      </c>
      <c r="H182" s="61">
        <f>E182*(1-iDelta*1)</f>
        <v>103.34099999999999</v>
      </c>
      <c r="I182" s="61">
        <f>E182*(1+iDelta*1)</f>
        <v>107.55900000000001</v>
      </c>
      <c r="J182" s="61">
        <f>E182*(1+iDelta*2)</f>
        <v>109.66800000000001</v>
      </c>
    </row>
    <row r="183" spans="1:10" ht="30" customHeight="1" x14ac:dyDescent="0.25">
      <c r="A183" s="62" t="s">
        <v>386</v>
      </c>
      <c r="B183" s="62" t="s">
        <v>417</v>
      </c>
      <c r="C183" s="62" t="s">
        <v>418</v>
      </c>
      <c r="D183" s="61">
        <v>30.015129999999999</v>
      </c>
      <c r="E183" s="61">
        <v>29.82694</v>
      </c>
      <c r="F183" s="61">
        <v>6.3093968070475886E-3</v>
      </c>
      <c r="G183" s="371">
        <f>E183*(1-iDelta*2)</f>
        <v>28.633862399999998</v>
      </c>
      <c r="H183" s="61">
        <f>E183*(1-iDelta*1)</f>
        <v>29.230401199999999</v>
      </c>
      <c r="I183" s="61">
        <f>E183*(1+iDelta*1)</f>
        <v>30.423478800000002</v>
      </c>
      <c r="J183" s="61">
        <f>E183*(1+iDelta*2)</f>
        <v>31.020017600000003</v>
      </c>
    </row>
    <row r="184" spans="1:10" ht="30" customHeight="1" x14ac:dyDescent="0.25">
      <c r="A184" s="62" t="s">
        <v>240</v>
      </c>
      <c r="B184" s="62" t="s">
        <v>416</v>
      </c>
      <c r="C184" s="62" t="s">
        <v>415</v>
      </c>
      <c r="D184" s="61">
        <v>50.83</v>
      </c>
      <c r="E184" s="61">
        <v>50.53</v>
      </c>
      <c r="F184" s="61">
        <v>5.9370670888581039E-3</v>
      </c>
      <c r="G184" s="371">
        <f>E184*(1-iDelta*2)</f>
        <v>48.508800000000001</v>
      </c>
      <c r="H184" s="61">
        <f>E184*(1-iDelta*1)</f>
        <v>49.519399999999997</v>
      </c>
      <c r="I184" s="61">
        <f>E184*(1+iDelta*1)</f>
        <v>51.540600000000005</v>
      </c>
      <c r="J184" s="61">
        <f>E184*(1+iDelta*2)</f>
        <v>52.551200000000001</v>
      </c>
    </row>
    <row r="185" spans="1:10" ht="30" customHeight="1" x14ac:dyDescent="0.25">
      <c r="A185" s="62" t="s">
        <v>241</v>
      </c>
      <c r="B185" s="62" t="s">
        <v>416</v>
      </c>
      <c r="C185" s="62" t="s">
        <v>415</v>
      </c>
      <c r="D185" s="61">
        <v>19.920000000000002</v>
      </c>
      <c r="E185" s="61">
        <v>19.87</v>
      </c>
      <c r="F185" s="61">
        <v>2.5163563160543532E-3</v>
      </c>
      <c r="G185" s="371">
        <f>E185*(1-iDelta*2)</f>
        <v>19.075199999999999</v>
      </c>
      <c r="H185" s="61">
        <f>E185*(1-iDelta*1)</f>
        <v>19.4726</v>
      </c>
      <c r="I185" s="61">
        <f>E185*(1+iDelta*1)</f>
        <v>20.267400000000002</v>
      </c>
      <c r="J185" s="61">
        <f>E185*(1+iDelta*2)</f>
        <v>20.664800000000003</v>
      </c>
    </row>
    <row r="186" spans="1:10" ht="30" customHeight="1" x14ac:dyDescent="0.25">
      <c r="A186" s="62" t="s">
        <v>387</v>
      </c>
      <c r="B186" s="62" t="s">
        <v>417</v>
      </c>
      <c r="C186" s="62" t="s">
        <v>418</v>
      </c>
      <c r="D186" s="61">
        <v>189.44570999999999</v>
      </c>
      <c r="E186" s="61">
        <v>185.51284999999999</v>
      </c>
      <c r="F186" s="61">
        <v>2.1199933050459845E-2</v>
      </c>
      <c r="G186" s="371">
        <f>E186*(1-iDelta*2)</f>
        <v>178.09233599999999</v>
      </c>
      <c r="H186" s="61">
        <f>E186*(1-iDelta*1)</f>
        <v>181.80259299999997</v>
      </c>
      <c r="I186" s="61">
        <f>E186*(1+iDelta*1)</f>
        <v>189.223107</v>
      </c>
      <c r="J186" s="61">
        <f>E186*(1+iDelta*2)</f>
        <v>192.93336399999998</v>
      </c>
    </row>
    <row r="187" spans="1:10" ht="30" customHeight="1" x14ac:dyDescent="0.25">
      <c r="A187" s="62" t="s">
        <v>242</v>
      </c>
      <c r="B187" s="62" t="s">
        <v>416</v>
      </c>
      <c r="C187" s="62" t="s">
        <v>415</v>
      </c>
      <c r="D187" s="61">
        <v>4.1100000000000003</v>
      </c>
      <c r="E187" s="61">
        <v>4.21</v>
      </c>
      <c r="F187" s="61">
        <v>-2.3752969121140142E-2</v>
      </c>
      <c r="G187" s="371">
        <f>E187*(1-iDelta*2)</f>
        <v>4.0415999999999999</v>
      </c>
      <c r="H187" s="61">
        <f>E187*(1-iDelta*1)</f>
        <v>4.1257999999999999</v>
      </c>
      <c r="I187" s="61">
        <f>E187*(1+iDelta*1)</f>
        <v>4.2942</v>
      </c>
      <c r="J187" s="61">
        <f>E187*(1+iDelta*2)</f>
        <v>4.3784000000000001</v>
      </c>
    </row>
    <row r="188" spans="1:10" ht="30" customHeight="1" x14ac:dyDescent="0.25">
      <c r="A188" s="62" t="s">
        <v>243</v>
      </c>
      <c r="B188" s="62" t="s">
        <v>416</v>
      </c>
      <c r="C188" s="62" t="s">
        <v>415</v>
      </c>
      <c r="D188" s="61">
        <v>85.41</v>
      </c>
      <c r="E188" s="61">
        <v>84.76</v>
      </c>
      <c r="F188" s="61">
        <v>7.6687116564417178E-3</v>
      </c>
      <c r="G188" s="371">
        <f>E188*(1-iDelta*2)</f>
        <v>81.369600000000005</v>
      </c>
      <c r="H188" s="61">
        <f>E188*(1-iDelta*1)</f>
        <v>83.064800000000005</v>
      </c>
      <c r="I188" s="61">
        <f>E188*(1+iDelta*1)</f>
        <v>86.455200000000005</v>
      </c>
      <c r="J188" s="61">
        <f>E188*(1+iDelta*2)</f>
        <v>88.150400000000005</v>
      </c>
    </row>
    <row r="189" spans="1:10" ht="30" customHeight="1" x14ac:dyDescent="0.25">
      <c r="A189" s="62" t="s">
        <v>244</v>
      </c>
      <c r="B189" s="62" t="s">
        <v>416</v>
      </c>
      <c r="C189" s="62" t="s">
        <v>415</v>
      </c>
      <c r="D189" s="61">
        <v>18.559999999999999</v>
      </c>
      <c r="E189" s="61">
        <v>17.47</v>
      </c>
      <c r="F189" s="61">
        <v>6.2392673153978249E-2</v>
      </c>
      <c r="G189" s="371">
        <f>E189*(1-iDelta*2)</f>
        <v>16.771199999999997</v>
      </c>
      <c r="H189" s="61">
        <f>E189*(1-iDelta*1)</f>
        <v>17.1206</v>
      </c>
      <c r="I189" s="61">
        <f>E189*(1+iDelta*1)</f>
        <v>17.819399999999998</v>
      </c>
      <c r="J189" s="61">
        <f>E189*(1+iDelta*2)</f>
        <v>18.168800000000001</v>
      </c>
    </row>
    <row r="190" spans="1:10" ht="30" customHeight="1" x14ac:dyDescent="0.25">
      <c r="A190" s="62" t="s">
        <v>245</v>
      </c>
      <c r="B190" s="62" t="s">
        <v>416</v>
      </c>
      <c r="C190" s="62" t="s">
        <v>415</v>
      </c>
      <c r="D190" s="61">
        <v>16.84</v>
      </c>
      <c r="E190" s="61">
        <v>16.61</v>
      </c>
      <c r="F190" s="61">
        <v>1.3847080072245634E-2</v>
      </c>
      <c r="G190" s="371">
        <f>E190*(1-iDelta*2)</f>
        <v>15.945599999999999</v>
      </c>
      <c r="H190" s="61">
        <f>E190*(1-iDelta*1)</f>
        <v>16.277799999999999</v>
      </c>
      <c r="I190" s="61">
        <f>E190*(1+iDelta*1)</f>
        <v>16.9422</v>
      </c>
      <c r="J190" s="61">
        <f>E190*(1+iDelta*2)</f>
        <v>17.2744</v>
      </c>
    </row>
    <row r="191" spans="1:10" ht="30" customHeight="1" x14ac:dyDescent="0.25">
      <c r="A191" s="62" t="s">
        <v>246</v>
      </c>
      <c r="B191" s="62" t="s">
        <v>416</v>
      </c>
      <c r="C191" s="62" t="s">
        <v>415</v>
      </c>
      <c r="D191" s="61">
        <v>22.02</v>
      </c>
      <c r="E191" s="61">
        <v>21.89</v>
      </c>
      <c r="F191" s="61">
        <v>5.9387848332571949E-3</v>
      </c>
      <c r="G191" s="371">
        <f>E191*(1-iDelta*2)</f>
        <v>21.014399999999998</v>
      </c>
      <c r="H191" s="61">
        <f>E191*(1-iDelta*1)</f>
        <v>21.452200000000001</v>
      </c>
      <c r="I191" s="61">
        <f>E191*(1+iDelta*1)</f>
        <v>22.3278</v>
      </c>
      <c r="J191" s="61">
        <f>E191*(1+iDelta*2)</f>
        <v>22.765600000000003</v>
      </c>
    </row>
    <row r="192" spans="1:10" ht="30" customHeight="1" x14ac:dyDescent="0.25">
      <c r="A192" s="62" t="s">
        <v>388</v>
      </c>
      <c r="B192" s="62" t="s">
        <v>417</v>
      </c>
      <c r="C192" s="62" t="s">
        <v>418</v>
      </c>
      <c r="D192" s="61">
        <v>1.4264755</v>
      </c>
      <c r="E192" s="61">
        <v>1.3529247</v>
      </c>
      <c r="F192" s="61">
        <v>5.4364296845197668E-2</v>
      </c>
      <c r="G192" s="371">
        <f>E192*(1-iDelta*2)</f>
        <v>1.2988077119999999</v>
      </c>
      <c r="H192" s="61">
        <f>E192*(1-iDelta*1)</f>
        <v>1.3258662059999999</v>
      </c>
      <c r="I192" s="61">
        <f>E192*(1+iDelta*1)</f>
        <v>1.379983194</v>
      </c>
      <c r="J192" s="61">
        <f>E192*(1+iDelta*2)</f>
        <v>1.4070416880000001</v>
      </c>
    </row>
    <row r="193" spans="1:10" ht="30" customHeight="1" x14ac:dyDescent="0.25">
      <c r="A193" s="62" t="s">
        <v>247</v>
      </c>
      <c r="B193" s="62" t="s">
        <v>416</v>
      </c>
      <c r="C193" s="62" t="s">
        <v>415</v>
      </c>
      <c r="D193" s="61">
        <v>236.26</v>
      </c>
      <c r="E193" s="61">
        <v>236.42</v>
      </c>
      <c r="F193" s="61">
        <v>-6.7676169528804665E-4</v>
      </c>
      <c r="G193" s="371">
        <f>E193*(1-iDelta*2)</f>
        <v>226.96319999999997</v>
      </c>
      <c r="H193" s="61">
        <f>E193*(1-iDelta*1)</f>
        <v>231.69159999999999</v>
      </c>
      <c r="I193" s="61">
        <f>E193*(1+iDelta*1)</f>
        <v>241.14839999999998</v>
      </c>
      <c r="J193" s="61">
        <f>E193*(1+iDelta*2)</f>
        <v>245.8768</v>
      </c>
    </row>
    <row r="194" spans="1:10" ht="30" customHeight="1" x14ac:dyDescent="0.25">
      <c r="A194" s="62" t="s">
        <v>248</v>
      </c>
      <c r="B194" s="62" t="s">
        <v>416</v>
      </c>
      <c r="C194" s="62" t="s">
        <v>415</v>
      </c>
      <c r="D194" s="61">
        <v>149.72999999999999</v>
      </c>
      <c r="E194" s="61">
        <v>149.78</v>
      </c>
      <c r="F194" s="61">
        <v>-3.3382294031245827E-4</v>
      </c>
      <c r="G194" s="371">
        <f>E194*(1-iDelta*2)</f>
        <v>143.78880000000001</v>
      </c>
      <c r="H194" s="61">
        <f>E194*(1-iDelta*1)</f>
        <v>146.78440000000001</v>
      </c>
      <c r="I194" s="61">
        <f>E194*(1+iDelta*1)</f>
        <v>152.7756</v>
      </c>
      <c r="J194" s="61">
        <f>E194*(1+iDelta*2)</f>
        <v>155.77119999999999</v>
      </c>
    </row>
    <row r="195" spans="1:10" ht="30" customHeight="1" x14ac:dyDescent="0.25">
      <c r="A195" s="62" t="s">
        <v>249</v>
      </c>
      <c r="B195" s="62" t="s">
        <v>416</v>
      </c>
      <c r="C195" s="62" t="s">
        <v>415</v>
      </c>
      <c r="D195" s="61">
        <v>199.93</v>
      </c>
      <c r="E195" s="61">
        <v>199.67</v>
      </c>
      <c r="F195" s="61">
        <v>1.3021485450994141E-3</v>
      </c>
      <c r="G195" s="371">
        <f>E195*(1-iDelta*2)</f>
        <v>191.68319999999997</v>
      </c>
      <c r="H195" s="61">
        <f>E195*(1-iDelta*1)</f>
        <v>195.67659999999998</v>
      </c>
      <c r="I195" s="61">
        <f>E195*(1+iDelta*1)</f>
        <v>203.6634</v>
      </c>
      <c r="J195" s="61">
        <f>E195*(1+iDelta*2)</f>
        <v>207.6568</v>
      </c>
    </row>
    <row r="196" spans="1:10" ht="30" customHeight="1" x14ac:dyDescent="0.25">
      <c r="A196" s="62" t="s">
        <v>250</v>
      </c>
      <c r="B196" s="62" t="s">
        <v>416</v>
      </c>
      <c r="C196" s="62" t="s">
        <v>415</v>
      </c>
      <c r="D196" s="61">
        <v>51.68</v>
      </c>
      <c r="E196" s="61">
        <v>52.03</v>
      </c>
      <c r="F196" s="61">
        <v>-6.7268883336536614E-3</v>
      </c>
      <c r="G196" s="371">
        <f>E196*(1-iDelta*2)</f>
        <v>49.948799999999999</v>
      </c>
      <c r="H196" s="61">
        <f>E196*(1-iDelta*1)</f>
        <v>50.989400000000003</v>
      </c>
      <c r="I196" s="61">
        <f>E196*(1+iDelta*1)</f>
        <v>53.070599999999999</v>
      </c>
      <c r="J196" s="61">
        <f>E196*(1+iDelta*2)</f>
        <v>54.111200000000004</v>
      </c>
    </row>
    <row r="197" spans="1:10" ht="30" customHeight="1" x14ac:dyDescent="0.25">
      <c r="A197" s="62" t="s">
        <v>251</v>
      </c>
      <c r="B197" s="62" t="s">
        <v>416</v>
      </c>
      <c r="C197" s="62" t="s">
        <v>415</v>
      </c>
      <c r="D197" s="61">
        <v>128.63999999999999</v>
      </c>
      <c r="E197" s="61">
        <v>128.02000000000001</v>
      </c>
      <c r="F197" s="61">
        <v>4.8429932822996406E-3</v>
      </c>
      <c r="G197" s="371">
        <f>E197*(1-iDelta*2)</f>
        <v>122.89920000000001</v>
      </c>
      <c r="H197" s="61">
        <f>E197*(1-iDelta*1)</f>
        <v>125.45960000000001</v>
      </c>
      <c r="I197" s="61">
        <f>E197*(1+iDelta*1)</f>
        <v>130.58040000000003</v>
      </c>
      <c r="J197" s="61">
        <f>E197*(1+iDelta*2)</f>
        <v>133.14080000000001</v>
      </c>
    </row>
    <row r="198" spans="1:10" ht="30" customHeight="1" x14ac:dyDescent="0.25">
      <c r="A198" s="62" t="s">
        <v>252</v>
      </c>
      <c r="B198" s="62" t="s">
        <v>416</v>
      </c>
      <c r="C198" s="62" t="s">
        <v>415</v>
      </c>
      <c r="D198" s="61">
        <v>10.16</v>
      </c>
      <c r="E198" s="61">
        <v>9.9499999999999993</v>
      </c>
      <c r="F198" s="61">
        <v>2.1105527638190954E-2</v>
      </c>
      <c r="G198" s="371">
        <f>E198*(1-iDelta*2)</f>
        <v>9.5519999999999996</v>
      </c>
      <c r="H198" s="61">
        <f>E198*(1-iDelta*1)</f>
        <v>9.7509999999999994</v>
      </c>
      <c r="I198" s="61">
        <f>E198*(1+iDelta*1)</f>
        <v>10.148999999999999</v>
      </c>
      <c r="J198" s="61">
        <f>E198*(1+iDelta*2)</f>
        <v>10.347999999999999</v>
      </c>
    </row>
    <row r="199" spans="1:10" ht="30" customHeight="1" x14ac:dyDescent="0.25">
      <c r="A199" s="62" t="s">
        <v>253</v>
      </c>
      <c r="B199" s="62" t="s">
        <v>416</v>
      </c>
      <c r="C199" s="62" t="s">
        <v>415</v>
      </c>
      <c r="D199" s="61">
        <v>94.7</v>
      </c>
      <c r="E199" s="61">
        <v>94.67</v>
      </c>
      <c r="F199" s="61">
        <v>3.1689025034329775E-4</v>
      </c>
      <c r="G199" s="371">
        <f>E199*(1-iDelta*2)</f>
        <v>90.883200000000002</v>
      </c>
      <c r="H199" s="61">
        <f>E199*(1-iDelta*1)</f>
        <v>92.776600000000002</v>
      </c>
      <c r="I199" s="61">
        <f>E199*(1+iDelta*1)</f>
        <v>96.563400000000001</v>
      </c>
      <c r="J199" s="61">
        <f>E199*(1+iDelta*2)</f>
        <v>98.456800000000001</v>
      </c>
    </row>
    <row r="200" spans="1:10" ht="30" customHeight="1" x14ac:dyDescent="0.25">
      <c r="A200" s="62" t="s">
        <v>254</v>
      </c>
      <c r="B200" s="62" t="s">
        <v>416</v>
      </c>
      <c r="C200" s="62" t="s">
        <v>415</v>
      </c>
      <c r="D200" s="61">
        <v>39.81</v>
      </c>
      <c r="E200" s="61">
        <v>39.67</v>
      </c>
      <c r="F200" s="61">
        <v>3.5291152004033274E-3</v>
      </c>
      <c r="G200" s="371">
        <f>E200*(1-iDelta*2)</f>
        <v>38.083199999999998</v>
      </c>
      <c r="H200" s="61">
        <f>E200*(1-iDelta*1)</f>
        <v>38.876600000000003</v>
      </c>
      <c r="I200" s="61">
        <f>E200*(1+iDelta*1)</f>
        <v>40.4634</v>
      </c>
      <c r="J200" s="61">
        <f>E200*(1+iDelta*2)</f>
        <v>41.256800000000005</v>
      </c>
    </row>
    <row r="201" spans="1:10" ht="30" customHeight="1" x14ac:dyDescent="0.25">
      <c r="A201" s="62" t="s">
        <v>255</v>
      </c>
      <c r="B201" s="62" t="s">
        <v>416</v>
      </c>
      <c r="C201" s="62" t="s">
        <v>415</v>
      </c>
      <c r="D201" s="61">
        <v>366.63</v>
      </c>
      <c r="E201" s="61">
        <v>362.58</v>
      </c>
      <c r="F201" s="61">
        <v>1.1169948700976337E-2</v>
      </c>
      <c r="G201" s="371">
        <f>E201*(1-iDelta*2)</f>
        <v>348.07679999999999</v>
      </c>
      <c r="H201" s="61">
        <f>E201*(1-iDelta*1)</f>
        <v>355.32839999999999</v>
      </c>
      <c r="I201" s="61">
        <f>E201*(1+iDelta*1)</f>
        <v>369.83159999999998</v>
      </c>
      <c r="J201" s="61">
        <f>E201*(1+iDelta*2)</f>
        <v>377.08319999999998</v>
      </c>
    </row>
    <row r="202" spans="1:10" ht="30" customHeight="1" x14ac:dyDescent="0.25">
      <c r="A202" s="62" t="s">
        <v>256</v>
      </c>
      <c r="B202" s="62" t="s">
        <v>416</v>
      </c>
      <c r="C202" s="62" t="s">
        <v>415</v>
      </c>
      <c r="D202" s="61">
        <v>45.8</v>
      </c>
      <c r="E202" s="61">
        <v>45.94</v>
      </c>
      <c r="F202" s="61">
        <v>-3.0474531998258597E-3</v>
      </c>
      <c r="G202" s="371">
        <f>E202*(1-iDelta*2)</f>
        <v>44.102399999999996</v>
      </c>
      <c r="H202" s="61">
        <f>E202*(1-iDelta*1)</f>
        <v>45.0212</v>
      </c>
      <c r="I202" s="61">
        <f>E202*(1+iDelta*1)</f>
        <v>46.858799999999995</v>
      </c>
      <c r="J202" s="61">
        <f>E202*(1+iDelta*2)</f>
        <v>47.7776</v>
      </c>
    </row>
    <row r="203" spans="1:10" ht="30" customHeight="1" x14ac:dyDescent="0.25">
      <c r="A203" s="62" t="s">
        <v>257</v>
      </c>
      <c r="B203" s="62" t="s">
        <v>416</v>
      </c>
      <c r="C203" s="62" t="s">
        <v>415</v>
      </c>
      <c r="D203" s="61">
        <v>14.34</v>
      </c>
      <c r="E203" s="61">
        <v>13.96</v>
      </c>
      <c r="F203" s="61">
        <v>2.7220630372492838E-2</v>
      </c>
      <c r="G203" s="371">
        <f>E203*(1-iDelta*2)</f>
        <v>13.4016</v>
      </c>
      <c r="H203" s="61">
        <f>E203*(1-iDelta*1)</f>
        <v>13.680800000000001</v>
      </c>
      <c r="I203" s="61">
        <f>E203*(1+iDelta*1)</f>
        <v>14.2392</v>
      </c>
      <c r="J203" s="61">
        <f>E203*(1+iDelta*2)</f>
        <v>14.518400000000002</v>
      </c>
    </row>
    <row r="204" spans="1:10" ht="30" customHeight="1" x14ac:dyDescent="0.25">
      <c r="A204" s="62" t="s">
        <v>258</v>
      </c>
      <c r="B204" s="62" t="s">
        <v>416</v>
      </c>
      <c r="C204" s="62" t="s">
        <v>415</v>
      </c>
      <c r="D204" s="61">
        <v>265.06</v>
      </c>
      <c r="E204" s="61">
        <v>268.64</v>
      </c>
      <c r="F204" s="61">
        <v>-1.3326384752829065E-2</v>
      </c>
      <c r="G204" s="371">
        <f>E204*(1-iDelta*2)</f>
        <v>257.89439999999996</v>
      </c>
      <c r="H204" s="61">
        <f>E204*(1-iDelta*1)</f>
        <v>263.2672</v>
      </c>
      <c r="I204" s="61">
        <f>E204*(1+iDelta*1)</f>
        <v>274.01279999999997</v>
      </c>
      <c r="J204" s="61">
        <f>E204*(1+iDelta*2)</f>
        <v>279.38560000000001</v>
      </c>
    </row>
    <row r="205" spans="1:10" ht="30" customHeight="1" x14ac:dyDescent="0.25">
      <c r="A205" s="62" t="s">
        <v>259</v>
      </c>
      <c r="B205" s="62" t="s">
        <v>416</v>
      </c>
      <c r="C205" s="62" t="s">
        <v>415</v>
      </c>
      <c r="D205" s="61">
        <v>31.22</v>
      </c>
      <c r="E205" s="61">
        <v>30.85</v>
      </c>
      <c r="F205" s="61">
        <v>1.1993517017828201E-2</v>
      </c>
      <c r="G205" s="371">
        <f>E205*(1-iDelta*2)</f>
        <v>29.616</v>
      </c>
      <c r="H205" s="61">
        <f>E205*(1-iDelta*1)</f>
        <v>30.233000000000001</v>
      </c>
      <c r="I205" s="61">
        <f>E205*(1+iDelta*1)</f>
        <v>31.467000000000002</v>
      </c>
      <c r="J205" s="61">
        <f>E205*(1+iDelta*2)</f>
        <v>32.084000000000003</v>
      </c>
    </row>
    <row r="206" spans="1:10" ht="30" customHeight="1" x14ac:dyDescent="0.25">
      <c r="A206" s="62" t="s">
        <v>260</v>
      </c>
      <c r="B206" s="62" t="s">
        <v>416</v>
      </c>
      <c r="C206" s="62" t="s">
        <v>415</v>
      </c>
      <c r="D206" s="61">
        <v>75.44</v>
      </c>
      <c r="E206" s="61">
        <v>75.59</v>
      </c>
      <c r="F206" s="61">
        <v>-1.9843894695065487E-3</v>
      </c>
      <c r="G206" s="371">
        <f>E206*(1-iDelta*2)</f>
        <v>72.566400000000002</v>
      </c>
      <c r="H206" s="61">
        <f>E206*(1-iDelta*1)</f>
        <v>74.078199999999995</v>
      </c>
      <c r="I206" s="61">
        <f>E206*(1+iDelta*1)</f>
        <v>77.101800000000011</v>
      </c>
      <c r="J206" s="61">
        <f>E206*(1+iDelta*2)</f>
        <v>78.613600000000005</v>
      </c>
    </row>
    <row r="207" spans="1:10" ht="30" customHeight="1" x14ac:dyDescent="0.25">
      <c r="A207" s="62" t="s">
        <v>261</v>
      </c>
      <c r="B207" s="62" t="s">
        <v>416</v>
      </c>
      <c r="C207" s="62" t="s">
        <v>415</v>
      </c>
      <c r="D207" s="61">
        <v>289.45999999999998</v>
      </c>
      <c r="E207" s="61">
        <v>289.52</v>
      </c>
      <c r="F207" s="61">
        <v>-2.0723956894169661E-4</v>
      </c>
      <c r="G207" s="371">
        <f>E207*(1-iDelta*2)</f>
        <v>277.93919999999997</v>
      </c>
      <c r="H207" s="61">
        <f>E207*(1-iDelta*1)</f>
        <v>283.7296</v>
      </c>
      <c r="I207" s="61">
        <f>E207*(1+iDelta*1)</f>
        <v>295.31039999999996</v>
      </c>
      <c r="J207" s="61">
        <f>E207*(1+iDelta*2)</f>
        <v>301.10079999999999</v>
      </c>
    </row>
    <row r="208" spans="1:10" ht="30" customHeight="1" x14ac:dyDescent="0.25">
      <c r="A208" s="62" t="s">
        <v>262</v>
      </c>
      <c r="B208" s="62" t="s">
        <v>416</v>
      </c>
      <c r="C208" s="62" t="s">
        <v>415</v>
      </c>
      <c r="D208" s="61">
        <v>145.79</v>
      </c>
      <c r="E208" s="61">
        <v>146.41999999999999</v>
      </c>
      <c r="F208" s="61">
        <v>-4.3026908892227836E-3</v>
      </c>
      <c r="G208" s="371">
        <f>E208*(1-iDelta*2)</f>
        <v>140.56319999999999</v>
      </c>
      <c r="H208" s="61">
        <f>E208*(1-iDelta*1)</f>
        <v>143.49159999999998</v>
      </c>
      <c r="I208" s="61">
        <f>E208*(1+iDelta*1)</f>
        <v>149.3484</v>
      </c>
      <c r="J208" s="61">
        <f>E208*(1+iDelta*2)</f>
        <v>152.27679999999998</v>
      </c>
    </row>
    <row r="209" spans="1:10" ht="30" customHeight="1" x14ac:dyDescent="0.25">
      <c r="A209" s="62" t="s">
        <v>263</v>
      </c>
      <c r="B209" s="62" t="s">
        <v>416</v>
      </c>
      <c r="C209" s="62" t="s">
        <v>415</v>
      </c>
      <c r="D209" s="61">
        <v>24.86</v>
      </c>
      <c r="E209" s="61">
        <v>24.03</v>
      </c>
      <c r="F209" s="61">
        <v>3.4540158135663752E-2</v>
      </c>
      <c r="G209" s="371">
        <f>E209*(1-iDelta*2)</f>
        <v>23.0688</v>
      </c>
      <c r="H209" s="61">
        <f>E209*(1-iDelta*1)</f>
        <v>23.549400000000002</v>
      </c>
      <c r="I209" s="61">
        <f>E209*(1+iDelta*1)</f>
        <v>24.5106</v>
      </c>
      <c r="J209" s="61">
        <f>E209*(1+iDelta*2)</f>
        <v>24.991200000000003</v>
      </c>
    </row>
    <row r="210" spans="1:10" ht="30" customHeight="1" x14ac:dyDescent="0.25">
      <c r="A210" s="62" t="s">
        <v>264</v>
      </c>
      <c r="B210" s="62" t="s">
        <v>416</v>
      </c>
      <c r="C210" s="62" t="s">
        <v>415</v>
      </c>
      <c r="D210" s="61">
        <v>74.08</v>
      </c>
      <c r="E210" s="61">
        <v>72.58</v>
      </c>
      <c r="F210" s="61">
        <v>2.0666850372003307E-2</v>
      </c>
      <c r="G210" s="371">
        <f>E210*(1-iDelta*2)</f>
        <v>69.6768</v>
      </c>
      <c r="H210" s="61">
        <f>E210*(1-iDelta*1)</f>
        <v>71.128399999999999</v>
      </c>
      <c r="I210" s="61">
        <f>E210*(1+iDelta*1)</f>
        <v>74.031599999999997</v>
      </c>
      <c r="J210" s="61">
        <f>E210*(1+iDelta*2)</f>
        <v>75.483199999999997</v>
      </c>
    </row>
    <row r="211" spans="1:10" ht="30" customHeight="1" x14ac:dyDescent="0.25">
      <c r="A211" s="62" t="s">
        <v>265</v>
      </c>
      <c r="B211" s="62" t="s">
        <v>416</v>
      </c>
      <c r="C211" s="62" t="s">
        <v>415</v>
      </c>
      <c r="D211" s="61">
        <v>10.81</v>
      </c>
      <c r="E211" s="61">
        <v>10.91</v>
      </c>
      <c r="F211" s="61">
        <v>-9.1659028414298807E-3</v>
      </c>
      <c r="G211" s="371">
        <f>E211*(1-iDelta*2)</f>
        <v>10.473599999999999</v>
      </c>
      <c r="H211" s="61">
        <f>E211*(1-iDelta*1)</f>
        <v>10.691800000000001</v>
      </c>
      <c r="I211" s="61">
        <f>E211*(1+iDelta*1)</f>
        <v>11.1282</v>
      </c>
      <c r="J211" s="61">
        <f>E211*(1+iDelta*2)</f>
        <v>11.346400000000001</v>
      </c>
    </row>
    <row r="212" spans="1:10" ht="30" customHeight="1" x14ac:dyDescent="0.25">
      <c r="A212" s="62" t="s">
        <v>266</v>
      </c>
      <c r="B212" s="62" t="s">
        <v>416</v>
      </c>
      <c r="C212" s="62" t="s">
        <v>415</v>
      </c>
      <c r="D212" s="61">
        <v>25.39</v>
      </c>
      <c r="E212" s="61">
        <v>23.26</v>
      </c>
      <c r="F212" s="61">
        <v>9.1573516766981944E-2</v>
      </c>
      <c r="G212" s="371">
        <f>E212*(1-iDelta*2)</f>
        <v>22.329599999999999</v>
      </c>
      <c r="H212" s="61">
        <f>E212*(1-iDelta*1)</f>
        <v>22.794800000000002</v>
      </c>
      <c r="I212" s="61">
        <f>E212*(1+iDelta*1)</f>
        <v>23.725200000000001</v>
      </c>
      <c r="J212" s="61">
        <f>E212*(1+iDelta*2)</f>
        <v>24.190400000000004</v>
      </c>
    </row>
    <row r="213" spans="1:10" ht="30" customHeight="1" x14ac:dyDescent="0.25">
      <c r="A213" s="62" t="s">
        <v>267</v>
      </c>
      <c r="B213" s="62" t="s">
        <v>416</v>
      </c>
      <c r="C213" s="62" t="s">
        <v>415</v>
      </c>
      <c r="D213" s="61">
        <v>5.42</v>
      </c>
      <c r="E213" s="61">
        <v>5.37</v>
      </c>
      <c r="F213" s="61">
        <v>9.3109869646182501E-3</v>
      </c>
      <c r="G213" s="371">
        <f>E213*(1-iDelta*2)</f>
        <v>5.1551999999999998</v>
      </c>
      <c r="H213" s="61">
        <f>E213*(1-iDelta*1)</f>
        <v>5.2625999999999999</v>
      </c>
      <c r="I213" s="61">
        <f>E213*(1+iDelta*1)</f>
        <v>5.4774000000000003</v>
      </c>
      <c r="J213" s="61">
        <f>E213*(1+iDelta*2)</f>
        <v>5.5848000000000004</v>
      </c>
    </row>
    <row r="214" spans="1:10" ht="30" customHeight="1" x14ac:dyDescent="0.25">
      <c r="A214" s="62" t="s">
        <v>268</v>
      </c>
      <c r="B214" s="62" t="s">
        <v>477</v>
      </c>
      <c r="C214" s="62" t="s">
        <v>477</v>
      </c>
      <c r="D214" s="61">
        <v>-1</v>
      </c>
      <c r="E214" s="61">
        <v>-1</v>
      </c>
      <c r="F214" s="61">
        <v>-1</v>
      </c>
      <c r="G214" s="371">
        <f>E214*(1-iDelta*2)</f>
        <v>-0.96</v>
      </c>
      <c r="H214" s="61">
        <f>E214*(1-iDelta*1)</f>
        <v>-0.98</v>
      </c>
      <c r="I214" s="61">
        <f>E214*(1+iDelta*1)</f>
        <v>-1.02</v>
      </c>
      <c r="J214" s="61">
        <f>E214*(1+iDelta*2)</f>
        <v>-1.04</v>
      </c>
    </row>
    <row r="215" spans="1:10" ht="30" customHeight="1" x14ac:dyDescent="0.25">
      <c r="A215" s="62" t="s">
        <v>269</v>
      </c>
      <c r="B215" s="62" t="s">
        <v>416</v>
      </c>
      <c r="C215" s="62" t="s">
        <v>415</v>
      </c>
      <c r="D215" s="61">
        <v>17.190000000000001</v>
      </c>
      <c r="E215" s="61">
        <v>16.98</v>
      </c>
      <c r="F215" s="61">
        <v>1.2367491166077738E-2</v>
      </c>
      <c r="G215" s="371">
        <f>E215*(1-iDelta*2)</f>
        <v>16.300799999999999</v>
      </c>
      <c r="H215" s="61">
        <f>E215*(1-iDelta*1)</f>
        <v>16.6404</v>
      </c>
      <c r="I215" s="61">
        <f>E215*(1+iDelta*1)</f>
        <v>17.319600000000001</v>
      </c>
      <c r="J215" s="61">
        <f>E215*(1+iDelta*2)</f>
        <v>17.659200000000002</v>
      </c>
    </row>
    <row r="216" spans="1:10" ht="30" customHeight="1" x14ac:dyDescent="0.25">
      <c r="A216" s="62" t="s">
        <v>374</v>
      </c>
      <c r="B216" s="62" t="s">
        <v>416</v>
      </c>
      <c r="C216" s="62" t="s">
        <v>415</v>
      </c>
      <c r="D216" s="61">
        <v>6.1</v>
      </c>
      <c r="E216" s="61">
        <v>6.19</v>
      </c>
      <c r="F216" s="61">
        <v>-1.4539579967689823E-2</v>
      </c>
      <c r="G216" s="371">
        <f>E216*(1-iDelta*2)</f>
        <v>5.9424000000000001</v>
      </c>
      <c r="H216" s="61">
        <f>E216*(1-iDelta*1)</f>
        <v>6.0662000000000003</v>
      </c>
      <c r="I216" s="61">
        <f>E216*(1+iDelta*1)</f>
        <v>6.3138000000000005</v>
      </c>
      <c r="J216" s="61">
        <f>E216*(1+iDelta*2)</f>
        <v>6.4376000000000007</v>
      </c>
    </row>
    <row r="217" spans="1:10" ht="30" customHeight="1" x14ac:dyDescent="0.25">
      <c r="A217" s="62" t="s">
        <v>270</v>
      </c>
      <c r="B217" s="62" t="s">
        <v>416</v>
      </c>
      <c r="C217" s="62" t="s">
        <v>415</v>
      </c>
      <c r="D217" s="61">
        <v>590.67999999999995</v>
      </c>
      <c r="E217" s="61">
        <v>595.5</v>
      </c>
      <c r="F217" s="61">
        <v>-8.0940386230058774E-3</v>
      </c>
      <c r="G217" s="371">
        <f>E217*(1-iDelta*2)</f>
        <v>571.67999999999995</v>
      </c>
      <c r="H217" s="61">
        <f>E217*(1-iDelta*1)</f>
        <v>583.59</v>
      </c>
      <c r="I217" s="61">
        <f>E217*(1+iDelta*1)</f>
        <v>607.41</v>
      </c>
      <c r="J217" s="61">
        <f>E217*(1+iDelta*2)</f>
        <v>619.32000000000005</v>
      </c>
    </row>
    <row r="218" spans="1:10" ht="30" customHeight="1" x14ac:dyDescent="0.25">
      <c r="A218" s="62" t="s">
        <v>271</v>
      </c>
      <c r="B218" s="62" t="s">
        <v>416</v>
      </c>
      <c r="C218" s="62" t="s">
        <v>415</v>
      </c>
      <c r="D218" s="61">
        <v>43.89</v>
      </c>
      <c r="E218" s="61">
        <v>41.97</v>
      </c>
      <c r="F218" s="61">
        <v>4.5746962115796999E-2</v>
      </c>
      <c r="G218" s="371">
        <f>E218*(1-iDelta*2)</f>
        <v>40.291199999999996</v>
      </c>
      <c r="H218" s="61">
        <f>E218*(1-iDelta*1)</f>
        <v>41.130600000000001</v>
      </c>
      <c r="I218" s="61">
        <f>E218*(1+iDelta*1)</f>
        <v>42.809399999999997</v>
      </c>
      <c r="J218" s="61">
        <f>E218*(1+iDelta*2)</f>
        <v>43.648800000000001</v>
      </c>
    </row>
    <row r="219" spans="1:10" ht="30" customHeight="1" x14ac:dyDescent="0.25">
      <c r="A219" s="62" t="s">
        <v>272</v>
      </c>
      <c r="B219" s="62" t="s">
        <v>416</v>
      </c>
      <c r="C219" s="62" t="s">
        <v>415</v>
      </c>
      <c r="D219" s="61">
        <v>11.12</v>
      </c>
      <c r="E219" s="61">
        <v>11.13</v>
      </c>
      <c r="F219" s="61">
        <v>-8.9847259658580418E-4</v>
      </c>
      <c r="G219" s="371">
        <f>E219*(1-iDelta*2)</f>
        <v>10.684800000000001</v>
      </c>
      <c r="H219" s="61">
        <f>E219*(1-iDelta*1)</f>
        <v>10.907400000000001</v>
      </c>
      <c r="I219" s="61">
        <f>E219*(1+iDelta*1)</f>
        <v>11.352600000000001</v>
      </c>
      <c r="J219" s="61">
        <f>E219*(1+iDelta*2)</f>
        <v>11.575200000000001</v>
      </c>
    </row>
    <row r="220" spans="1:10" ht="30" customHeight="1" x14ac:dyDescent="0.25">
      <c r="A220" s="62" t="s">
        <v>273</v>
      </c>
      <c r="B220" s="62" t="s">
        <v>416</v>
      </c>
      <c r="C220" s="62" t="s">
        <v>415</v>
      </c>
      <c r="D220" s="61">
        <v>101.92</v>
      </c>
      <c r="E220" s="61">
        <v>101.41</v>
      </c>
      <c r="F220" s="61">
        <v>5.0290898333497681E-3</v>
      </c>
      <c r="G220" s="371">
        <f>E220*(1-iDelta*2)</f>
        <v>97.3536</v>
      </c>
      <c r="H220" s="61">
        <f>E220*(1-iDelta*1)</f>
        <v>99.381799999999998</v>
      </c>
      <c r="I220" s="61">
        <f>E220*(1+iDelta*1)</f>
        <v>103.43819999999999</v>
      </c>
      <c r="J220" s="61">
        <f>E220*(1+iDelta*2)</f>
        <v>105.46639999999999</v>
      </c>
    </row>
    <row r="221" spans="1:10" ht="30" customHeight="1" x14ac:dyDescent="0.25">
      <c r="A221" s="62" t="s">
        <v>274</v>
      </c>
      <c r="B221" s="62" t="s">
        <v>416</v>
      </c>
      <c r="C221" s="62" t="s">
        <v>415</v>
      </c>
      <c r="D221" s="61">
        <v>54.7</v>
      </c>
      <c r="E221" s="61">
        <v>54.9</v>
      </c>
      <c r="F221" s="61">
        <v>-3.6429872495446266E-3</v>
      </c>
      <c r="G221" s="371">
        <f>E221*(1-iDelta*2)</f>
        <v>52.703999999999994</v>
      </c>
      <c r="H221" s="61">
        <f>E221*(1-iDelta*1)</f>
        <v>53.802</v>
      </c>
      <c r="I221" s="61">
        <f>E221*(1+iDelta*1)</f>
        <v>55.997999999999998</v>
      </c>
      <c r="J221" s="61">
        <f>E221*(1+iDelta*2)</f>
        <v>57.096000000000004</v>
      </c>
    </row>
    <row r="222" spans="1:10" ht="30" customHeight="1" x14ac:dyDescent="0.25">
      <c r="A222" s="62" t="s">
        <v>275</v>
      </c>
      <c r="B222" s="62" t="s">
        <v>416</v>
      </c>
      <c r="C222" s="62" t="s">
        <v>415</v>
      </c>
      <c r="D222" s="61">
        <v>91.32</v>
      </c>
      <c r="E222" s="61">
        <v>92.25</v>
      </c>
      <c r="F222" s="61">
        <v>-1.0081300813008129E-2</v>
      </c>
      <c r="G222" s="371">
        <f>E222*(1-iDelta*2)</f>
        <v>88.56</v>
      </c>
      <c r="H222" s="61">
        <f>E222*(1-iDelta*1)</f>
        <v>90.405000000000001</v>
      </c>
      <c r="I222" s="61">
        <f>E222*(1+iDelta*1)</f>
        <v>94.094999999999999</v>
      </c>
      <c r="J222" s="61">
        <f>E222*(1+iDelta*2)</f>
        <v>95.94</v>
      </c>
    </row>
    <row r="223" spans="1:10" ht="30" customHeight="1" x14ac:dyDescent="0.25">
      <c r="A223" s="62" t="s">
        <v>276</v>
      </c>
      <c r="B223" s="62" t="s">
        <v>416</v>
      </c>
      <c r="C223" s="62" t="s">
        <v>415</v>
      </c>
      <c r="D223" s="61">
        <v>44.78</v>
      </c>
      <c r="E223" s="61">
        <v>45.51</v>
      </c>
      <c r="F223" s="61">
        <v>-1.6040430674577017E-2</v>
      </c>
      <c r="G223" s="371">
        <f>E223*(1-iDelta*2)</f>
        <v>43.689599999999999</v>
      </c>
      <c r="H223" s="61">
        <f>E223*(1-iDelta*1)</f>
        <v>44.599799999999995</v>
      </c>
      <c r="I223" s="61">
        <f>E223*(1+iDelta*1)</f>
        <v>46.420200000000001</v>
      </c>
      <c r="J223" s="61">
        <f>E223*(1+iDelta*2)</f>
        <v>47.330399999999997</v>
      </c>
    </row>
    <row r="224" spans="1:10" ht="30" customHeight="1" x14ac:dyDescent="0.25">
      <c r="A224" s="62" t="s">
        <v>277</v>
      </c>
      <c r="B224" s="62" t="s">
        <v>416</v>
      </c>
      <c r="C224" s="62" t="s">
        <v>415</v>
      </c>
      <c r="D224" s="61">
        <v>68.05</v>
      </c>
      <c r="E224" s="61">
        <v>69</v>
      </c>
      <c r="F224" s="61">
        <v>-1.3768115942028985E-2</v>
      </c>
      <c r="G224" s="371">
        <f>E224*(1-iDelta*2)</f>
        <v>66.239999999999995</v>
      </c>
      <c r="H224" s="61">
        <f>E224*(1-iDelta*1)</f>
        <v>67.62</v>
      </c>
      <c r="I224" s="61">
        <f>E224*(1+iDelta*1)</f>
        <v>70.38</v>
      </c>
      <c r="J224" s="61">
        <f>E224*(1+iDelta*2)</f>
        <v>71.760000000000005</v>
      </c>
    </row>
    <row r="225" spans="1:10" ht="30" customHeight="1" x14ac:dyDescent="0.25">
      <c r="A225" s="62" t="s">
        <v>278</v>
      </c>
      <c r="B225" s="62" t="s">
        <v>416</v>
      </c>
      <c r="C225" s="62" t="s">
        <v>415</v>
      </c>
      <c r="D225" s="61">
        <v>9.33</v>
      </c>
      <c r="E225" s="61">
        <v>9.25</v>
      </c>
      <c r="F225" s="61">
        <v>8.6486486486486488E-3</v>
      </c>
      <c r="G225" s="371">
        <f>E225*(1-iDelta*2)</f>
        <v>8.879999999999999</v>
      </c>
      <c r="H225" s="61">
        <f>E225*(1-iDelta*1)</f>
        <v>9.0649999999999995</v>
      </c>
      <c r="I225" s="61">
        <f>E225*(1+iDelta*1)</f>
        <v>9.4350000000000005</v>
      </c>
      <c r="J225" s="61">
        <f>E225*(1+iDelta*2)</f>
        <v>9.620000000000001</v>
      </c>
    </row>
    <row r="226" spans="1:10" ht="30" customHeight="1" x14ac:dyDescent="0.25">
      <c r="A226" s="62" t="s">
        <v>279</v>
      </c>
      <c r="B226" s="62" t="s">
        <v>416</v>
      </c>
      <c r="C226" s="62" t="s">
        <v>415</v>
      </c>
      <c r="D226" s="61">
        <v>58.76</v>
      </c>
      <c r="E226" s="61">
        <v>56.47</v>
      </c>
      <c r="F226" s="61">
        <v>4.0552505755268281E-2</v>
      </c>
      <c r="G226" s="371">
        <f>E226*(1-iDelta*2)</f>
        <v>54.211199999999998</v>
      </c>
      <c r="H226" s="61">
        <f>E226*(1-iDelta*1)</f>
        <v>55.340599999999995</v>
      </c>
      <c r="I226" s="61">
        <f>E226*(1+iDelta*1)</f>
        <v>57.599400000000003</v>
      </c>
      <c r="J226" s="61">
        <f>E226*(1+iDelta*2)</f>
        <v>58.7288</v>
      </c>
    </row>
    <row r="227" spans="1:10" ht="30" customHeight="1" x14ac:dyDescent="0.25">
      <c r="A227" s="62" t="s">
        <v>280</v>
      </c>
      <c r="B227" s="62" t="s">
        <v>416</v>
      </c>
      <c r="C227" s="62" t="s">
        <v>415</v>
      </c>
      <c r="D227" s="61">
        <v>8.07</v>
      </c>
      <c r="E227" s="61">
        <v>7.72</v>
      </c>
      <c r="F227" s="61">
        <v>4.5336787564766841E-2</v>
      </c>
      <c r="G227" s="371">
        <f>E227*(1-iDelta*2)</f>
        <v>7.4111999999999991</v>
      </c>
      <c r="H227" s="61">
        <f>E227*(1-iDelta*1)</f>
        <v>7.5655999999999999</v>
      </c>
      <c r="I227" s="61">
        <f>E227*(1+iDelta*1)</f>
        <v>7.8743999999999996</v>
      </c>
      <c r="J227" s="61">
        <f>E227*(1+iDelta*2)</f>
        <v>8.0288000000000004</v>
      </c>
    </row>
    <row r="228" spans="1:10" ht="30" customHeight="1" x14ac:dyDescent="0.25">
      <c r="A228" s="62" t="s">
        <v>281</v>
      </c>
      <c r="B228" s="62" t="s">
        <v>416</v>
      </c>
      <c r="C228" s="62" t="s">
        <v>415</v>
      </c>
      <c r="D228" s="61">
        <v>11.18</v>
      </c>
      <c r="E228" s="61">
        <v>11.27</v>
      </c>
      <c r="F228" s="61">
        <v>-7.9858030168589167E-3</v>
      </c>
      <c r="G228" s="371">
        <f>E228*(1-iDelta*2)</f>
        <v>10.819199999999999</v>
      </c>
      <c r="H228" s="61">
        <f>E228*(1-iDelta*1)</f>
        <v>11.044599999999999</v>
      </c>
      <c r="I228" s="61">
        <f>E228*(1+iDelta*1)</f>
        <v>11.4954</v>
      </c>
      <c r="J228" s="61">
        <f>E228*(1+iDelta*2)</f>
        <v>11.720800000000001</v>
      </c>
    </row>
    <row r="229" spans="1:10" ht="30" customHeight="1" x14ac:dyDescent="0.25">
      <c r="A229" s="62" t="s">
        <v>282</v>
      </c>
      <c r="B229" s="62" t="s">
        <v>416</v>
      </c>
      <c r="C229" s="62" t="s">
        <v>415</v>
      </c>
      <c r="D229" s="61">
        <v>8.5299999999999994</v>
      </c>
      <c r="E229" s="61">
        <v>8.2899999999999991</v>
      </c>
      <c r="F229" s="61">
        <v>2.8950542822677925E-2</v>
      </c>
      <c r="G229" s="371">
        <f>E229*(1-iDelta*2)</f>
        <v>7.9583999999999993</v>
      </c>
      <c r="H229" s="61">
        <f>E229*(1-iDelta*1)</f>
        <v>8.1241999999999983</v>
      </c>
      <c r="I229" s="61">
        <f>E229*(1+iDelta*1)</f>
        <v>8.4558</v>
      </c>
      <c r="J229" s="61">
        <f>E229*(1+iDelta*2)</f>
        <v>8.621599999999999</v>
      </c>
    </row>
    <row r="230" spans="1:10" ht="30" customHeight="1" x14ac:dyDescent="0.25">
      <c r="A230" s="62" t="s">
        <v>283</v>
      </c>
      <c r="B230" s="62" t="s">
        <v>416</v>
      </c>
      <c r="C230" s="62" t="s">
        <v>415</v>
      </c>
      <c r="D230" s="61">
        <v>29.48</v>
      </c>
      <c r="E230" s="61">
        <v>29.28</v>
      </c>
      <c r="F230" s="61">
        <v>6.8306010928961746E-3</v>
      </c>
      <c r="G230" s="371">
        <f>E230*(1-iDelta*2)</f>
        <v>28.108799999999999</v>
      </c>
      <c r="H230" s="61">
        <f>E230*(1-iDelta*1)</f>
        <v>28.694400000000002</v>
      </c>
      <c r="I230" s="61">
        <f>E230*(1+iDelta*1)</f>
        <v>29.865600000000001</v>
      </c>
      <c r="J230" s="61">
        <f>E230*(1+iDelta*2)</f>
        <v>30.451200000000004</v>
      </c>
    </row>
    <row r="231" spans="1:10" ht="30" customHeight="1" x14ac:dyDescent="0.25">
      <c r="A231" s="62" t="s">
        <v>284</v>
      </c>
      <c r="B231" s="62" t="s">
        <v>416</v>
      </c>
      <c r="C231" s="62" t="s">
        <v>415</v>
      </c>
      <c r="D231" s="61">
        <v>71.84</v>
      </c>
      <c r="E231" s="61">
        <v>72.260000000000005</v>
      </c>
      <c r="F231" s="61">
        <v>-5.8123443122059231E-3</v>
      </c>
      <c r="G231" s="371">
        <f>E231*(1-iDelta*2)</f>
        <v>69.369600000000005</v>
      </c>
      <c r="H231" s="61">
        <f>E231*(1-iDelta*1)</f>
        <v>70.814800000000005</v>
      </c>
      <c r="I231" s="61">
        <f>E231*(1+iDelta*1)</f>
        <v>73.705200000000005</v>
      </c>
      <c r="J231" s="61">
        <f>E231*(1+iDelta*2)</f>
        <v>75.150400000000005</v>
      </c>
    </row>
    <row r="232" spans="1:10" ht="30" customHeight="1" x14ac:dyDescent="0.25">
      <c r="A232" s="62" t="s">
        <v>285</v>
      </c>
      <c r="B232" s="62" t="s">
        <v>416</v>
      </c>
      <c r="C232" s="62" t="s">
        <v>415</v>
      </c>
      <c r="D232" s="61">
        <v>154.33000000000001</v>
      </c>
      <c r="E232" s="61">
        <v>154.31</v>
      </c>
      <c r="F232" s="61">
        <v>1.296092281770462E-4</v>
      </c>
      <c r="G232" s="371">
        <f>E232*(1-iDelta*2)</f>
        <v>148.13759999999999</v>
      </c>
      <c r="H232" s="61">
        <f>E232*(1-iDelta*1)</f>
        <v>151.22380000000001</v>
      </c>
      <c r="I232" s="61">
        <f>E232*(1+iDelta*1)</f>
        <v>157.39619999999999</v>
      </c>
      <c r="J232" s="61">
        <f>E232*(1+iDelta*2)</f>
        <v>160.48240000000001</v>
      </c>
    </row>
    <row r="233" spans="1:10" ht="30" customHeight="1" x14ac:dyDescent="0.25">
      <c r="A233" s="62" t="s">
        <v>286</v>
      </c>
      <c r="B233" s="62" t="s">
        <v>416</v>
      </c>
      <c r="C233" s="62" t="s">
        <v>415</v>
      </c>
      <c r="D233" s="61">
        <v>45.07</v>
      </c>
      <c r="E233" s="61">
        <v>45.06</v>
      </c>
      <c r="F233" s="61">
        <v>2.2192632046160674E-4</v>
      </c>
      <c r="G233" s="371">
        <f>E233*(1-iDelta*2)</f>
        <v>43.257600000000004</v>
      </c>
      <c r="H233" s="61">
        <f>E233*(1-iDelta*1)</f>
        <v>44.158799999999999</v>
      </c>
      <c r="I233" s="61">
        <f>E233*(1+iDelta*1)</f>
        <v>45.961200000000005</v>
      </c>
      <c r="J233" s="61">
        <f>E233*(1+iDelta*2)</f>
        <v>46.862400000000001</v>
      </c>
    </row>
    <row r="234" spans="1:10" ht="30" customHeight="1" x14ac:dyDescent="0.25">
      <c r="A234" s="62" t="s">
        <v>287</v>
      </c>
      <c r="B234" s="62" t="s">
        <v>416</v>
      </c>
      <c r="C234" s="62" t="s">
        <v>415</v>
      </c>
      <c r="D234" s="61">
        <v>141.41</v>
      </c>
      <c r="E234" s="61">
        <v>142.5</v>
      </c>
      <c r="F234" s="61">
        <v>-7.6491228070175435E-3</v>
      </c>
      <c r="G234" s="371">
        <f>E234*(1-iDelta*2)</f>
        <v>136.79999999999998</v>
      </c>
      <c r="H234" s="61">
        <f>E234*(1-iDelta*1)</f>
        <v>139.65</v>
      </c>
      <c r="I234" s="61">
        <f>E234*(1+iDelta*1)</f>
        <v>145.35</v>
      </c>
      <c r="J234" s="61">
        <f>E234*(1+iDelta*2)</f>
        <v>148.20000000000002</v>
      </c>
    </row>
    <row r="235" spans="1:10" ht="30" customHeight="1" x14ac:dyDescent="0.25">
      <c r="A235" s="62" t="s">
        <v>288</v>
      </c>
      <c r="B235" s="62" t="s">
        <v>416</v>
      </c>
      <c r="C235" s="62" t="s">
        <v>415</v>
      </c>
      <c r="D235" s="61">
        <v>44.41</v>
      </c>
      <c r="E235" s="61">
        <v>44.44</v>
      </c>
      <c r="F235" s="61">
        <v>-6.7506750675067507E-4</v>
      </c>
      <c r="G235" s="371">
        <f>E235*(1-iDelta*2)</f>
        <v>42.662399999999998</v>
      </c>
      <c r="H235" s="61">
        <f>E235*(1-iDelta*1)</f>
        <v>43.551199999999994</v>
      </c>
      <c r="I235" s="61">
        <f>E235*(1+iDelta*1)</f>
        <v>45.328800000000001</v>
      </c>
      <c r="J235" s="61">
        <f>E235*(1+iDelta*2)</f>
        <v>46.217599999999997</v>
      </c>
    </row>
    <row r="236" spans="1:10" ht="30" customHeight="1" x14ac:dyDescent="0.25">
      <c r="A236" s="62" t="s">
        <v>289</v>
      </c>
      <c r="B236" s="62" t="s">
        <v>416</v>
      </c>
      <c r="C236" s="62" t="s">
        <v>415</v>
      </c>
      <c r="D236" s="61">
        <v>52.95</v>
      </c>
      <c r="E236" s="61">
        <v>53.49</v>
      </c>
      <c r="F236" s="61">
        <v>-1.0095344924284913E-2</v>
      </c>
      <c r="G236" s="371">
        <f>E236*(1-iDelta*2)</f>
        <v>51.3504</v>
      </c>
      <c r="H236" s="61">
        <f>E236*(1-iDelta*1)</f>
        <v>52.420200000000001</v>
      </c>
      <c r="I236" s="61">
        <f>E236*(1+iDelta*1)</f>
        <v>54.559800000000003</v>
      </c>
      <c r="J236" s="61">
        <f>E236*(1+iDelta*2)</f>
        <v>55.629600000000003</v>
      </c>
    </row>
    <row r="237" spans="1:10" ht="30" customHeight="1" x14ac:dyDescent="0.25">
      <c r="A237" s="62" t="s">
        <v>376</v>
      </c>
      <c r="B237" s="62" t="s">
        <v>416</v>
      </c>
      <c r="C237" s="62" t="s">
        <v>415</v>
      </c>
      <c r="D237" s="61">
        <v>21.82</v>
      </c>
      <c r="E237" s="61">
        <v>22.52</v>
      </c>
      <c r="F237" s="61">
        <v>-3.108348134991119E-2</v>
      </c>
      <c r="G237" s="371">
        <f>E237*(1-iDelta*2)</f>
        <v>21.619199999999999</v>
      </c>
      <c r="H237" s="61">
        <f>E237*(1-iDelta*1)</f>
        <v>22.069599999999998</v>
      </c>
      <c r="I237" s="61">
        <f>E237*(1+iDelta*1)</f>
        <v>22.970400000000001</v>
      </c>
      <c r="J237" s="61">
        <f>E237*(1+iDelta*2)</f>
        <v>23.4208</v>
      </c>
    </row>
    <row r="238" spans="1:10" ht="30" customHeight="1" x14ac:dyDescent="0.25">
      <c r="A238" s="62" t="s">
        <v>290</v>
      </c>
      <c r="B238" s="62" t="s">
        <v>416</v>
      </c>
      <c r="C238" s="62" t="s">
        <v>415</v>
      </c>
      <c r="D238" s="61">
        <v>99.79</v>
      </c>
      <c r="E238" s="61">
        <v>98.79</v>
      </c>
      <c r="F238" s="61">
        <v>1.0122482032594393E-2</v>
      </c>
      <c r="G238" s="371">
        <f>E238*(1-iDelta*2)</f>
        <v>94.838400000000007</v>
      </c>
      <c r="H238" s="61">
        <f>E238*(1-iDelta*1)</f>
        <v>96.8142</v>
      </c>
      <c r="I238" s="61">
        <f>E238*(1+iDelta*1)</f>
        <v>100.76580000000001</v>
      </c>
      <c r="J238" s="61">
        <f>E238*(1+iDelta*2)</f>
        <v>102.74160000000001</v>
      </c>
    </row>
    <row r="239" spans="1:10" ht="30" customHeight="1" x14ac:dyDescent="0.25">
      <c r="A239" s="62" t="s">
        <v>291</v>
      </c>
      <c r="B239" s="62" t="s">
        <v>416</v>
      </c>
      <c r="C239" s="62" t="s">
        <v>415</v>
      </c>
      <c r="D239" s="61">
        <v>99.21</v>
      </c>
      <c r="E239" s="61">
        <v>99.59</v>
      </c>
      <c r="F239" s="61">
        <v>-3.8156441409780096E-3</v>
      </c>
      <c r="G239" s="371">
        <f>E239*(1-iDelta*2)</f>
        <v>95.606399999999994</v>
      </c>
      <c r="H239" s="61">
        <f>E239*(1-iDelta*1)</f>
        <v>97.598200000000006</v>
      </c>
      <c r="I239" s="61">
        <f>E239*(1+iDelta*1)</f>
        <v>101.5818</v>
      </c>
      <c r="J239" s="61">
        <f>E239*(1+iDelta*2)</f>
        <v>103.57360000000001</v>
      </c>
    </row>
    <row r="240" spans="1:10" ht="30" customHeight="1" x14ac:dyDescent="0.25">
      <c r="A240" s="62" t="s">
        <v>394</v>
      </c>
      <c r="B240" s="62" t="s">
        <v>416</v>
      </c>
      <c r="C240" s="62" t="s">
        <v>418</v>
      </c>
      <c r="D240" s="61">
        <v>0.24</v>
      </c>
      <c r="E240" s="61">
        <v>0.23</v>
      </c>
      <c r="F240" s="61">
        <v>4.3478260869565216E-2</v>
      </c>
      <c r="G240" s="371">
        <f>E240*(1-iDelta*2)</f>
        <v>0.2208</v>
      </c>
      <c r="H240" s="61">
        <f>E240*(1-iDelta*1)</f>
        <v>0.22540000000000002</v>
      </c>
      <c r="I240" s="61">
        <f>E240*(1+iDelta*1)</f>
        <v>0.2346</v>
      </c>
      <c r="J240" s="61">
        <f>E240*(1+iDelta*2)</f>
        <v>0.23920000000000002</v>
      </c>
    </row>
    <row r="241" spans="1:10" ht="30" customHeight="1" x14ac:dyDescent="0.25">
      <c r="A241" s="62" t="s">
        <v>292</v>
      </c>
      <c r="B241" s="62" t="s">
        <v>416</v>
      </c>
      <c r="C241" s="62" t="s">
        <v>415</v>
      </c>
      <c r="D241" s="61">
        <v>21.28</v>
      </c>
      <c r="E241" s="61">
        <v>21.01</v>
      </c>
      <c r="F241" s="61">
        <v>1.285102332222751E-2</v>
      </c>
      <c r="G241" s="371">
        <f>E241*(1-iDelta*2)</f>
        <v>20.169599999999999</v>
      </c>
      <c r="H241" s="61">
        <f>E241*(1-iDelta*1)</f>
        <v>20.5898</v>
      </c>
      <c r="I241" s="61">
        <f>E241*(1+iDelta*1)</f>
        <v>21.430200000000003</v>
      </c>
      <c r="J241" s="61">
        <f>E241*(1+iDelta*2)</f>
        <v>21.850400000000004</v>
      </c>
    </row>
    <row r="242" spans="1:10" ht="30" customHeight="1" x14ac:dyDescent="0.25">
      <c r="A242" s="62" t="s">
        <v>293</v>
      </c>
      <c r="B242" s="62" t="s">
        <v>416</v>
      </c>
      <c r="C242" s="62" t="s">
        <v>415</v>
      </c>
      <c r="D242" s="61">
        <v>29.23</v>
      </c>
      <c r="E242" s="61">
        <v>28.86</v>
      </c>
      <c r="F242" s="61">
        <v>1.282051282051282E-2</v>
      </c>
      <c r="G242" s="371">
        <f>E242*(1-iDelta*2)</f>
        <v>27.705599999999997</v>
      </c>
      <c r="H242" s="61">
        <f>E242*(1-iDelta*1)</f>
        <v>28.282799999999998</v>
      </c>
      <c r="I242" s="61">
        <f>E242*(1+iDelta*1)</f>
        <v>29.437200000000001</v>
      </c>
      <c r="J242" s="61">
        <f>E242*(1+iDelta*2)</f>
        <v>30.014400000000002</v>
      </c>
    </row>
    <row r="243" spans="1:10" ht="30" customHeight="1" x14ac:dyDescent="0.25">
      <c r="A243" s="62" t="s">
        <v>294</v>
      </c>
      <c r="B243" s="62" t="s">
        <v>416</v>
      </c>
      <c r="C243" s="62" t="s">
        <v>415</v>
      </c>
      <c r="D243" s="61">
        <v>18.760000000000002</v>
      </c>
      <c r="E243" s="61">
        <v>19.059999999999999</v>
      </c>
      <c r="F243" s="61">
        <v>-1.5739769150052464E-2</v>
      </c>
      <c r="G243" s="371">
        <f>E243*(1-iDelta*2)</f>
        <v>18.297599999999999</v>
      </c>
      <c r="H243" s="61">
        <f>E243*(1-iDelta*1)</f>
        <v>18.678799999999999</v>
      </c>
      <c r="I243" s="61">
        <f>E243*(1+iDelta*1)</f>
        <v>19.441199999999998</v>
      </c>
      <c r="J243" s="61">
        <f>E243*(1+iDelta*2)</f>
        <v>19.822399999999998</v>
      </c>
    </row>
    <row r="244" spans="1:10" ht="30" customHeight="1" x14ac:dyDescent="0.25">
      <c r="A244" s="62" t="s">
        <v>64</v>
      </c>
      <c r="B244" s="62" t="s">
        <v>419</v>
      </c>
      <c r="C244" s="62" t="s">
        <v>415</v>
      </c>
      <c r="D244" s="61">
        <v>368.05</v>
      </c>
      <c r="E244" s="61">
        <v>369.67</v>
      </c>
      <c r="F244" s="61">
        <v>-4.3822869045364787E-3</v>
      </c>
      <c r="G244" s="371">
        <f>E244*(1-iDelta*2)</f>
        <v>354.88319999999999</v>
      </c>
      <c r="H244" s="61">
        <f>E244*(1-iDelta*1)</f>
        <v>362.27660000000003</v>
      </c>
      <c r="I244" s="61">
        <f>E244*(1+iDelta*1)</f>
        <v>377.0634</v>
      </c>
      <c r="J244" s="61">
        <f>E244*(1+iDelta*2)</f>
        <v>384.45680000000004</v>
      </c>
    </row>
    <row r="245" spans="1:10" ht="30" customHeight="1" x14ac:dyDescent="0.25">
      <c r="A245" s="62" t="s">
        <v>295</v>
      </c>
      <c r="B245" s="62" t="s">
        <v>416</v>
      </c>
      <c r="C245" s="62" t="s">
        <v>415</v>
      </c>
      <c r="D245" s="61">
        <v>63.63</v>
      </c>
      <c r="E245" s="61">
        <v>63.9</v>
      </c>
      <c r="F245" s="61">
        <v>-4.2253521126760559E-3</v>
      </c>
      <c r="G245" s="371">
        <f>E245*(1-iDelta*2)</f>
        <v>61.343999999999994</v>
      </c>
      <c r="H245" s="61">
        <f>E245*(1-iDelta*1)</f>
        <v>62.622</v>
      </c>
      <c r="I245" s="61">
        <f>E245*(1+iDelta*1)</f>
        <v>65.177999999999997</v>
      </c>
      <c r="J245" s="61">
        <f>E245*(1+iDelta*2)</f>
        <v>66.456000000000003</v>
      </c>
    </row>
    <row r="246" spans="1:10" ht="30" customHeight="1" x14ac:dyDescent="0.25">
      <c r="A246" s="62" t="s">
        <v>296</v>
      </c>
      <c r="B246" s="62" t="s">
        <v>416</v>
      </c>
      <c r="C246" s="62" t="s">
        <v>415</v>
      </c>
      <c r="D246" s="61">
        <v>15.66</v>
      </c>
      <c r="E246" s="61">
        <v>15.74</v>
      </c>
      <c r="F246" s="61">
        <v>-5.0825921219822112E-3</v>
      </c>
      <c r="G246" s="371">
        <f>E246*(1-iDelta*2)</f>
        <v>15.1104</v>
      </c>
      <c r="H246" s="61">
        <f>E246*(1-iDelta*1)</f>
        <v>15.4252</v>
      </c>
      <c r="I246" s="61">
        <f>E246*(1+iDelta*1)</f>
        <v>16.0548</v>
      </c>
      <c r="J246" s="61">
        <f>E246*(1+iDelta*2)</f>
        <v>16.369600000000002</v>
      </c>
    </row>
    <row r="247" spans="1:10" ht="30" customHeight="1" x14ac:dyDescent="0.25">
      <c r="A247" s="62" t="s">
        <v>297</v>
      </c>
      <c r="B247" s="62" t="s">
        <v>416</v>
      </c>
      <c r="C247" s="62" t="s">
        <v>415</v>
      </c>
      <c r="D247" s="61">
        <v>58.18</v>
      </c>
      <c r="E247" s="61">
        <v>57.08</v>
      </c>
      <c r="F247" s="61">
        <v>1.9271198318149965E-2</v>
      </c>
      <c r="G247" s="371">
        <f>E247*(1-iDelta*2)</f>
        <v>54.796799999999998</v>
      </c>
      <c r="H247" s="61">
        <f>E247*(1-iDelta*1)</f>
        <v>55.938399999999994</v>
      </c>
      <c r="I247" s="61">
        <f>E247*(1+iDelta*1)</f>
        <v>58.221600000000002</v>
      </c>
      <c r="J247" s="61">
        <f>E247*(1+iDelta*2)</f>
        <v>59.363199999999999</v>
      </c>
    </row>
    <row r="248" spans="1:10" ht="30" customHeight="1" x14ac:dyDescent="0.25">
      <c r="A248" s="62" t="s">
        <v>298</v>
      </c>
      <c r="B248" s="62" t="s">
        <v>416</v>
      </c>
      <c r="C248" s="62" t="s">
        <v>415</v>
      </c>
      <c r="D248" s="61">
        <v>20.8</v>
      </c>
      <c r="E248" s="61">
        <v>20.65</v>
      </c>
      <c r="F248" s="61">
        <v>7.2639225181598066E-3</v>
      </c>
      <c r="G248" s="371">
        <f>E248*(1-iDelta*2)</f>
        <v>19.823999999999998</v>
      </c>
      <c r="H248" s="61">
        <f>E248*(1-iDelta*1)</f>
        <v>20.236999999999998</v>
      </c>
      <c r="I248" s="61">
        <f>E248*(1+iDelta*1)</f>
        <v>21.062999999999999</v>
      </c>
      <c r="J248" s="61">
        <f>E248*(1+iDelta*2)</f>
        <v>21.475999999999999</v>
      </c>
    </row>
    <row r="249" spans="1:10" ht="30" customHeight="1" x14ac:dyDescent="0.25">
      <c r="A249" s="62" t="s">
        <v>299</v>
      </c>
      <c r="B249" s="62" t="s">
        <v>416</v>
      </c>
      <c r="C249" s="62" t="s">
        <v>415</v>
      </c>
      <c r="D249" s="61">
        <v>38.15</v>
      </c>
      <c r="E249" s="61">
        <v>36.700000000000003</v>
      </c>
      <c r="F249" s="61">
        <v>3.9509536784741145E-2</v>
      </c>
      <c r="G249" s="371">
        <f>E249*(1-iDelta*2)</f>
        <v>35.231999999999999</v>
      </c>
      <c r="H249" s="61">
        <f>E249*(1-iDelta*1)</f>
        <v>35.966000000000001</v>
      </c>
      <c r="I249" s="61">
        <f>E249*(1+iDelta*1)</f>
        <v>37.434000000000005</v>
      </c>
      <c r="J249" s="61">
        <f>E249*(1+iDelta*2)</f>
        <v>38.168000000000006</v>
      </c>
    </row>
    <row r="250" spans="1:10" ht="30" customHeight="1" x14ac:dyDescent="0.25">
      <c r="A250" s="62" t="s">
        <v>300</v>
      </c>
      <c r="B250" s="62" t="s">
        <v>416</v>
      </c>
      <c r="C250" s="62" t="s">
        <v>415</v>
      </c>
      <c r="D250" s="61">
        <v>3.95</v>
      </c>
      <c r="E250" s="61">
        <v>3.89</v>
      </c>
      <c r="F250" s="61">
        <v>1.5424164524421594E-2</v>
      </c>
      <c r="G250" s="371">
        <f>E250*(1-iDelta*2)</f>
        <v>3.7343999999999999</v>
      </c>
      <c r="H250" s="61">
        <f>E250*(1-iDelta*1)</f>
        <v>3.8122000000000003</v>
      </c>
      <c r="I250" s="61">
        <f>E250*(1+iDelta*1)</f>
        <v>3.9678</v>
      </c>
      <c r="J250" s="61">
        <f>E250*(1+iDelta*2)</f>
        <v>4.0456000000000003</v>
      </c>
    </row>
    <row r="251" spans="1:10" ht="30" customHeight="1" x14ac:dyDescent="0.25">
      <c r="A251" s="62" t="s">
        <v>301</v>
      </c>
      <c r="B251" s="62" t="s">
        <v>416</v>
      </c>
      <c r="C251" s="62" t="s">
        <v>415</v>
      </c>
      <c r="D251" s="61">
        <v>15.54</v>
      </c>
      <c r="E251" s="61">
        <v>15.1</v>
      </c>
      <c r="F251" s="61">
        <v>2.9139072847682121E-2</v>
      </c>
      <c r="G251" s="371">
        <f>E251*(1-iDelta*2)</f>
        <v>14.495999999999999</v>
      </c>
      <c r="H251" s="61">
        <f>E251*(1-iDelta*1)</f>
        <v>14.798</v>
      </c>
      <c r="I251" s="61">
        <f>E251*(1+iDelta*1)</f>
        <v>15.401999999999999</v>
      </c>
      <c r="J251" s="61">
        <f>E251*(1+iDelta*2)</f>
        <v>15.704000000000001</v>
      </c>
    </row>
    <row r="252" spans="1:10" ht="30" customHeight="1" x14ac:dyDescent="0.25">
      <c r="A252" s="62" t="s">
        <v>302</v>
      </c>
      <c r="B252" s="62" t="s">
        <v>416</v>
      </c>
      <c r="C252" s="62" t="s">
        <v>415</v>
      </c>
      <c r="D252" s="61">
        <v>12.03</v>
      </c>
      <c r="E252" s="61">
        <v>12.01</v>
      </c>
      <c r="F252" s="61">
        <v>1.6652789342214821E-3</v>
      </c>
      <c r="G252" s="371">
        <f>E252*(1-iDelta*2)</f>
        <v>11.529599999999999</v>
      </c>
      <c r="H252" s="61">
        <f>E252*(1-iDelta*1)</f>
        <v>11.7698</v>
      </c>
      <c r="I252" s="61">
        <f>E252*(1+iDelta*1)</f>
        <v>12.2502</v>
      </c>
      <c r="J252" s="61">
        <f>E252*(1+iDelta*2)</f>
        <v>12.490400000000001</v>
      </c>
    </row>
    <row r="253" spans="1:10" ht="30" customHeight="1" x14ac:dyDescent="0.25">
      <c r="A253" s="62" t="s">
        <v>303</v>
      </c>
      <c r="B253" s="62" t="s">
        <v>416</v>
      </c>
      <c r="C253" s="62" t="s">
        <v>415</v>
      </c>
      <c r="D253" s="61">
        <v>674.99</v>
      </c>
      <c r="E253" s="61">
        <v>679.98</v>
      </c>
      <c r="F253" s="61">
        <v>-7.3384511309156153E-3</v>
      </c>
      <c r="G253" s="371">
        <f>E253*(1-iDelta*2)</f>
        <v>652.7808</v>
      </c>
      <c r="H253" s="61">
        <f>E253*(1-iDelta*1)</f>
        <v>666.38040000000001</v>
      </c>
      <c r="I253" s="61">
        <f>E253*(1+iDelta*1)</f>
        <v>693.57960000000003</v>
      </c>
      <c r="J253" s="61">
        <f>E253*(1+iDelta*2)</f>
        <v>707.17920000000004</v>
      </c>
    </row>
    <row r="254" spans="1:10" ht="30" customHeight="1" x14ac:dyDescent="0.25">
      <c r="A254" s="62" t="s">
        <v>304</v>
      </c>
      <c r="B254" s="62" t="s">
        <v>416</v>
      </c>
      <c r="C254" s="62" t="s">
        <v>415</v>
      </c>
      <c r="D254" s="61">
        <v>48.51</v>
      </c>
      <c r="E254" s="61">
        <v>49.39</v>
      </c>
      <c r="F254" s="61">
        <v>-1.7817371937639197E-2</v>
      </c>
      <c r="G254" s="371">
        <f>E254*(1-iDelta*2)</f>
        <v>47.414400000000001</v>
      </c>
      <c r="H254" s="61">
        <f>E254*(1-iDelta*1)</f>
        <v>48.402200000000001</v>
      </c>
      <c r="I254" s="61">
        <f>E254*(1+iDelta*1)</f>
        <v>50.377800000000001</v>
      </c>
      <c r="J254" s="61">
        <f>E254*(1+iDelta*2)</f>
        <v>51.365600000000001</v>
      </c>
    </row>
    <row r="255" spans="1:10" ht="30" customHeight="1" x14ac:dyDescent="0.25">
      <c r="A255" s="62" t="s">
        <v>305</v>
      </c>
      <c r="B255" s="62" t="s">
        <v>416</v>
      </c>
      <c r="C255" s="62" t="s">
        <v>415</v>
      </c>
      <c r="D255" s="61">
        <v>123.14</v>
      </c>
      <c r="E255" s="61">
        <v>124.53</v>
      </c>
      <c r="F255" s="61">
        <v>-1.1161969003452983E-2</v>
      </c>
      <c r="G255" s="371">
        <f>E255*(1-iDelta*2)</f>
        <v>119.5488</v>
      </c>
      <c r="H255" s="61">
        <f>E255*(1-iDelta*1)</f>
        <v>122.0394</v>
      </c>
      <c r="I255" s="61">
        <f>E255*(1+iDelta*1)</f>
        <v>127.0206</v>
      </c>
      <c r="J255" s="61">
        <f>E255*(1+iDelta*2)</f>
        <v>129.5112</v>
      </c>
    </row>
    <row r="256" spans="1:10" ht="30" customHeight="1" x14ac:dyDescent="0.25">
      <c r="A256" s="62" t="s">
        <v>306</v>
      </c>
      <c r="B256" s="62" t="s">
        <v>416</v>
      </c>
      <c r="C256" s="62" t="s">
        <v>415</v>
      </c>
      <c r="D256" s="61">
        <v>14.8</v>
      </c>
      <c r="E256" s="61">
        <v>14.76</v>
      </c>
      <c r="F256" s="61">
        <v>2.7100271002710027E-3</v>
      </c>
      <c r="G256" s="371">
        <f>E256*(1-iDelta*2)</f>
        <v>14.169599999999999</v>
      </c>
      <c r="H256" s="61">
        <f>E256*(1-iDelta*1)</f>
        <v>14.4648</v>
      </c>
      <c r="I256" s="61">
        <f>E256*(1+iDelta*1)</f>
        <v>15.055199999999999</v>
      </c>
      <c r="J256" s="61">
        <f>E256*(1+iDelta*2)</f>
        <v>15.3504</v>
      </c>
    </row>
    <row r="257" spans="1:10" ht="30" customHeight="1" x14ac:dyDescent="0.25">
      <c r="A257" s="62" t="s">
        <v>307</v>
      </c>
      <c r="B257" s="62" t="s">
        <v>416</v>
      </c>
      <c r="C257" s="62" t="s">
        <v>415</v>
      </c>
      <c r="D257" s="61">
        <v>45.35</v>
      </c>
      <c r="E257" s="61">
        <v>44.83</v>
      </c>
      <c r="F257" s="61">
        <v>1.159937541824671E-2</v>
      </c>
      <c r="G257" s="371">
        <f>E257*(1-iDelta*2)</f>
        <v>43.036799999999999</v>
      </c>
      <c r="H257" s="61">
        <f>E257*(1-iDelta*1)</f>
        <v>43.933399999999999</v>
      </c>
      <c r="I257" s="61">
        <f>E257*(1+iDelta*1)</f>
        <v>45.726599999999998</v>
      </c>
      <c r="J257" s="61">
        <f>E257*(1+iDelta*2)</f>
        <v>46.623199999999997</v>
      </c>
    </row>
    <row r="258" spans="1:10" ht="30" customHeight="1" x14ac:dyDescent="0.25">
      <c r="A258" s="62" t="s">
        <v>78</v>
      </c>
      <c r="B258" s="62" t="s">
        <v>419</v>
      </c>
      <c r="C258" s="62" t="s">
        <v>415</v>
      </c>
      <c r="D258" s="61">
        <v>21.4</v>
      </c>
      <c r="E258" s="61">
        <v>21.51</v>
      </c>
      <c r="F258" s="61">
        <v>-5.1139005113900512E-3</v>
      </c>
      <c r="G258" s="371">
        <f>E258*(1-iDelta*2)</f>
        <v>20.6496</v>
      </c>
      <c r="H258" s="61">
        <f>E258*(1-iDelta*1)</f>
        <v>21.079800000000002</v>
      </c>
      <c r="I258" s="61">
        <f>E258*(1+iDelta*1)</f>
        <v>21.940200000000001</v>
      </c>
      <c r="J258" s="61">
        <f>E258*(1+iDelta*2)</f>
        <v>22.370400000000004</v>
      </c>
    </row>
    <row r="259" spans="1:10" ht="30" customHeight="1" x14ac:dyDescent="0.25">
      <c r="A259" s="62" t="s">
        <v>308</v>
      </c>
      <c r="B259" s="62" t="s">
        <v>416</v>
      </c>
      <c r="C259" s="62" t="s">
        <v>415</v>
      </c>
      <c r="D259" s="61">
        <v>119.05</v>
      </c>
      <c r="E259" s="61">
        <v>119.03</v>
      </c>
      <c r="F259" s="61">
        <v>1.6802486768041671E-4</v>
      </c>
      <c r="G259" s="371">
        <f>E259*(1-iDelta*2)</f>
        <v>114.2688</v>
      </c>
      <c r="H259" s="61">
        <f>E259*(1-iDelta*1)</f>
        <v>116.6494</v>
      </c>
      <c r="I259" s="61">
        <f>E259*(1+iDelta*1)</f>
        <v>121.4106</v>
      </c>
      <c r="J259" s="61">
        <f>E259*(1+iDelta*2)</f>
        <v>123.7912</v>
      </c>
    </row>
    <row r="260" spans="1:10" ht="30" customHeight="1" x14ac:dyDescent="0.25">
      <c r="A260" s="62" t="s">
        <v>79</v>
      </c>
      <c r="B260" s="62" t="s">
        <v>419</v>
      </c>
      <c r="C260" s="62" t="s">
        <v>415</v>
      </c>
      <c r="D260" s="61">
        <v>107.12</v>
      </c>
      <c r="E260" s="61">
        <v>106.98</v>
      </c>
      <c r="F260" s="61">
        <v>1.3086558235184146E-3</v>
      </c>
      <c r="G260" s="371">
        <f>E260*(1-iDelta*2)</f>
        <v>102.7008</v>
      </c>
      <c r="H260" s="61">
        <f>E260*(1-iDelta*1)</f>
        <v>104.8404</v>
      </c>
      <c r="I260" s="61">
        <f>E260*(1+iDelta*1)</f>
        <v>109.11960000000001</v>
      </c>
      <c r="J260" s="61">
        <f>E260*(1+iDelta*2)</f>
        <v>111.25920000000001</v>
      </c>
    </row>
    <row r="261" spans="1:10" ht="30" customHeight="1" x14ac:dyDescent="0.25">
      <c r="A261" s="62" t="s">
        <v>309</v>
      </c>
      <c r="B261" s="62" t="s">
        <v>416</v>
      </c>
      <c r="C261" s="62" t="s">
        <v>415</v>
      </c>
      <c r="D261" s="61">
        <v>51.07</v>
      </c>
      <c r="E261" s="61">
        <v>49.39</v>
      </c>
      <c r="F261" s="61">
        <v>3.4014982790038471E-2</v>
      </c>
      <c r="G261" s="371">
        <f>E261*(1-iDelta*2)</f>
        <v>47.414400000000001</v>
      </c>
      <c r="H261" s="61">
        <f>E261*(1-iDelta*1)</f>
        <v>48.402200000000001</v>
      </c>
      <c r="I261" s="61">
        <f>E261*(1+iDelta*1)</f>
        <v>50.377800000000001</v>
      </c>
      <c r="J261" s="61">
        <f>E261*(1+iDelta*2)</f>
        <v>51.365600000000001</v>
      </c>
    </row>
    <row r="262" spans="1:10" ht="30" customHeight="1" x14ac:dyDescent="0.25">
      <c r="A262" s="62" t="s">
        <v>80</v>
      </c>
      <c r="B262" s="62" t="s">
        <v>419</v>
      </c>
      <c r="C262" s="62" t="s">
        <v>415</v>
      </c>
      <c r="D262" s="61">
        <v>30.56</v>
      </c>
      <c r="E262" s="61">
        <v>30.98</v>
      </c>
      <c r="F262" s="61">
        <v>-1.355713363460297E-2</v>
      </c>
      <c r="G262" s="371">
        <f>E262*(1-iDelta*2)</f>
        <v>29.7408</v>
      </c>
      <c r="H262" s="61">
        <f>E262*(1-iDelta*1)</f>
        <v>30.360399999999998</v>
      </c>
      <c r="I262" s="61">
        <f>E262*(1+iDelta*1)</f>
        <v>31.599600000000002</v>
      </c>
      <c r="J262" s="61">
        <f>E262*(1+iDelta*2)</f>
        <v>32.219200000000001</v>
      </c>
    </row>
    <row r="263" spans="1:10" ht="30" customHeight="1" x14ac:dyDescent="0.25">
      <c r="A263" s="62" t="s">
        <v>81</v>
      </c>
      <c r="B263" s="62" t="s">
        <v>419</v>
      </c>
      <c r="C263" s="62" t="s">
        <v>415</v>
      </c>
      <c r="D263" s="61">
        <v>8.43</v>
      </c>
      <c r="E263" s="61">
        <v>8.4600000000000009</v>
      </c>
      <c r="F263" s="61">
        <v>-3.5460992907801418E-3</v>
      </c>
      <c r="G263" s="371">
        <f>E263*(1-iDelta*2)</f>
        <v>8.1216000000000008</v>
      </c>
      <c r="H263" s="61">
        <f>E263*(1-iDelta*1)</f>
        <v>8.2908000000000008</v>
      </c>
      <c r="I263" s="61">
        <f>E263*(1+iDelta*1)</f>
        <v>8.6292000000000009</v>
      </c>
      <c r="J263" s="61">
        <f>E263*(1+iDelta*2)</f>
        <v>8.7984000000000009</v>
      </c>
    </row>
    <row r="264" spans="1:10" ht="30" customHeight="1" x14ac:dyDescent="0.25">
      <c r="A264" s="62" t="s">
        <v>310</v>
      </c>
      <c r="B264" s="62" t="s">
        <v>416</v>
      </c>
      <c r="C264" s="62" t="s">
        <v>415</v>
      </c>
      <c r="D264" s="61">
        <v>37.200000000000003</v>
      </c>
      <c r="E264" s="61">
        <v>39</v>
      </c>
      <c r="F264" s="61">
        <v>-4.6153846153846156E-2</v>
      </c>
      <c r="G264" s="371">
        <f>E264*(1-iDelta*2)</f>
        <v>37.44</v>
      </c>
      <c r="H264" s="61">
        <f>E264*(1-iDelta*1)</f>
        <v>38.22</v>
      </c>
      <c r="I264" s="61">
        <f>E264*(1+iDelta*1)</f>
        <v>39.78</v>
      </c>
      <c r="J264" s="61">
        <f>E264*(1+iDelta*2)</f>
        <v>40.56</v>
      </c>
    </row>
    <row r="265" spans="1:10" ht="30" customHeight="1" x14ac:dyDescent="0.25">
      <c r="A265" s="62" t="s">
        <v>311</v>
      </c>
      <c r="B265" s="62" t="s">
        <v>416</v>
      </c>
      <c r="C265" s="62" t="s">
        <v>415</v>
      </c>
      <c r="D265" s="61">
        <v>64.040000000000006</v>
      </c>
      <c r="E265" s="61">
        <v>63.46</v>
      </c>
      <c r="F265" s="61">
        <v>9.1396155058304437E-3</v>
      </c>
      <c r="G265" s="371">
        <f>E265*(1-iDelta*2)</f>
        <v>60.921599999999998</v>
      </c>
      <c r="H265" s="61">
        <f>E265*(1-iDelta*1)</f>
        <v>62.190800000000003</v>
      </c>
      <c r="I265" s="61">
        <f>E265*(1+iDelta*1)</f>
        <v>64.729200000000006</v>
      </c>
      <c r="J265" s="61">
        <f>E265*(1+iDelta*2)</f>
        <v>65.998400000000004</v>
      </c>
    </row>
    <row r="266" spans="1:10" ht="30" customHeight="1" x14ac:dyDescent="0.25">
      <c r="A266" s="62" t="s">
        <v>82</v>
      </c>
      <c r="B266" s="62" t="s">
        <v>419</v>
      </c>
      <c r="C266" s="62" t="s">
        <v>415</v>
      </c>
      <c r="D266" s="61">
        <v>14.86</v>
      </c>
      <c r="E266" s="61">
        <v>14.88</v>
      </c>
      <c r="F266" s="61">
        <v>-1.3440860215053762E-3</v>
      </c>
      <c r="G266" s="371">
        <f>E266*(1-iDelta*2)</f>
        <v>14.284800000000001</v>
      </c>
      <c r="H266" s="61">
        <f>E266*(1-iDelta*1)</f>
        <v>14.5824</v>
      </c>
      <c r="I266" s="61">
        <f>E266*(1+iDelta*1)</f>
        <v>15.177600000000002</v>
      </c>
      <c r="J266" s="61">
        <f>E266*(1+iDelta*2)</f>
        <v>15.475200000000001</v>
      </c>
    </row>
    <row r="267" spans="1:10" ht="30" customHeight="1" x14ac:dyDescent="0.25">
      <c r="A267" s="62" t="s">
        <v>312</v>
      </c>
      <c r="B267" s="62" t="s">
        <v>416</v>
      </c>
      <c r="C267" s="62" t="s">
        <v>415</v>
      </c>
      <c r="D267" s="61">
        <v>59.62</v>
      </c>
      <c r="E267" s="61">
        <v>60.06</v>
      </c>
      <c r="F267" s="61">
        <v>-7.326007326007326E-3</v>
      </c>
      <c r="G267" s="371">
        <f>E267*(1-iDelta*2)</f>
        <v>57.657600000000002</v>
      </c>
      <c r="H267" s="61">
        <f>E267*(1-iDelta*1)</f>
        <v>58.858800000000002</v>
      </c>
      <c r="I267" s="61">
        <f>E267*(1+iDelta*1)</f>
        <v>61.261200000000002</v>
      </c>
      <c r="J267" s="61">
        <f>E267*(1+iDelta*2)</f>
        <v>62.462400000000002</v>
      </c>
    </row>
    <row r="268" spans="1:10" ht="30" customHeight="1" x14ac:dyDescent="0.25">
      <c r="A268" s="62" t="s">
        <v>313</v>
      </c>
      <c r="B268" s="62" t="s">
        <v>416</v>
      </c>
      <c r="C268" s="62" t="s">
        <v>415</v>
      </c>
      <c r="D268" s="61">
        <v>41.13</v>
      </c>
      <c r="E268" s="61">
        <v>40.82</v>
      </c>
      <c r="F268" s="61">
        <v>7.5943165115139634E-3</v>
      </c>
      <c r="G268" s="371">
        <f>E268*(1-iDelta*2)</f>
        <v>39.187199999999997</v>
      </c>
      <c r="H268" s="61">
        <f>E268*(1-iDelta*1)</f>
        <v>40.003599999999999</v>
      </c>
      <c r="I268" s="61">
        <f>E268*(1+iDelta*1)</f>
        <v>41.636400000000002</v>
      </c>
      <c r="J268" s="61">
        <f>E268*(1+iDelta*2)</f>
        <v>42.452800000000003</v>
      </c>
    </row>
    <row r="269" spans="1:10" ht="30" customHeight="1" x14ac:dyDescent="0.25">
      <c r="A269" s="62" t="s">
        <v>314</v>
      </c>
      <c r="B269" s="62" t="s">
        <v>416</v>
      </c>
      <c r="C269" s="62" t="s">
        <v>415</v>
      </c>
      <c r="D269" s="61">
        <v>72.14</v>
      </c>
      <c r="E269" s="61">
        <v>72.400000000000006</v>
      </c>
      <c r="F269" s="61">
        <v>-3.5911602209944752E-3</v>
      </c>
      <c r="G269" s="371">
        <f>E269*(1-iDelta*2)</f>
        <v>69.504000000000005</v>
      </c>
      <c r="H269" s="61">
        <f>E269*(1-iDelta*1)</f>
        <v>70.951999999999998</v>
      </c>
      <c r="I269" s="61">
        <f>E269*(1+iDelta*1)</f>
        <v>73.848000000000013</v>
      </c>
      <c r="J269" s="61">
        <f>E269*(1+iDelta*2)</f>
        <v>75.296000000000006</v>
      </c>
    </row>
    <row r="270" spans="1:10" ht="30" customHeight="1" x14ac:dyDescent="0.25">
      <c r="A270" s="62" t="s">
        <v>315</v>
      </c>
      <c r="B270" s="62" t="s">
        <v>416</v>
      </c>
      <c r="C270" s="62" t="s">
        <v>415</v>
      </c>
      <c r="D270" s="61">
        <v>38.950000000000003</v>
      </c>
      <c r="E270" s="61">
        <v>38.6</v>
      </c>
      <c r="F270" s="61">
        <v>9.0673575129533671E-3</v>
      </c>
      <c r="G270" s="371">
        <f>E270*(1-iDelta*2)</f>
        <v>37.055999999999997</v>
      </c>
      <c r="H270" s="61">
        <f>E270*(1-iDelta*1)</f>
        <v>37.828000000000003</v>
      </c>
      <c r="I270" s="61">
        <f>E270*(1+iDelta*1)</f>
        <v>39.372</v>
      </c>
      <c r="J270" s="61">
        <f>E270*(1+iDelta*2)</f>
        <v>40.144000000000005</v>
      </c>
    </row>
    <row r="271" spans="1:10" ht="30" customHeight="1" x14ac:dyDescent="0.25">
      <c r="A271" s="62" t="s">
        <v>316</v>
      </c>
      <c r="B271" s="62" t="s">
        <v>416</v>
      </c>
      <c r="C271" s="62" t="s">
        <v>415</v>
      </c>
      <c r="D271" s="61">
        <v>19.5</v>
      </c>
      <c r="E271" s="61">
        <v>20.079999999999998</v>
      </c>
      <c r="F271" s="61">
        <v>-2.8884462151394421E-2</v>
      </c>
      <c r="G271" s="371">
        <f>E271*(1-iDelta*2)</f>
        <v>19.276799999999998</v>
      </c>
      <c r="H271" s="61">
        <f>E271*(1-iDelta*1)</f>
        <v>19.678399999999996</v>
      </c>
      <c r="I271" s="61">
        <f>E271*(1+iDelta*1)</f>
        <v>20.4816</v>
      </c>
      <c r="J271" s="61">
        <f>E271*(1+iDelta*2)</f>
        <v>20.883199999999999</v>
      </c>
    </row>
    <row r="272" spans="1:10" ht="30" customHeight="1" x14ac:dyDescent="0.25">
      <c r="A272" s="62" t="s">
        <v>317</v>
      </c>
      <c r="B272" s="62" t="s">
        <v>416</v>
      </c>
      <c r="C272" s="62" t="s">
        <v>415</v>
      </c>
      <c r="D272" s="61">
        <v>80.06</v>
      </c>
      <c r="E272" s="61">
        <v>83.11</v>
      </c>
      <c r="F272" s="61">
        <v>-3.6698351582240406E-2</v>
      </c>
      <c r="G272" s="371">
        <f>E272*(1-iDelta*2)</f>
        <v>79.785600000000002</v>
      </c>
      <c r="H272" s="61">
        <f>E272*(1-iDelta*1)</f>
        <v>81.447800000000001</v>
      </c>
      <c r="I272" s="61">
        <f>E272*(1+iDelta*1)</f>
        <v>84.772199999999998</v>
      </c>
      <c r="J272" s="61">
        <f>E272*(1+iDelta*2)</f>
        <v>86.434399999999997</v>
      </c>
    </row>
    <row r="273" spans="1:10" ht="30" customHeight="1" x14ac:dyDescent="0.25">
      <c r="A273" s="62" t="s">
        <v>318</v>
      </c>
      <c r="B273" s="62" t="s">
        <v>416</v>
      </c>
      <c r="C273" s="62" t="s">
        <v>415</v>
      </c>
      <c r="D273" s="61">
        <v>19.32</v>
      </c>
      <c r="E273" s="61">
        <v>19.23</v>
      </c>
      <c r="F273" s="61">
        <v>4.6801872074882997E-3</v>
      </c>
      <c r="G273" s="371">
        <f>E273*(1-iDelta*2)</f>
        <v>18.460799999999999</v>
      </c>
      <c r="H273" s="61">
        <f>E273*(1-iDelta*1)</f>
        <v>18.845400000000001</v>
      </c>
      <c r="I273" s="61">
        <f>E273*(1+iDelta*1)</f>
        <v>19.614599999999999</v>
      </c>
      <c r="J273" s="61">
        <f>E273*(1+iDelta*2)</f>
        <v>19.999200000000002</v>
      </c>
    </row>
    <row r="274" spans="1:10" ht="30" customHeight="1" x14ac:dyDescent="0.25">
      <c r="A274" s="62" t="s">
        <v>83</v>
      </c>
      <c r="B274" s="62" t="s">
        <v>419</v>
      </c>
      <c r="C274" s="62" t="s">
        <v>415</v>
      </c>
      <c r="D274" s="61">
        <v>117.03</v>
      </c>
      <c r="E274" s="61">
        <v>116.34</v>
      </c>
      <c r="F274" s="61">
        <v>5.9308922124806599E-3</v>
      </c>
      <c r="G274" s="371">
        <f>E274*(1-iDelta*2)</f>
        <v>111.68640000000001</v>
      </c>
      <c r="H274" s="61">
        <f>E274*(1-iDelta*1)</f>
        <v>114.0132</v>
      </c>
      <c r="I274" s="61">
        <f>E274*(1+iDelta*1)</f>
        <v>118.66680000000001</v>
      </c>
      <c r="J274" s="61">
        <f>E274*(1+iDelta*2)</f>
        <v>120.9936</v>
      </c>
    </row>
    <row r="275" spans="1:10" ht="30" customHeight="1" x14ac:dyDescent="0.25">
      <c r="A275" s="62" t="s">
        <v>319</v>
      </c>
      <c r="B275" s="62" t="s">
        <v>416</v>
      </c>
      <c r="C275" s="62" t="s">
        <v>415</v>
      </c>
      <c r="D275" s="61">
        <v>50.15</v>
      </c>
      <c r="E275" s="61">
        <v>49.4</v>
      </c>
      <c r="F275" s="61">
        <v>1.5182186234817813E-2</v>
      </c>
      <c r="G275" s="371">
        <f>E275*(1-iDelta*2)</f>
        <v>47.423999999999999</v>
      </c>
      <c r="H275" s="61">
        <f>E275*(1-iDelta*1)</f>
        <v>48.411999999999999</v>
      </c>
      <c r="I275" s="61">
        <f>E275*(1+iDelta*1)</f>
        <v>50.387999999999998</v>
      </c>
      <c r="J275" s="61">
        <f>E275*(1+iDelta*2)</f>
        <v>51.375999999999998</v>
      </c>
    </row>
    <row r="276" spans="1:10" ht="30" customHeight="1" x14ac:dyDescent="0.25">
      <c r="A276" s="62" t="s">
        <v>84</v>
      </c>
      <c r="B276" s="62" t="s">
        <v>419</v>
      </c>
      <c r="C276" s="62" t="s">
        <v>415</v>
      </c>
      <c r="D276" s="61">
        <v>8.1</v>
      </c>
      <c r="E276" s="61">
        <v>8</v>
      </c>
      <c r="F276" s="61">
        <v>1.2500000000000001E-2</v>
      </c>
      <c r="G276" s="371">
        <f>E276*(1-iDelta*2)</f>
        <v>7.68</v>
      </c>
      <c r="H276" s="61">
        <f>E276*(1-iDelta*1)</f>
        <v>7.84</v>
      </c>
      <c r="I276" s="61">
        <f>E276*(1+iDelta*1)</f>
        <v>8.16</v>
      </c>
      <c r="J276" s="61">
        <f>E276*(1+iDelta*2)</f>
        <v>8.32</v>
      </c>
    </row>
    <row r="277" spans="1:10" ht="30" customHeight="1" x14ac:dyDescent="0.25">
      <c r="A277" s="62" t="s">
        <v>320</v>
      </c>
      <c r="B277" s="62" t="s">
        <v>416</v>
      </c>
      <c r="C277" s="62" t="s">
        <v>415</v>
      </c>
      <c r="D277" s="61">
        <v>26.81</v>
      </c>
      <c r="E277" s="61">
        <v>25.18</v>
      </c>
      <c r="F277" s="61">
        <v>6.4733915806195391E-2</v>
      </c>
      <c r="G277" s="371">
        <f>E277*(1-iDelta*2)</f>
        <v>24.172799999999999</v>
      </c>
      <c r="H277" s="61">
        <f>E277*(1-iDelta*1)</f>
        <v>24.676400000000001</v>
      </c>
      <c r="I277" s="61">
        <f>E277*(1+iDelta*1)</f>
        <v>25.683599999999998</v>
      </c>
      <c r="J277" s="61">
        <f>E277*(1+iDelta*2)</f>
        <v>26.187200000000001</v>
      </c>
    </row>
    <row r="278" spans="1:10" ht="30" customHeight="1" x14ac:dyDescent="0.25">
      <c r="A278" s="62" t="s">
        <v>85</v>
      </c>
      <c r="B278" s="62" t="s">
        <v>419</v>
      </c>
      <c r="C278" s="62" t="s">
        <v>415</v>
      </c>
      <c r="D278" s="61">
        <v>127.14</v>
      </c>
      <c r="E278" s="61">
        <v>126.74</v>
      </c>
      <c r="F278" s="61">
        <v>3.1560675398453527E-3</v>
      </c>
      <c r="G278" s="371">
        <f>E278*(1-iDelta*2)</f>
        <v>121.67039999999999</v>
      </c>
      <c r="H278" s="61">
        <f>E278*(1-iDelta*1)</f>
        <v>124.20519999999999</v>
      </c>
      <c r="I278" s="61">
        <f>E278*(1+iDelta*1)</f>
        <v>129.2748</v>
      </c>
      <c r="J278" s="61">
        <f>E278*(1+iDelta*2)</f>
        <v>131.80959999999999</v>
      </c>
    </row>
    <row r="279" spans="1:10" ht="30" customHeight="1" x14ac:dyDescent="0.25">
      <c r="A279" s="62" t="s">
        <v>321</v>
      </c>
      <c r="B279" s="62" t="s">
        <v>416</v>
      </c>
      <c r="C279" s="62" t="s">
        <v>415</v>
      </c>
      <c r="D279" s="61">
        <v>19.260000000000002</v>
      </c>
      <c r="E279" s="61">
        <v>19.690000000000001</v>
      </c>
      <c r="F279" s="61">
        <v>-2.1838496698831894E-2</v>
      </c>
      <c r="G279" s="371">
        <f>E279*(1-iDelta*2)</f>
        <v>18.9024</v>
      </c>
      <c r="H279" s="61">
        <f>E279*(1-iDelta*1)</f>
        <v>19.296200000000002</v>
      </c>
      <c r="I279" s="61">
        <f>E279*(1+iDelta*1)</f>
        <v>20.0838</v>
      </c>
      <c r="J279" s="61">
        <f>E279*(1+iDelta*2)</f>
        <v>20.477600000000002</v>
      </c>
    </row>
    <row r="280" spans="1:10" ht="30" customHeight="1" x14ac:dyDescent="0.25">
      <c r="A280" s="62" t="s">
        <v>322</v>
      </c>
      <c r="B280" s="62" t="s">
        <v>416</v>
      </c>
      <c r="C280" s="62" t="s">
        <v>415</v>
      </c>
      <c r="D280" s="61">
        <v>170.5</v>
      </c>
      <c r="E280" s="61">
        <v>146.38999999999999</v>
      </c>
      <c r="F280" s="61">
        <v>0.16469704214768768</v>
      </c>
      <c r="G280" s="371">
        <f>E280*(1-iDelta*2)</f>
        <v>140.53439999999998</v>
      </c>
      <c r="H280" s="61">
        <f>E280*(1-iDelta*1)</f>
        <v>143.4622</v>
      </c>
      <c r="I280" s="61">
        <f>E280*(1+iDelta*1)</f>
        <v>149.31779999999998</v>
      </c>
      <c r="J280" s="61">
        <f>E280*(1+iDelta*2)</f>
        <v>152.2456</v>
      </c>
    </row>
    <row r="281" spans="1:10" ht="30" customHeight="1" x14ac:dyDescent="0.25">
      <c r="A281" s="62" t="s">
        <v>323</v>
      </c>
      <c r="B281" s="62" t="s">
        <v>416</v>
      </c>
      <c r="C281" s="62" t="s">
        <v>415</v>
      </c>
      <c r="D281" s="61">
        <v>35.159999999999997</v>
      </c>
      <c r="E281" s="61">
        <v>33.96</v>
      </c>
      <c r="F281" s="61">
        <v>3.5335689045936397E-2</v>
      </c>
      <c r="G281" s="371">
        <f>E281*(1-iDelta*2)</f>
        <v>32.601599999999998</v>
      </c>
      <c r="H281" s="61">
        <f>E281*(1-iDelta*1)</f>
        <v>33.280799999999999</v>
      </c>
      <c r="I281" s="61">
        <f>E281*(1+iDelta*1)</f>
        <v>34.639200000000002</v>
      </c>
      <c r="J281" s="61">
        <f>E281*(1+iDelta*2)</f>
        <v>35.318400000000004</v>
      </c>
    </row>
    <row r="282" spans="1:10" ht="30" customHeight="1" x14ac:dyDescent="0.25">
      <c r="A282" s="62" t="s">
        <v>324</v>
      </c>
      <c r="B282" s="62" t="s">
        <v>416</v>
      </c>
      <c r="C282" s="62" t="s">
        <v>415</v>
      </c>
      <c r="D282" s="61">
        <v>27.96</v>
      </c>
      <c r="E282" s="61">
        <v>27.94</v>
      </c>
      <c r="F282" s="61">
        <v>7.158196134574087E-4</v>
      </c>
      <c r="G282" s="371">
        <f>E282*(1-iDelta*2)</f>
        <v>26.822400000000002</v>
      </c>
      <c r="H282" s="61">
        <f>E282*(1-iDelta*1)</f>
        <v>27.3812</v>
      </c>
      <c r="I282" s="61">
        <f>E282*(1+iDelta*1)</f>
        <v>28.498800000000003</v>
      </c>
      <c r="J282" s="61">
        <f>E282*(1+iDelta*2)</f>
        <v>29.057600000000001</v>
      </c>
    </row>
    <row r="283" spans="1:10" ht="30" customHeight="1" x14ac:dyDescent="0.25">
      <c r="A283" s="62" t="s">
        <v>325</v>
      </c>
      <c r="B283" s="62" t="s">
        <v>416</v>
      </c>
      <c r="C283" s="62" t="s">
        <v>415</v>
      </c>
      <c r="D283" s="61">
        <v>8.67</v>
      </c>
      <c r="E283" s="61">
        <v>8.61</v>
      </c>
      <c r="F283" s="61">
        <v>6.9686411149825784E-3</v>
      </c>
      <c r="G283" s="371">
        <f>E283*(1-iDelta*2)</f>
        <v>8.2655999999999992</v>
      </c>
      <c r="H283" s="61">
        <f>E283*(1-iDelta*1)</f>
        <v>8.4377999999999993</v>
      </c>
      <c r="I283" s="61">
        <f>E283*(1+iDelta*1)</f>
        <v>8.7821999999999996</v>
      </c>
      <c r="J283" s="61">
        <f>E283*(1+iDelta*2)</f>
        <v>8.9543999999999997</v>
      </c>
    </row>
    <row r="284" spans="1:10" ht="30" customHeight="1" x14ac:dyDescent="0.25">
      <c r="A284" s="62" t="s">
        <v>326</v>
      </c>
      <c r="B284" s="62" t="s">
        <v>416</v>
      </c>
      <c r="C284" s="62" t="s">
        <v>415</v>
      </c>
      <c r="D284" s="61">
        <v>149.26</v>
      </c>
      <c r="E284" s="61">
        <v>153.03</v>
      </c>
      <c r="F284" s="61">
        <v>-2.4635692347905639E-2</v>
      </c>
      <c r="G284" s="371">
        <f>E284*(1-iDelta*2)</f>
        <v>146.90879999999999</v>
      </c>
      <c r="H284" s="61">
        <f>E284*(1-iDelta*1)</f>
        <v>149.96940000000001</v>
      </c>
      <c r="I284" s="61">
        <f>E284*(1+iDelta*1)</f>
        <v>156.09059999999999</v>
      </c>
      <c r="J284" s="61">
        <f>E284*(1+iDelta*2)</f>
        <v>159.15120000000002</v>
      </c>
    </row>
    <row r="285" spans="1:10" ht="30" customHeight="1" x14ac:dyDescent="0.25">
      <c r="A285" s="62" t="s">
        <v>327</v>
      </c>
      <c r="B285" s="62" t="s">
        <v>416</v>
      </c>
      <c r="C285" s="62" t="s">
        <v>415</v>
      </c>
      <c r="D285" s="61">
        <v>4.8</v>
      </c>
      <c r="E285" s="61">
        <v>4.8</v>
      </c>
      <c r="F285" s="61">
        <v>0</v>
      </c>
      <c r="G285" s="371">
        <f>E285*(1-iDelta*2)</f>
        <v>4.6079999999999997</v>
      </c>
      <c r="H285" s="61">
        <f>E285*(1-iDelta*1)</f>
        <v>4.7039999999999997</v>
      </c>
      <c r="I285" s="61">
        <f>E285*(1+iDelta*1)</f>
        <v>4.8959999999999999</v>
      </c>
      <c r="J285" s="61">
        <f>E285*(1+iDelta*2)</f>
        <v>4.992</v>
      </c>
    </row>
    <row r="286" spans="1:10" ht="30" customHeight="1" x14ac:dyDescent="0.25">
      <c r="A286" s="62" t="s">
        <v>328</v>
      </c>
      <c r="B286" s="62" t="s">
        <v>416</v>
      </c>
      <c r="C286" s="62" t="s">
        <v>415</v>
      </c>
      <c r="D286" s="61">
        <v>5.31</v>
      </c>
      <c r="E286" s="61">
        <v>5.13</v>
      </c>
      <c r="F286" s="61">
        <v>3.5087719298245612E-2</v>
      </c>
      <c r="G286" s="371">
        <f>E286*(1-iDelta*2)</f>
        <v>4.9247999999999994</v>
      </c>
      <c r="H286" s="61">
        <f>E286*(1-iDelta*1)</f>
        <v>5.0274000000000001</v>
      </c>
      <c r="I286" s="61">
        <f>E286*(1+iDelta*1)</f>
        <v>5.2325999999999997</v>
      </c>
      <c r="J286" s="61">
        <f>E286*(1+iDelta*2)</f>
        <v>5.3352000000000004</v>
      </c>
    </row>
    <row r="287" spans="1:10" ht="30" customHeight="1" x14ac:dyDescent="0.25">
      <c r="A287" s="62" t="s">
        <v>329</v>
      </c>
      <c r="B287" s="62" t="s">
        <v>416</v>
      </c>
      <c r="C287" s="62" t="s">
        <v>415</v>
      </c>
      <c r="D287" s="61">
        <v>19.899999999999999</v>
      </c>
      <c r="E287" s="61">
        <v>18.12</v>
      </c>
      <c r="F287" s="61">
        <v>9.8233995584988965E-2</v>
      </c>
      <c r="G287" s="371">
        <f>E287*(1-iDelta*2)</f>
        <v>17.395199999999999</v>
      </c>
      <c r="H287" s="61">
        <f>E287*(1-iDelta*1)</f>
        <v>17.7576</v>
      </c>
      <c r="I287" s="61">
        <f>E287*(1+iDelta*1)</f>
        <v>18.482400000000002</v>
      </c>
      <c r="J287" s="61">
        <f>E287*(1+iDelta*2)</f>
        <v>18.844800000000003</v>
      </c>
    </row>
    <row r="288" spans="1:10" ht="30" customHeight="1" x14ac:dyDescent="0.25">
      <c r="A288" s="62" t="s">
        <v>330</v>
      </c>
      <c r="B288" s="62" t="s">
        <v>416</v>
      </c>
      <c r="C288" s="62" t="s">
        <v>415</v>
      </c>
      <c r="D288" s="61">
        <v>17.600000000000001</v>
      </c>
      <c r="E288" s="61">
        <v>17.75</v>
      </c>
      <c r="F288" s="61">
        <v>-8.4507042253521118E-3</v>
      </c>
      <c r="G288" s="371">
        <f>E288*(1-iDelta*2)</f>
        <v>17.04</v>
      </c>
      <c r="H288" s="61">
        <f>E288*(1-iDelta*1)</f>
        <v>17.395</v>
      </c>
      <c r="I288" s="61">
        <f>E288*(1+iDelta*1)</f>
        <v>18.105</v>
      </c>
      <c r="J288" s="61">
        <f>E288*(1+iDelta*2)</f>
        <v>18.46</v>
      </c>
    </row>
    <row r="289" spans="1:10" ht="30" customHeight="1" x14ac:dyDescent="0.25">
      <c r="A289" s="62" t="s">
        <v>331</v>
      </c>
      <c r="B289" s="62" t="s">
        <v>416</v>
      </c>
      <c r="C289" s="62" t="s">
        <v>415</v>
      </c>
      <c r="D289" s="61">
        <v>68.739999999999995</v>
      </c>
      <c r="E289" s="61">
        <v>69.23</v>
      </c>
      <c r="F289" s="61">
        <v>-7.0778564206268957E-3</v>
      </c>
      <c r="G289" s="371">
        <f>E289*(1-iDelta*2)</f>
        <v>66.460800000000006</v>
      </c>
      <c r="H289" s="61">
        <f>E289*(1-iDelta*1)</f>
        <v>67.845399999999998</v>
      </c>
      <c r="I289" s="61">
        <f>E289*(1+iDelta*1)</f>
        <v>70.61460000000001</v>
      </c>
      <c r="J289" s="61">
        <f>E289*(1+iDelta*2)</f>
        <v>71.999200000000002</v>
      </c>
    </row>
    <row r="290" spans="1:10" ht="30" customHeight="1" x14ac:dyDescent="0.25">
      <c r="A290" s="62" t="s">
        <v>332</v>
      </c>
      <c r="B290" s="62" t="s">
        <v>416</v>
      </c>
      <c r="C290" s="62" t="s">
        <v>415</v>
      </c>
      <c r="D290" s="61">
        <v>120.08</v>
      </c>
      <c r="E290" s="61">
        <v>118.95</v>
      </c>
      <c r="F290" s="61">
        <v>9.499789827658681E-3</v>
      </c>
      <c r="G290" s="371">
        <f>E290*(1-iDelta*2)</f>
        <v>114.19199999999999</v>
      </c>
      <c r="H290" s="61">
        <f>E290*(1-iDelta*1)</f>
        <v>116.571</v>
      </c>
      <c r="I290" s="61">
        <f>E290*(1+iDelta*1)</f>
        <v>121.32900000000001</v>
      </c>
      <c r="J290" s="61">
        <f>E290*(1+iDelta*2)</f>
        <v>123.70800000000001</v>
      </c>
    </row>
    <row r="291" spans="1:10" ht="30" customHeight="1" x14ac:dyDescent="0.25">
      <c r="A291" s="62" t="s">
        <v>333</v>
      </c>
      <c r="B291" s="62" t="s">
        <v>416</v>
      </c>
      <c r="C291" s="62" t="s">
        <v>415</v>
      </c>
      <c r="D291" s="61">
        <v>4.74</v>
      </c>
      <c r="E291" s="61">
        <v>4.72</v>
      </c>
      <c r="F291" s="61">
        <v>4.2372881355932203E-3</v>
      </c>
      <c r="G291" s="371">
        <f>E291*(1-iDelta*2)</f>
        <v>4.5311999999999992</v>
      </c>
      <c r="H291" s="61">
        <f>E291*(1-iDelta*1)</f>
        <v>4.6255999999999995</v>
      </c>
      <c r="I291" s="61">
        <f>E291*(1+iDelta*1)</f>
        <v>4.8144</v>
      </c>
      <c r="J291" s="61">
        <f>E291*(1+iDelta*2)</f>
        <v>4.9088000000000003</v>
      </c>
    </row>
    <row r="292" spans="1:10" ht="30" customHeight="1" x14ac:dyDescent="0.25">
      <c r="A292" s="62" t="s">
        <v>334</v>
      </c>
      <c r="B292" s="62" t="s">
        <v>416</v>
      </c>
      <c r="C292" s="62" t="s">
        <v>415</v>
      </c>
      <c r="D292" s="61">
        <v>28.37</v>
      </c>
      <c r="E292" s="61">
        <v>27.61</v>
      </c>
      <c r="F292" s="61">
        <v>2.7526258601955813E-2</v>
      </c>
      <c r="G292" s="371">
        <f>E292*(1-iDelta*2)</f>
        <v>26.505599999999998</v>
      </c>
      <c r="H292" s="61">
        <f>E292*(1-iDelta*1)</f>
        <v>27.0578</v>
      </c>
      <c r="I292" s="61">
        <f>E292*(1+iDelta*1)</f>
        <v>28.162199999999999</v>
      </c>
      <c r="J292" s="61">
        <f>E292*(1+iDelta*2)</f>
        <v>28.714400000000001</v>
      </c>
    </row>
    <row r="293" spans="1:10" ht="30" customHeight="1" x14ac:dyDescent="0.25">
      <c r="A293" s="62" t="s">
        <v>375</v>
      </c>
      <c r="B293" s="62" t="s">
        <v>416</v>
      </c>
      <c r="C293" s="62" t="s">
        <v>415</v>
      </c>
      <c r="D293" s="61">
        <v>14.42</v>
      </c>
      <c r="E293" s="61">
        <v>14.47</v>
      </c>
      <c r="F293" s="61">
        <v>-3.4554250172771253E-3</v>
      </c>
      <c r="G293" s="371">
        <f>E293*(1-iDelta*2)</f>
        <v>13.8912</v>
      </c>
      <c r="H293" s="61">
        <f>E293*(1-iDelta*1)</f>
        <v>14.1806</v>
      </c>
      <c r="I293" s="61">
        <f>E293*(1+iDelta*1)</f>
        <v>14.759400000000001</v>
      </c>
      <c r="J293" s="61">
        <f>E293*(1+iDelta*2)</f>
        <v>15.048800000000002</v>
      </c>
    </row>
    <row r="294" spans="1:10" ht="30" customHeight="1" x14ac:dyDescent="0.25">
      <c r="A294" s="62" t="s">
        <v>335</v>
      </c>
      <c r="B294" s="62" t="s">
        <v>416</v>
      </c>
      <c r="C294" s="62" t="s">
        <v>415</v>
      </c>
      <c r="D294" s="61">
        <v>14.35</v>
      </c>
      <c r="E294" s="61">
        <v>12.93</v>
      </c>
      <c r="F294" s="61">
        <v>0.10982211910286156</v>
      </c>
      <c r="G294" s="371">
        <f>E294*(1-iDelta*2)</f>
        <v>12.412799999999999</v>
      </c>
      <c r="H294" s="61">
        <f>E294*(1-iDelta*1)</f>
        <v>12.6714</v>
      </c>
      <c r="I294" s="61">
        <f>E294*(1+iDelta*1)</f>
        <v>13.188599999999999</v>
      </c>
      <c r="J294" s="61">
        <f>E294*(1+iDelta*2)</f>
        <v>13.4472</v>
      </c>
    </row>
    <row r="295" spans="1:10" ht="30" customHeight="1" x14ac:dyDescent="0.25">
      <c r="A295" s="62" t="s">
        <v>86</v>
      </c>
      <c r="B295" s="62" t="s">
        <v>419</v>
      </c>
      <c r="C295" s="62" t="s">
        <v>415</v>
      </c>
      <c r="D295" s="61">
        <v>89.04</v>
      </c>
      <c r="E295" s="61">
        <v>87.48</v>
      </c>
      <c r="F295" s="61">
        <v>1.7832647462277092E-2</v>
      </c>
      <c r="G295" s="371">
        <f>E295*(1-iDelta*2)</f>
        <v>83.980800000000002</v>
      </c>
      <c r="H295" s="61">
        <f>E295*(1-iDelta*1)</f>
        <v>85.730400000000003</v>
      </c>
      <c r="I295" s="61">
        <f>E295*(1+iDelta*1)</f>
        <v>89.229600000000005</v>
      </c>
      <c r="J295" s="61">
        <f>E295*(1+iDelta*2)</f>
        <v>90.979200000000006</v>
      </c>
    </row>
    <row r="296" spans="1:10" ht="30" customHeight="1" x14ac:dyDescent="0.25">
      <c r="A296" s="62" t="s">
        <v>336</v>
      </c>
      <c r="B296" s="62" t="s">
        <v>416</v>
      </c>
      <c r="C296" s="62" t="s">
        <v>415</v>
      </c>
      <c r="D296" s="61">
        <v>107.14</v>
      </c>
      <c r="E296" s="61">
        <v>109.97</v>
      </c>
      <c r="F296" s="61">
        <v>-2.5734291170319178E-2</v>
      </c>
      <c r="G296" s="371">
        <f>E296*(1-iDelta*2)</f>
        <v>105.57119999999999</v>
      </c>
      <c r="H296" s="61">
        <f>E296*(1-iDelta*1)</f>
        <v>107.7706</v>
      </c>
      <c r="I296" s="61">
        <f>E296*(1+iDelta*1)</f>
        <v>112.1694</v>
      </c>
      <c r="J296" s="61">
        <f>E296*(1+iDelta*2)</f>
        <v>114.36880000000001</v>
      </c>
    </row>
    <row r="297" spans="1:10" ht="30" customHeight="1" x14ac:dyDescent="0.25">
      <c r="A297" s="62" t="s">
        <v>337</v>
      </c>
      <c r="B297" s="62" t="s">
        <v>416</v>
      </c>
      <c r="C297" s="62" t="s">
        <v>415</v>
      </c>
      <c r="D297" s="61">
        <v>87.21</v>
      </c>
      <c r="E297" s="61">
        <v>86.45</v>
      </c>
      <c r="F297" s="61">
        <v>8.7912087912087912E-3</v>
      </c>
      <c r="G297" s="371">
        <f>E297*(1-iDelta*2)</f>
        <v>82.992000000000004</v>
      </c>
      <c r="H297" s="61">
        <f>E297*(1-iDelta*1)</f>
        <v>84.721000000000004</v>
      </c>
      <c r="I297" s="61">
        <f>E297*(1+iDelta*1)</f>
        <v>88.179000000000002</v>
      </c>
      <c r="J297" s="61">
        <f>E297*(1+iDelta*2)</f>
        <v>89.908000000000001</v>
      </c>
    </row>
    <row r="298" spans="1:10" ht="30" customHeight="1" x14ac:dyDescent="0.25">
      <c r="A298" s="62" t="s">
        <v>338</v>
      </c>
      <c r="B298" s="62" t="s">
        <v>416</v>
      </c>
      <c r="C298" s="62" t="s">
        <v>415</v>
      </c>
      <c r="D298" s="61">
        <v>57.99</v>
      </c>
      <c r="E298" s="61">
        <v>58.36</v>
      </c>
      <c r="F298" s="61">
        <v>-6.3399588759424259E-3</v>
      </c>
      <c r="G298" s="371">
        <f>E298*(1-iDelta*2)</f>
        <v>56.025599999999997</v>
      </c>
      <c r="H298" s="61">
        <f>E298*(1-iDelta*1)</f>
        <v>57.192799999999998</v>
      </c>
      <c r="I298" s="61">
        <f>E298*(1+iDelta*1)</f>
        <v>59.527200000000001</v>
      </c>
      <c r="J298" s="61">
        <f>E298*(1+iDelta*2)</f>
        <v>60.694400000000002</v>
      </c>
    </row>
    <row r="299" spans="1:10" ht="30" customHeight="1" x14ac:dyDescent="0.25">
      <c r="A299" s="62" t="s">
        <v>339</v>
      </c>
      <c r="B299" s="62" t="s">
        <v>416</v>
      </c>
      <c r="C299" s="62" t="s">
        <v>415</v>
      </c>
      <c r="D299" s="61">
        <v>48.3</v>
      </c>
      <c r="E299" s="61">
        <v>48.59</v>
      </c>
      <c r="F299" s="61">
        <v>-5.9683062358509981E-3</v>
      </c>
      <c r="G299" s="371">
        <f>E299*(1-iDelta*2)</f>
        <v>46.6464</v>
      </c>
      <c r="H299" s="61">
        <f>E299*(1-iDelta*1)</f>
        <v>47.618200000000002</v>
      </c>
      <c r="I299" s="61">
        <f>E299*(1+iDelta*1)</f>
        <v>49.561800000000005</v>
      </c>
      <c r="J299" s="61">
        <f>E299*(1+iDelta*2)</f>
        <v>50.533600000000007</v>
      </c>
    </row>
    <row r="300" spans="1:10" ht="30" customHeight="1" x14ac:dyDescent="0.25">
      <c r="A300" s="62" t="s">
        <v>340</v>
      </c>
      <c r="B300" s="62" t="s">
        <v>416</v>
      </c>
      <c r="C300" s="62" t="s">
        <v>415</v>
      </c>
      <c r="D300" s="61">
        <v>14.45</v>
      </c>
      <c r="E300" s="61">
        <v>14.23</v>
      </c>
      <c r="F300" s="61">
        <v>1.5460295151089248E-2</v>
      </c>
      <c r="G300" s="371">
        <f>E300*(1-iDelta*2)</f>
        <v>13.6608</v>
      </c>
      <c r="H300" s="61">
        <f>E300*(1-iDelta*1)</f>
        <v>13.945399999999999</v>
      </c>
      <c r="I300" s="61">
        <f>E300*(1+iDelta*1)</f>
        <v>14.514600000000002</v>
      </c>
      <c r="J300" s="61">
        <f>E300*(1+iDelta*2)</f>
        <v>14.799200000000001</v>
      </c>
    </row>
    <row r="301" spans="1:10" ht="30" customHeight="1" x14ac:dyDescent="0.25">
      <c r="A301" s="62" t="s">
        <v>87</v>
      </c>
      <c r="B301" s="62" t="s">
        <v>419</v>
      </c>
      <c r="C301" s="62" t="s">
        <v>415</v>
      </c>
      <c r="D301" s="61">
        <v>136.43</v>
      </c>
      <c r="E301" s="61">
        <v>138.22999999999999</v>
      </c>
      <c r="F301" s="61">
        <v>-1.3021775302032844E-2</v>
      </c>
      <c r="G301" s="371">
        <f>E301*(1-iDelta*2)</f>
        <v>132.70079999999999</v>
      </c>
      <c r="H301" s="61">
        <f>E301*(1-iDelta*1)</f>
        <v>135.46539999999999</v>
      </c>
      <c r="I301" s="61">
        <f>E301*(1+iDelta*1)</f>
        <v>140.99459999999999</v>
      </c>
      <c r="J301" s="61">
        <f>E301*(1+iDelta*2)</f>
        <v>143.75919999999999</v>
      </c>
    </row>
    <row r="302" spans="1:10" ht="30" customHeight="1" x14ac:dyDescent="0.25">
      <c r="A302" s="62" t="s">
        <v>341</v>
      </c>
      <c r="B302" s="62" t="s">
        <v>416</v>
      </c>
      <c r="C302" s="62" t="s">
        <v>415</v>
      </c>
      <c r="D302" s="61">
        <v>42.88</v>
      </c>
      <c r="E302" s="61">
        <v>42.4</v>
      </c>
      <c r="F302" s="61">
        <v>1.1320754716981131E-2</v>
      </c>
      <c r="G302" s="371">
        <f>E302*(1-iDelta*2)</f>
        <v>40.704000000000001</v>
      </c>
      <c r="H302" s="61">
        <f>E302*(1-iDelta*1)</f>
        <v>41.552</v>
      </c>
      <c r="I302" s="61">
        <f>E302*(1+iDelta*1)</f>
        <v>43.247999999999998</v>
      </c>
      <c r="J302" s="61">
        <f>E302*(1+iDelta*2)</f>
        <v>44.095999999999997</v>
      </c>
    </row>
    <row r="303" spans="1:10" ht="30" customHeight="1" x14ac:dyDescent="0.25">
      <c r="A303" s="62" t="s">
        <v>342</v>
      </c>
      <c r="B303" s="62" t="s">
        <v>416</v>
      </c>
      <c r="C303" s="62" t="s">
        <v>415</v>
      </c>
      <c r="D303" s="61">
        <v>3.3</v>
      </c>
      <c r="E303" s="61">
        <v>3.36</v>
      </c>
      <c r="F303" s="61">
        <v>-1.7857142857142856E-2</v>
      </c>
      <c r="G303" s="371">
        <f>E303*(1-iDelta*2)</f>
        <v>3.2255999999999996</v>
      </c>
      <c r="H303" s="61">
        <f>E303*(1-iDelta*1)</f>
        <v>3.2927999999999997</v>
      </c>
      <c r="I303" s="61">
        <f>E303*(1+iDelta*1)</f>
        <v>3.4272</v>
      </c>
      <c r="J303" s="61">
        <f>E303*(1+iDelta*2)</f>
        <v>3.4944000000000002</v>
      </c>
    </row>
    <row r="304" spans="1:10" ht="30" customHeight="1" x14ac:dyDescent="0.25">
      <c r="A304" s="62" t="s">
        <v>88</v>
      </c>
      <c r="B304" s="62" t="s">
        <v>419</v>
      </c>
      <c r="C304" s="62" t="s">
        <v>415</v>
      </c>
      <c r="D304" s="61">
        <v>13.77</v>
      </c>
      <c r="E304" s="61">
        <v>13.93</v>
      </c>
      <c r="F304" s="61">
        <v>-1.148600143575018E-2</v>
      </c>
      <c r="G304" s="371">
        <f>E304*(1-iDelta*2)</f>
        <v>13.3728</v>
      </c>
      <c r="H304" s="61">
        <f>E304*(1-iDelta*1)</f>
        <v>13.651399999999999</v>
      </c>
      <c r="I304" s="61">
        <f>E304*(1+iDelta*1)</f>
        <v>14.208600000000001</v>
      </c>
      <c r="J304" s="61">
        <f>E304*(1+iDelta*2)</f>
        <v>14.4872</v>
      </c>
    </row>
    <row r="305" spans="1:10" ht="30" customHeight="1" x14ac:dyDescent="0.25">
      <c r="A305" s="62" t="s">
        <v>343</v>
      </c>
      <c r="B305" s="62" t="s">
        <v>416</v>
      </c>
      <c r="C305" s="62" t="s">
        <v>415</v>
      </c>
      <c r="D305" s="61">
        <v>47.6</v>
      </c>
      <c r="E305" s="61">
        <v>47.74</v>
      </c>
      <c r="F305" s="61">
        <v>-2.9325513196480938E-3</v>
      </c>
      <c r="G305" s="371">
        <f>E305*(1-iDelta*2)</f>
        <v>45.830399999999997</v>
      </c>
      <c r="H305" s="61">
        <f>E305*(1-iDelta*1)</f>
        <v>46.785200000000003</v>
      </c>
      <c r="I305" s="61">
        <f>E305*(1+iDelta*1)</f>
        <v>48.694800000000001</v>
      </c>
      <c r="J305" s="61">
        <f>E305*(1+iDelta*2)</f>
        <v>49.649600000000007</v>
      </c>
    </row>
    <row r="306" spans="1:10" ht="30" customHeight="1" x14ac:dyDescent="0.25">
      <c r="A306" s="62" t="s">
        <v>89</v>
      </c>
      <c r="B306" s="62" t="s">
        <v>419</v>
      </c>
      <c r="C306" s="62" t="s">
        <v>415</v>
      </c>
      <c r="D306" s="61">
        <v>77.319999999999993</v>
      </c>
      <c r="E306" s="61">
        <v>76.36</v>
      </c>
      <c r="F306" s="61">
        <v>1.2572027239392353E-2</v>
      </c>
      <c r="G306" s="371">
        <f>E306*(1-iDelta*2)</f>
        <v>73.305599999999998</v>
      </c>
      <c r="H306" s="61">
        <f>E306*(1-iDelta*1)</f>
        <v>74.832799999999992</v>
      </c>
      <c r="I306" s="61">
        <f>E306*(1+iDelta*1)</f>
        <v>77.887200000000007</v>
      </c>
      <c r="J306" s="61">
        <f>E306*(1+iDelta*2)</f>
        <v>79.414400000000001</v>
      </c>
    </row>
    <row r="307" spans="1:10" ht="30" customHeight="1" x14ac:dyDescent="0.25">
      <c r="A307" s="62" t="s">
        <v>344</v>
      </c>
      <c r="B307" s="62" t="s">
        <v>416</v>
      </c>
      <c r="C307" s="62" t="s">
        <v>415</v>
      </c>
      <c r="D307" s="61">
        <v>56.79</v>
      </c>
      <c r="E307" s="61">
        <v>57.2</v>
      </c>
      <c r="F307" s="61">
        <v>-7.1678321678321682E-3</v>
      </c>
      <c r="G307" s="371">
        <f>E307*(1-iDelta*2)</f>
        <v>54.911999999999999</v>
      </c>
      <c r="H307" s="61">
        <f>E307*(1-iDelta*1)</f>
        <v>56.056000000000004</v>
      </c>
      <c r="I307" s="61">
        <f>E307*(1+iDelta*1)</f>
        <v>58.344000000000001</v>
      </c>
      <c r="J307" s="61">
        <f>E307*(1+iDelta*2)</f>
        <v>59.488000000000007</v>
      </c>
    </row>
    <row r="308" spans="1:10" ht="30" customHeight="1" x14ac:dyDescent="0.25">
      <c r="A308" s="62" t="s">
        <v>345</v>
      </c>
      <c r="B308" s="62" t="s">
        <v>416</v>
      </c>
      <c r="C308" s="62" t="s">
        <v>415</v>
      </c>
      <c r="D308" s="61">
        <v>21.6</v>
      </c>
      <c r="E308" s="61">
        <v>21.39</v>
      </c>
      <c r="F308" s="61">
        <v>9.8176718092566617E-3</v>
      </c>
      <c r="G308" s="371">
        <f>E308*(1-iDelta*2)</f>
        <v>20.534400000000002</v>
      </c>
      <c r="H308" s="61">
        <f>E308*(1-iDelta*1)</f>
        <v>20.962199999999999</v>
      </c>
      <c r="I308" s="61">
        <f>E308*(1+iDelta*1)</f>
        <v>21.817800000000002</v>
      </c>
      <c r="J308" s="61">
        <f>E308*(1+iDelta*2)</f>
        <v>22.2456</v>
      </c>
    </row>
    <row r="309" spans="1:10" ht="30" customHeight="1" x14ac:dyDescent="0.25">
      <c r="A309" s="62" t="s">
        <v>346</v>
      </c>
      <c r="B309" s="62" t="s">
        <v>416</v>
      </c>
      <c r="C309" s="62" t="s">
        <v>415</v>
      </c>
      <c r="D309" s="61">
        <v>26.63</v>
      </c>
      <c r="E309" s="61">
        <v>25.5</v>
      </c>
      <c r="F309" s="61">
        <v>4.4313725490196076E-2</v>
      </c>
      <c r="G309" s="371">
        <f>E309*(1-iDelta*2)</f>
        <v>24.48</v>
      </c>
      <c r="H309" s="61">
        <f>E309*(1-iDelta*1)</f>
        <v>24.99</v>
      </c>
      <c r="I309" s="61">
        <f>E309*(1+iDelta*1)</f>
        <v>26.01</v>
      </c>
      <c r="J309" s="61">
        <f>E309*(1+iDelta*2)</f>
        <v>26.52</v>
      </c>
    </row>
    <row r="310" spans="1:10" ht="30" customHeight="1" x14ac:dyDescent="0.25">
      <c r="A310" s="62" t="s">
        <v>347</v>
      </c>
      <c r="B310" s="62" t="s">
        <v>416</v>
      </c>
      <c r="C310" s="62" t="s">
        <v>415</v>
      </c>
      <c r="D310" s="61">
        <v>38.74</v>
      </c>
      <c r="E310" s="61">
        <v>37.5</v>
      </c>
      <c r="F310" s="61">
        <v>3.3066666666666668E-2</v>
      </c>
      <c r="G310" s="371">
        <f>E310*(1-iDelta*2)</f>
        <v>36</v>
      </c>
      <c r="H310" s="61">
        <f>E310*(1-iDelta*1)</f>
        <v>36.75</v>
      </c>
      <c r="I310" s="61">
        <f>E310*(1+iDelta*1)</f>
        <v>38.25</v>
      </c>
      <c r="J310" s="61">
        <f>E310*(1+iDelta*2)</f>
        <v>39</v>
      </c>
    </row>
    <row r="311" spans="1:10" ht="30" customHeight="1" x14ac:dyDescent="0.25">
      <c r="A311" s="62" t="s">
        <v>395</v>
      </c>
      <c r="B311" s="62" t="s">
        <v>416</v>
      </c>
      <c r="C311" s="62" t="s">
        <v>418</v>
      </c>
      <c r="D311" s="61">
        <v>0.19</v>
      </c>
      <c r="E311" s="61">
        <v>0.2</v>
      </c>
      <c r="F311" s="61">
        <v>-0.05</v>
      </c>
      <c r="G311" s="371">
        <f>E311*(1-iDelta*2)</f>
        <v>0.192</v>
      </c>
      <c r="H311" s="61">
        <f>E311*(1-iDelta*1)</f>
        <v>0.19600000000000001</v>
      </c>
      <c r="I311" s="61">
        <f>E311*(1+iDelta*1)</f>
        <v>0.20400000000000001</v>
      </c>
      <c r="J311" s="61">
        <f>E311*(1+iDelta*2)</f>
        <v>0.20800000000000002</v>
      </c>
    </row>
    <row r="312" spans="1:10" ht="30" customHeight="1" x14ac:dyDescent="0.25">
      <c r="A312" s="62" t="s">
        <v>348</v>
      </c>
      <c r="B312" s="62" t="s">
        <v>416</v>
      </c>
      <c r="C312" s="62" t="s">
        <v>415</v>
      </c>
      <c r="D312" s="61">
        <v>73.239999999999995</v>
      </c>
      <c r="E312" s="61">
        <v>73.23</v>
      </c>
      <c r="F312" s="61">
        <v>1.3655605626109517E-4</v>
      </c>
      <c r="G312" s="371">
        <f>E312*(1-iDelta*2)</f>
        <v>70.300799999999995</v>
      </c>
      <c r="H312" s="61">
        <f>E312*(1-iDelta*1)</f>
        <v>71.7654</v>
      </c>
      <c r="I312" s="61">
        <f>E312*(1+iDelta*1)</f>
        <v>74.694600000000008</v>
      </c>
      <c r="J312" s="61">
        <f>E312*(1+iDelta*2)</f>
        <v>76.159200000000013</v>
      </c>
    </row>
    <row r="313" spans="1:10" ht="30" customHeight="1" x14ac:dyDescent="0.25">
      <c r="A313" s="62" t="s">
        <v>65</v>
      </c>
      <c r="B313" s="62" t="s">
        <v>419</v>
      </c>
      <c r="C313" s="62" t="s">
        <v>418</v>
      </c>
      <c r="D313" s="61">
        <v>26.19</v>
      </c>
      <c r="E313" s="61">
        <v>26.32</v>
      </c>
      <c r="F313" s="61">
        <v>-4.9392097264437688E-3</v>
      </c>
      <c r="G313" s="371">
        <f>E313*(1-iDelta*2)</f>
        <v>25.267199999999999</v>
      </c>
      <c r="H313" s="61">
        <f>E313*(1-iDelta*1)</f>
        <v>25.793600000000001</v>
      </c>
      <c r="I313" s="61">
        <f>E313*(1+iDelta*1)</f>
        <v>26.846399999999999</v>
      </c>
      <c r="J313" s="61">
        <f>E313*(1+iDelta*2)</f>
        <v>27.372800000000002</v>
      </c>
    </row>
    <row r="314" spans="1:10" ht="30" customHeight="1" x14ac:dyDescent="0.25">
      <c r="A314" s="62" t="s">
        <v>349</v>
      </c>
      <c r="B314" s="62" t="s">
        <v>416</v>
      </c>
      <c r="C314" s="62" t="s">
        <v>415</v>
      </c>
      <c r="D314" s="61">
        <v>144.18</v>
      </c>
      <c r="E314" s="61">
        <v>142.87</v>
      </c>
      <c r="F314" s="61">
        <v>9.169174774270315E-3</v>
      </c>
      <c r="G314" s="371">
        <f>E314*(1-iDelta*2)</f>
        <v>137.15520000000001</v>
      </c>
      <c r="H314" s="61">
        <f>E314*(1-iDelta*1)</f>
        <v>140.01259999999999</v>
      </c>
      <c r="I314" s="61">
        <f>E314*(1+iDelta*1)</f>
        <v>145.72740000000002</v>
      </c>
      <c r="J314" s="61">
        <f>E314*(1+iDelta*2)</f>
        <v>148.5848</v>
      </c>
    </row>
    <row r="315" spans="1:10" ht="30" customHeight="1" x14ac:dyDescent="0.25">
      <c r="A315" s="62" t="s">
        <v>399</v>
      </c>
      <c r="B315" s="62" t="s">
        <v>419</v>
      </c>
      <c r="C315" s="62" t="s">
        <v>418</v>
      </c>
      <c r="D315" s="61">
        <v>41.43</v>
      </c>
      <c r="E315" s="61">
        <v>41.2</v>
      </c>
      <c r="F315" s="61">
        <v>5.5825242718446598E-3</v>
      </c>
      <c r="G315" s="371">
        <f>E315*(1-iDelta*2)</f>
        <v>39.552</v>
      </c>
      <c r="H315" s="61">
        <f>E315*(1-iDelta*1)</f>
        <v>40.376000000000005</v>
      </c>
      <c r="I315" s="61">
        <f>E315*(1+iDelta*1)</f>
        <v>42.024000000000001</v>
      </c>
      <c r="J315" s="61">
        <f>E315*(1+iDelta*2)</f>
        <v>42.848000000000006</v>
      </c>
    </row>
    <row r="316" spans="1:10" ht="30" customHeight="1" x14ac:dyDescent="0.25">
      <c r="A316" s="62" t="s">
        <v>400</v>
      </c>
      <c r="B316" s="62" t="s">
        <v>419</v>
      </c>
      <c r="C316" s="62" t="s">
        <v>418</v>
      </c>
      <c r="D316" s="61">
        <v>40.29</v>
      </c>
      <c r="E316" s="61">
        <v>39.909999999999997</v>
      </c>
      <c r="F316" s="61">
        <v>9.5214232022049605E-3</v>
      </c>
      <c r="G316" s="371">
        <f>E316*(1-iDelta*2)</f>
        <v>38.313599999999994</v>
      </c>
      <c r="H316" s="61">
        <f>E316*(1-iDelta*1)</f>
        <v>39.111799999999995</v>
      </c>
      <c r="I316" s="61">
        <f>E316*(1+iDelta*1)</f>
        <v>40.708199999999998</v>
      </c>
      <c r="J316" s="61">
        <f>E316*(1+iDelta*2)</f>
        <v>41.506399999999999</v>
      </c>
    </row>
    <row r="317" spans="1:10" ht="30" customHeight="1" x14ac:dyDescent="0.25">
      <c r="A317" s="62" t="s">
        <v>350</v>
      </c>
      <c r="B317" s="62" t="s">
        <v>416</v>
      </c>
      <c r="C317" s="62" t="s">
        <v>415</v>
      </c>
      <c r="D317" s="61">
        <v>338.82</v>
      </c>
      <c r="E317" s="61">
        <v>341</v>
      </c>
      <c r="F317" s="61">
        <v>-6.392961876832845E-3</v>
      </c>
      <c r="G317" s="371">
        <f>E317*(1-iDelta*2)</f>
        <v>327.36</v>
      </c>
      <c r="H317" s="61">
        <f>E317*(1-iDelta*1)</f>
        <v>334.18</v>
      </c>
      <c r="I317" s="61">
        <f>E317*(1+iDelta*1)</f>
        <v>347.82</v>
      </c>
      <c r="J317" s="61">
        <f>E317*(1+iDelta*2)</f>
        <v>354.64</v>
      </c>
    </row>
    <row r="318" spans="1:10" ht="30" customHeight="1" x14ac:dyDescent="0.25">
      <c r="A318" s="62" t="s">
        <v>408</v>
      </c>
      <c r="B318" s="62" t="s">
        <v>419</v>
      </c>
      <c r="C318" s="62" t="s">
        <v>418</v>
      </c>
      <c r="D318" s="61">
        <v>35.76</v>
      </c>
      <c r="E318" s="61">
        <v>35.61</v>
      </c>
      <c r="F318" s="61">
        <v>4.2122999157540014E-3</v>
      </c>
      <c r="G318" s="371">
        <f>E318*(1-iDelta*2)</f>
        <v>34.185600000000001</v>
      </c>
      <c r="H318" s="61">
        <f>E318*(1-iDelta*1)</f>
        <v>34.897799999999997</v>
      </c>
      <c r="I318" s="61">
        <f>E318*(1+iDelta*1)</f>
        <v>36.322200000000002</v>
      </c>
      <c r="J318" s="61">
        <f>E318*(1+iDelta*2)</f>
        <v>37.034399999999998</v>
      </c>
    </row>
    <row r="319" spans="1:10" ht="30" customHeight="1" x14ac:dyDescent="0.25">
      <c r="A319" s="62" t="s">
        <v>389</v>
      </c>
      <c r="B319" s="62" t="s">
        <v>417</v>
      </c>
      <c r="C319" s="62" t="s">
        <v>418</v>
      </c>
      <c r="D319" s="61">
        <v>0.1262559</v>
      </c>
      <c r="E319" s="61">
        <v>0.12039318</v>
      </c>
      <c r="F319" s="61">
        <v>4.8696446094371793E-2</v>
      </c>
      <c r="G319" s="371">
        <f>E319*(1-iDelta*2)</f>
        <v>0.11557745279999999</v>
      </c>
      <c r="H319" s="61">
        <f>E319*(1-iDelta*1)</f>
        <v>0.1179853164</v>
      </c>
      <c r="I319" s="61">
        <f>E319*(1+iDelta*1)</f>
        <v>0.12280104360000001</v>
      </c>
      <c r="J319" s="61">
        <f>E319*(1+iDelta*2)</f>
        <v>0.1252089072</v>
      </c>
    </row>
    <row r="320" spans="1:10" ht="30" customHeight="1" x14ac:dyDescent="0.25">
      <c r="A320" s="62" t="s">
        <v>401</v>
      </c>
      <c r="B320" s="62" t="s">
        <v>419</v>
      </c>
      <c r="C320" s="62" t="s">
        <v>418</v>
      </c>
      <c r="D320" s="61">
        <v>98.91</v>
      </c>
      <c r="E320" s="61">
        <v>98.28</v>
      </c>
      <c r="F320" s="61">
        <v>6.41025641025641E-3</v>
      </c>
      <c r="G320" s="371">
        <f>E320*(1-iDelta*2)</f>
        <v>94.348799999999997</v>
      </c>
      <c r="H320" s="61">
        <f>E320*(1-iDelta*1)</f>
        <v>96.314400000000006</v>
      </c>
      <c r="I320" s="61">
        <f>E320*(1+iDelta*1)</f>
        <v>100.2456</v>
      </c>
      <c r="J320" s="61">
        <f>E320*(1+iDelta*2)</f>
        <v>102.21120000000001</v>
      </c>
    </row>
    <row r="321" spans="1:10" ht="30" customHeight="1" x14ac:dyDescent="0.25">
      <c r="A321" s="62" t="s">
        <v>90</v>
      </c>
      <c r="B321" s="62" t="s">
        <v>419</v>
      </c>
      <c r="C321" s="62" t="s">
        <v>415</v>
      </c>
      <c r="D321" s="61">
        <v>68.22</v>
      </c>
      <c r="E321" s="61">
        <v>68.44</v>
      </c>
      <c r="F321" s="61">
        <v>-3.2144944476914087E-3</v>
      </c>
      <c r="G321" s="371">
        <f>E321*(1-iDelta*2)</f>
        <v>65.702399999999997</v>
      </c>
      <c r="H321" s="61">
        <f>E321*(1-iDelta*1)</f>
        <v>67.07119999999999</v>
      </c>
      <c r="I321" s="61">
        <f>E321*(1+iDelta*1)</f>
        <v>69.808800000000005</v>
      </c>
      <c r="J321" s="61">
        <f>E321*(1+iDelta*2)</f>
        <v>71.177599999999998</v>
      </c>
    </row>
    <row r="322" spans="1:10" ht="30" customHeight="1" x14ac:dyDescent="0.25">
      <c r="A322" s="62" t="s">
        <v>66</v>
      </c>
      <c r="B322" s="62" t="s">
        <v>419</v>
      </c>
      <c r="C322" s="62" t="s">
        <v>415</v>
      </c>
      <c r="D322" s="61">
        <v>89.77</v>
      </c>
      <c r="E322" s="61">
        <v>91.18</v>
      </c>
      <c r="F322" s="61">
        <v>-1.5463917525773196E-2</v>
      </c>
      <c r="G322" s="371">
        <f>E322*(1-iDelta*2)</f>
        <v>87.532800000000009</v>
      </c>
      <c r="H322" s="61">
        <f>E322*(1-iDelta*1)</f>
        <v>89.356400000000008</v>
      </c>
      <c r="I322" s="61">
        <f>E322*(1+iDelta*1)</f>
        <v>93.003600000000006</v>
      </c>
      <c r="J322" s="61">
        <f>E322*(1+iDelta*2)</f>
        <v>94.827200000000005</v>
      </c>
    </row>
    <row r="323" spans="1:10" ht="30" customHeight="1" x14ac:dyDescent="0.25">
      <c r="A323" s="62" t="s">
        <v>409</v>
      </c>
      <c r="B323" s="62" t="s">
        <v>419</v>
      </c>
      <c r="C323" s="62" t="s">
        <v>418</v>
      </c>
      <c r="D323" s="61">
        <v>31.91</v>
      </c>
      <c r="E323" s="61">
        <v>31.86</v>
      </c>
      <c r="F323" s="61">
        <v>1.5693659761456371E-3</v>
      </c>
      <c r="G323" s="371">
        <f>E323*(1-iDelta*2)</f>
        <v>30.585599999999999</v>
      </c>
      <c r="H323" s="61">
        <f>E323*(1-iDelta*1)</f>
        <v>31.222799999999999</v>
      </c>
      <c r="I323" s="61">
        <f>E323*(1+iDelta*1)</f>
        <v>32.497199999999999</v>
      </c>
      <c r="J323" s="61">
        <f>E323*(1+iDelta*2)</f>
        <v>33.134399999999999</v>
      </c>
    </row>
    <row r="324" spans="1:10" ht="30" customHeight="1" x14ac:dyDescent="0.25">
      <c r="A324" s="62" t="s">
        <v>351</v>
      </c>
      <c r="B324" s="62" t="s">
        <v>416</v>
      </c>
      <c r="C324" s="62" t="s">
        <v>415</v>
      </c>
      <c r="D324" s="61">
        <v>22.47</v>
      </c>
      <c r="E324" s="61">
        <v>22.98</v>
      </c>
      <c r="F324" s="61">
        <v>-2.2193211488250653E-2</v>
      </c>
      <c r="G324" s="371">
        <f>E324*(1-iDelta*2)</f>
        <v>22.0608</v>
      </c>
      <c r="H324" s="61">
        <f>E324*(1-iDelta*1)</f>
        <v>22.520399999999999</v>
      </c>
      <c r="I324" s="61">
        <f>E324*(1+iDelta*1)</f>
        <v>23.439600000000002</v>
      </c>
      <c r="J324" s="61">
        <f>E324*(1+iDelta*2)</f>
        <v>23.8992</v>
      </c>
    </row>
    <row r="325" spans="1:10" ht="30" customHeight="1" x14ac:dyDescent="0.25">
      <c r="A325" s="62" t="s">
        <v>352</v>
      </c>
      <c r="B325" s="62" t="s">
        <v>416</v>
      </c>
      <c r="C325" s="62" t="s">
        <v>415</v>
      </c>
      <c r="D325" s="61">
        <v>66.5</v>
      </c>
      <c r="E325" s="61">
        <v>65.709999999999994</v>
      </c>
      <c r="F325" s="61">
        <v>1.2022523208035306E-2</v>
      </c>
      <c r="G325" s="371">
        <f>E325*(1-iDelta*2)</f>
        <v>63.081599999999995</v>
      </c>
      <c r="H325" s="61">
        <f>E325*(1-iDelta*1)</f>
        <v>64.395799999999994</v>
      </c>
      <c r="I325" s="61">
        <f>E325*(1+iDelta*1)</f>
        <v>67.024199999999993</v>
      </c>
      <c r="J325" s="61">
        <f>E325*(1+iDelta*2)</f>
        <v>68.338399999999993</v>
      </c>
    </row>
    <row r="326" spans="1:10" ht="30" customHeight="1" x14ac:dyDescent="0.25">
      <c r="A326" s="62" t="s">
        <v>67</v>
      </c>
      <c r="B326" s="62" t="s">
        <v>419</v>
      </c>
      <c r="C326" s="62" t="s">
        <v>415</v>
      </c>
      <c r="D326" s="61">
        <v>106.91</v>
      </c>
      <c r="E326" s="61">
        <v>107.1</v>
      </c>
      <c r="F326" s="61">
        <v>-1.7740429505135387E-3</v>
      </c>
      <c r="G326" s="371">
        <f>E326*(1-iDelta*2)</f>
        <v>102.81599999999999</v>
      </c>
      <c r="H326" s="61">
        <f>E326*(1-iDelta*1)</f>
        <v>104.958</v>
      </c>
      <c r="I326" s="61">
        <f>E326*(1+iDelta*1)</f>
        <v>109.24199999999999</v>
      </c>
      <c r="J326" s="61">
        <f>E326*(1+iDelta*2)</f>
        <v>111.384</v>
      </c>
    </row>
    <row r="327" spans="1:10" ht="30" customHeight="1" x14ac:dyDescent="0.25">
      <c r="A327" s="62" t="s">
        <v>52</v>
      </c>
      <c r="B327" s="62" t="s">
        <v>419</v>
      </c>
      <c r="C327" s="62" t="s">
        <v>415</v>
      </c>
      <c r="D327" s="61">
        <v>406.86</v>
      </c>
      <c r="E327" s="61">
        <v>406.16</v>
      </c>
      <c r="F327" s="61">
        <v>1.7234587354737049E-3</v>
      </c>
      <c r="G327" s="371">
        <f>E327*(1-iDelta*2)</f>
        <v>389.91360000000003</v>
      </c>
      <c r="H327" s="61">
        <f>E327*(1-iDelta*1)</f>
        <v>398.03680000000003</v>
      </c>
      <c r="I327" s="61">
        <f>E327*(1+iDelta*1)</f>
        <v>414.28320000000002</v>
      </c>
      <c r="J327" s="61">
        <f>E327*(1+iDelta*2)</f>
        <v>422.40640000000002</v>
      </c>
    </row>
    <row r="328" spans="1:10" ht="30" customHeight="1" x14ac:dyDescent="0.25">
      <c r="A328" s="62" t="s">
        <v>353</v>
      </c>
      <c r="B328" s="62" t="s">
        <v>416</v>
      </c>
      <c r="C328" s="62" t="s">
        <v>415</v>
      </c>
      <c r="D328" s="61">
        <v>36.68</v>
      </c>
      <c r="E328" s="61">
        <v>36.15</v>
      </c>
      <c r="F328" s="61">
        <v>1.4661134163208852E-2</v>
      </c>
      <c r="G328" s="371">
        <f>E328*(1-iDelta*2)</f>
        <v>34.704000000000001</v>
      </c>
      <c r="H328" s="61">
        <f>E328*(1-iDelta*1)</f>
        <v>35.427</v>
      </c>
      <c r="I328" s="61">
        <f>E328*(1+iDelta*1)</f>
        <v>36.872999999999998</v>
      </c>
      <c r="J328" s="61">
        <f>E328*(1+iDelta*2)</f>
        <v>37.595999999999997</v>
      </c>
    </row>
    <row r="329" spans="1:10" ht="30" customHeight="1" x14ac:dyDescent="0.25">
      <c r="A329" s="62" t="s">
        <v>68</v>
      </c>
      <c r="B329" s="62" t="s">
        <v>419</v>
      </c>
      <c r="C329" s="62" t="s">
        <v>418</v>
      </c>
      <c r="D329" s="61">
        <v>37.19</v>
      </c>
      <c r="E329" s="61">
        <v>36.94</v>
      </c>
      <c r="F329" s="61">
        <v>6.7677314564158096E-3</v>
      </c>
      <c r="G329" s="371">
        <f>E329*(1-iDelta*2)</f>
        <v>35.462399999999995</v>
      </c>
      <c r="H329" s="61">
        <f>E329*(1-iDelta*1)</f>
        <v>36.2012</v>
      </c>
      <c r="I329" s="61">
        <f>E329*(1+iDelta*1)</f>
        <v>37.678799999999995</v>
      </c>
      <c r="J329" s="61">
        <f>E329*(1+iDelta*2)</f>
        <v>38.4176</v>
      </c>
    </row>
    <row r="330" spans="1:10" ht="30" customHeight="1" x14ac:dyDescent="0.25">
      <c r="A330" s="62" t="s">
        <v>354</v>
      </c>
      <c r="B330" s="62" t="s">
        <v>416</v>
      </c>
      <c r="C330" s="62" t="s">
        <v>415</v>
      </c>
      <c r="D330" s="61">
        <v>20.07</v>
      </c>
      <c r="E330" s="61">
        <v>19.64</v>
      </c>
      <c r="F330" s="61">
        <v>2.1894093686354379E-2</v>
      </c>
      <c r="G330" s="371">
        <f>E330*(1-iDelta*2)</f>
        <v>18.854399999999998</v>
      </c>
      <c r="H330" s="61">
        <f>E330*(1-iDelta*1)</f>
        <v>19.247199999999999</v>
      </c>
      <c r="I330" s="61">
        <f>E330*(1+iDelta*1)</f>
        <v>20.032800000000002</v>
      </c>
      <c r="J330" s="61">
        <f>E330*(1+iDelta*2)</f>
        <v>20.425600000000003</v>
      </c>
    </row>
    <row r="331" spans="1:10" ht="30" customHeight="1" x14ac:dyDescent="0.25">
      <c r="A331" s="62" t="s">
        <v>355</v>
      </c>
      <c r="B331" s="62" t="s">
        <v>416</v>
      </c>
      <c r="C331" s="62" t="s">
        <v>415</v>
      </c>
      <c r="D331" s="61">
        <v>46.9</v>
      </c>
      <c r="E331" s="61">
        <v>46.02</v>
      </c>
      <c r="F331" s="61">
        <v>1.912212081703607E-2</v>
      </c>
      <c r="G331" s="371">
        <f>E331*(1-iDelta*2)</f>
        <v>44.179200000000002</v>
      </c>
      <c r="H331" s="61">
        <f>E331*(1-iDelta*1)</f>
        <v>45.099600000000002</v>
      </c>
      <c r="I331" s="61">
        <f>E331*(1+iDelta*1)</f>
        <v>46.940400000000004</v>
      </c>
      <c r="J331" s="61">
        <f>E331*(1+iDelta*2)</f>
        <v>47.860800000000005</v>
      </c>
    </row>
    <row r="332" spans="1:10" ht="30" customHeight="1" x14ac:dyDescent="0.25">
      <c r="A332" s="62" t="s">
        <v>402</v>
      </c>
      <c r="B332" s="62" t="s">
        <v>419</v>
      </c>
      <c r="C332" s="62" t="s">
        <v>418</v>
      </c>
      <c r="D332" s="61">
        <v>74.349999999999994</v>
      </c>
      <c r="E332" s="61">
        <v>74.209999999999994</v>
      </c>
      <c r="F332" s="61">
        <v>1.8865382023985986E-3</v>
      </c>
      <c r="G332" s="371">
        <f>E332*(1-iDelta*2)</f>
        <v>71.241599999999991</v>
      </c>
      <c r="H332" s="61">
        <f>E332*(1-iDelta*1)</f>
        <v>72.725799999999992</v>
      </c>
      <c r="I332" s="61">
        <f>E332*(1+iDelta*1)</f>
        <v>75.694199999999995</v>
      </c>
      <c r="J332" s="61">
        <f>E332*(1+iDelta*2)</f>
        <v>77.178399999999996</v>
      </c>
    </row>
    <row r="333" spans="1:10" ht="30" customHeight="1" x14ac:dyDescent="0.25">
      <c r="A333" s="62" t="s">
        <v>69</v>
      </c>
      <c r="B333" s="62" t="s">
        <v>419</v>
      </c>
      <c r="C333" s="62" t="s">
        <v>415</v>
      </c>
      <c r="D333" s="61">
        <v>228.87</v>
      </c>
      <c r="E333" s="61">
        <v>228.59</v>
      </c>
      <c r="F333" s="61">
        <v>1.224900476836257E-3</v>
      </c>
      <c r="G333" s="371">
        <f>E333*(1-iDelta*2)</f>
        <v>219.44639999999998</v>
      </c>
      <c r="H333" s="61">
        <f>E333*(1-iDelta*1)</f>
        <v>224.01820000000001</v>
      </c>
      <c r="I333" s="61">
        <f>E333*(1+iDelta*1)</f>
        <v>233.1618</v>
      </c>
      <c r="J333" s="61">
        <f>E333*(1+iDelta*2)</f>
        <v>237.73360000000002</v>
      </c>
    </row>
    <row r="334" spans="1:10" ht="30" customHeight="1" x14ac:dyDescent="0.25">
      <c r="A334" s="62" t="s">
        <v>356</v>
      </c>
      <c r="B334" s="62" t="s">
        <v>416</v>
      </c>
      <c r="C334" s="62" t="s">
        <v>415</v>
      </c>
      <c r="D334" s="61">
        <v>42.01</v>
      </c>
      <c r="E334" s="61">
        <v>44.95</v>
      </c>
      <c r="F334" s="61">
        <v>-6.540600667408232E-2</v>
      </c>
      <c r="G334" s="371">
        <f>E334*(1-iDelta*2)</f>
        <v>43.152000000000001</v>
      </c>
      <c r="H334" s="61">
        <f>E334*(1-iDelta*1)</f>
        <v>44.051000000000002</v>
      </c>
      <c r="I334" s="61">
        <f>E334*(1+iDelta*1)</f>
        <v>45.849000000000004</v>
      </c>
      <c r="J334" s="61">
        <f>E334*(1+iDelta*2)</f>
        <v>46.748000000000005</v>
      </c>
    </row>
    <row r="335" spans="1:10" ht="30" customHeight="1" x14ac:dyDescent="0.25">
      <c r="A335" s="62" t="s">
        <v>91</v>
      </c>
      <c r="B335" s="62" t="s">
        <v>419</v>
      </c>
      <c r="C335" s="62" t="s">
        <v>415</v>
      </c>
      <c r="D335" s="61">
        <v>51.27</v>
      </c>
      <c r="E335" s="61">
        <v>51.62</v>
      </c>
      <c r="F335" s="61">
        <v>-6.7803177063153813E-3</v>
      </c>
      <c r="G335" s="371">
        <f>E335*(1-iDelta*2)</f>
        <v>49.555199999999999</v>
      </c>
      <c r="H335" s="61">
        <f>E335*(1-iDelta*1)</f>
        <v>50.587599999999995</v>
      </c>
      <c r="I335" s="61">
        <f>E335*(1+iDelta*1)</f>
        <v>52.6524</v>
      </c>
      <c r="J335" s="61">
        <f>E335*(1+iDelta*2)</f>
        <v>53.684799999999996</v>
      </c>
    </row>
    <row r="336" spans="1:10" ht="30" customHeight="1" x14ac:dyDescent="0.25">
      <c r="A336" s="62" t="s">
        <v>357</v>
      </c>
      <c r="B336" s="62" t="s">
        <v>416</v>
      </c>
      <c r="C336" s="62" t="s">
        <v>415</v>
      </c>
      <c r="D336" s="61">
        <v>18.59</v>
      </c>
      <c r="E336" s="61">
        <v>18.5</v>
      </c>
      <c r="F336" s="61">
        <v>4.8648648648648646E-3</v>
      </c>
      <c r="G336" s="371">
        <f>E336*(1-iDelta*2)</f>
        <v>17.759999999999998</v>
      </c>
      <c r="H336" s="61">
        <f>E336*(1-iDelta*1)</f>
        <v>18.13</v>
      </c>
      <c r="I336" s="61">
        <f>E336*(1+iDelta*1)</f>
        <v>18.87</v>
      </c>
      <c r="J336" s="61">
        <f>E336*(1+iDelta*2)</f>
        <v>19.240000000000002</v>
      </c>
    </row>
    <row r="337" spans="1:10" ht="30" customHeight="1" x14ac:dyDescent="0.25">
      <c r="A337" s="62" t="s">
        <v>358</v>
      </c>
      <c r="B337" s="62" t="s">
        <v>416</v>
      </c>
      <c r="C337" s="62" t="s">
        <v>415</v>
      </c>
      <c r="D337" s="61">
        <v>85.18</v>
      </c>
      <c r="E337" s="61">
        <v>86.58</v>
      </c>
      <c r="F337" s="61">
        <v>-1.617001617001617E-2</v>
      </c>
      <c r="G337" s="371">
        <f>E337*(1-iDelta*2)</f>
        <v>83.116799999999998</v>
      </c>
      <c r="H337" s="61">
        <f>E337*(1-iDelta*1)</f>
        <v>84.848399999999998</v>
      </c>
      <c r="I337" s="61">
        <f>E337*(1+iDelta*1)</f>
        <v>88.311599999999999</v>
      </c>
      <c r="J337" s="61">
        <f>E337*(1+iDelta*2)</f>
        <v>90.043199999999999</v>
      </c>
    </row>
    <row r="338" spans="1:10" ht="30" customHeight="1" x14ac:dyDescent="0.25">
      <c r="A338" s="62" t="s">
        <v>359</v>
      </c>
      <c r="B338" s="62" t="s">
        <v>416</v>
      </c>
      <c r="C338" s="62" t="s">
        <v>415</v>
      </c>
      <c r="D338" s="61">
        <v>48.77</v>
      </c>
      <c r="E338" s="61">
        <v>46.99</v>
      </c>
      <c r="F338" s="61">
        <v>3.7880400085124492E-2</v>
      </c>
      <c r="G338" s="371">
        <f>E338*(1-iDelta*2)</f>
        <v>45.110399999999998</v>
      </c>
      <c r="H338" s="61">
        <f>E338*(1-iDelta*1)</f>
        <v>46.050200000000004</v>
      </c>
      <c r="I338" s="61">
        <f>E338*(1+iDelta*1)</f>
        <v>47.9298</v>
      </c>
      <c r="J338" s="61">
        <f>E338*(1+iDelta*2)</f>
        <v>48.869600000000005</v>
      </c>
    </row>
    <row r="339" spans="1:10" ht="30" customHeight="1" x14ac:dyDescent="0.25">
      <c r="A339" s="62" t="s">
        <v>360</v>
      </c>
      <c r="B339" s="62" t="s">
        <v>416</v>
      </c>
      <c r="C339" s="62" t="s">
        <v>415</v>
      </c>
      <c r="D339" s="61">
        <v>74.400000000000006</v>
      </c>
      <c r="E339" s="61">
        <v>73.989999999999995</v>
      </c>
      <c r="F339" s="61">
        <v>5.5412893634274899E-3</v>
      </c>
      <c r="G339" s="371">
        <f>E339*(1-iDelta*2)</f>
        <v>71.030399999999986</v>
      </c>
      <c r="H339" s="61">
        <f>E339*(1-iDelta*1)</f>
        <v>72.510199999999998</v>
      </c>
      <c r="I339" s="61">
        <f>E339*(1+iDelta*1)</f>
        <v>75.469799999999992</v>
      </c>
      <c r="J339" s="61">
        <f>E339*(1+iDelta*2)</f>
        <v>76.949600000000004</v>
      </c>
    </row>
    <row r="340" spans="1:10" ht="30" customHeight="1" x14ac:dyDescent="0.25">
      <c r="A340" s="62" t="s">
        <v>361</v>
      </c>
      <c r="B340" s="62" t="s">
        <v>416</v>
      </c>
      <c r="C340" s="62" t="s">
        <v>415</v>
      </c>
      <c r="D340" s="61">
        <v>82.24</v>
      </c>
      <c r="E340" s="61">
        <v>80.959999999999994</v>
      </c>
      <c r="F340" s="61">
        <v>1.5810276679841896E-2</v>
      </c>
      <c r="G340" s="371">
        <f>E340*(1-iDelta*2)</f>
        <v>77.721599999999995</v>
      </c>
      <c r="H340" s="61">
        <f>E340*(1-iDelta*1)</f>
        <v>79.340799999999987</v>
      </c>
      <c r="I340" s="61">
        <f>E340*(1+iDelta*1)</f>
        <v>82.5792</v>
      </c>
      <c r="J340" s="61">
        <f>E340*(1+iDelta*2)</f>
        <v>84.198399999999992</v>
      </c>
    </row>
    <row r="341" spans="1:10" ht="30" customHeight="1" x14ac:dyDescent="0.25">
      <c r="A341" s="62" t="s">
        <v>362</v>
      </c>
      <c r="B341" s="62" t="s">
        <v>416</v>
      </c>
      <c r="C341" s="62" t="s">
        <v>415</v>
      </c>
      <c r="D341" s="61">
        <v>15.06</v>
      </c>
      <c r="E341" s="61">
        <v>14.55</v>
      </c>
      <c r="F341" s="61">
        <v>3.5051546391752578E-2</v>
      </c>
      <c r="G341" s="371">
        <f>E341*(1-iDelta*2)</f>
        <v>13.968</v>
      </c>
      <c r="H341" s="61">
        <f>E341*(1-iDelta*1)</f>
        <v>14.259</v>
      </c>
      <c r="I341" s="61">
        <f>E341*(1+iDelta*1)</f>
        <v>14.841000000000001</v>
      </c>
      <c r="J341" s="61">
        <f>E341*(1+iDelta*2)</f>
        <v>15.132000000000001</v>
      </c>
    </row>
    <row r="342" spans="1:10" ht="30" customHeight="1" x14ac:dyDescent="0.25">
      <c r="A342" s="62" t="s">
        <v>363</v>
      </c>
      <c r="B342" s="62" t="s">
        <v>416</v>
      </c>
      <c r="C342" s="62" t="s">
        <v>415</v>
      </c>
      <c r="D342" s="61">
        <v>23.71</v>
      </c>
      <c r="E342" s="61">
        <v>22.49</v>
      </c>
      <c r="F342" s="61">
        <v>5.42463317029791E-2</v>
      </c>
      <c r="G342" s="371">
        <f>E342*(1-iDelta*2)</f>
        <v>21.590399999999999</v>
      </c>
      <c r="H342" s="61">
        <f>E342*(1-iDelta*1)</f>
        <v>22.040199999999999</v>
      </c>
      <c r="I342" s="61">
        <f>E342*(1+iDelta*1)</f>
        <v>22.939799999999998</v>
      </c>
      <c r="J342" s="61">
        <f>E342*(1+iDelta*2)</f>
        <v>23.389599999999998</v>
      </c>
    </row>
    <row r="343" spans="1:10" ht="30" customHeight="1" x14ac:dyDescent="0.25">
      <c r="A343" s="62" t="s">
        <v>364</v>
      </c>
      <c r="B343" s="62" t="s">
        <v>416</v>
      </c>
      <c r="C343" s="62" t="s">
        <v>415</v>
      </c>
      <c r="D343" s="61">
        <v>3.2</v>
      </c>
      <c r="E343" s="61">
        <v>3.16</v>
      </c>
      <c r="F343" s="61">
        <v>1.2658227848101266E-2</v>
      </c>
      <c r="G343" s="371">
        <f>E343*(1-iDelta*2)</f>
        <v>3.0335999999999999</v>
      </c>
      <c r="H343" s="61">
        <f>E343*(1-iDelta*1)</f>
        <v>3.0968</v>
      </c>
      <c r="I343" s="61">
        <f>E343*(1+iDelta*1)</f>
        <v>3.2232000000000003</v>
      </c>
      <c r="J343" s="61">
        <f>E343*(1+iDelta*2)</f>
        <v>3.2864000000000004</v>
      </c>
    </row>
    <row r="344" spans="1:10" ht="30" customHeight="1" x14ac:dyDescent="0.25">
      <c r="A344" s="62" t="s">
        <v>365</v>
      </c>
      <c r="B344" s="62" t="s">
        <v>416</v>
      </c>
      <c r="C344" s="62" t="s">
        <v>415</v>
      </c>
      <c r="D344" s="61">
        <v>25.91</v>
      </c>
      <c r="E344" s="61">
        <v>25.31</v>
      </c>
      <c r="F344" s="61">
        <v>2.3706045041485577E-2</v>
      </c>
      <c r="G344" s="371">
        <f>E344*(1-iDelta*2)</f>
        <v>24.297599999999999</v>
      </c>
      <c r="H344" s="61">
        <f>E344*(1-iDelta*1)</f>
        <v>24.803799999999999</v>
      </c>
      <c r="I344" s="61">
        <f>E344*(1+iDelta*1)</f>
        <v>25.816199999999998</v>
      </c>
      <c r="J344" s="61">
        <f>E344*(1+iDelta*2)</f>
        <v>26.322399999999998</v>
      </c>
    </row>
    <row r="345" spans="1:10" ht="30" customHeight="1" x14ac:dyDescent="0.25">
      <c r="A345" s="62" t="s">
        <v>403</v>
      </c>
      <c r="B345" s="62" t="s">
        <v>419</v>
      </c>
      <c r="C345" s="62" t="s">
        <v>418</v>
      </c>
      <c r="D345" s="61">
        <v>34.590000000000003</v>
      </c>
      <c r="E345" s="61">
        <v>34.450000000000003</v>
      </c>
      <c r="F345" s="61">
        <v>4.0638606676342524E-3</v>
      </c>
      <c r="G345" s="371">
        <f>E345*(1-iDelta*2)</f>
        <v>33.072000000000003</v>
      </c>
      <c r="H345" s="61">
        <f>E345*(1-iDelta*1)</f>
        <v>33.761000000000003</v>
      </c>
      <c r="I345" s="61">
        <f>E345*(1+iDelta*1)</f>
        <v>35.139000000000003</v>
      </c>
      <c r="J345" s="61">
        <f>E345*(1+iDelta*2)</f>
        <v>35.828000000000003</v>
      </c>
    </row>
    <row r="346" spans="1:10" ht="30" customHeight="1" x14ac:dyDescent="0.25">
      <c r="A346" s="62" t="s">
        <v>404</v>
      </c>
      <c r="B346" s="62" t="s">
        <v>419</v>
      </c>
      <c r="C346" s="62" t="s">
        <v>418</v>
      </c>
      <c r="D346" s="61">
        <v>35.590000000000003</v>
      </c>
      <c r="E346" s="61">
        <v>35.61</v>
      </c>
      <c r="F346" s="61">
        <v>-5.6163998876720023E-4</v>
      </c>
      <c r="G346" s="371">
        <f>E346*(1-iDelta*2)</f>
        <v>34.185600000000001</v>
      </c>
      <c r="H346" s="61">
        <f>E346*(1-iDelta*1)</f>
        <v>34.897799999999997</v>
      </c>
      <c r="I346" s="61">
        <f>E346*(1+iDelta*1)</f>
        <v>36.322200000000002</v>
      </c>
      <c r="J346" s="61">
        <f>E346*(1+iDelta*2)</f>
        <v>37.034399999999998</v>
      </c>
    </row>
    <row r="347" spans="1:10" ht="30" customHeight="1" x14ac:dyDescent="0.25">
      <c r="A347" s="62" t="s">
        <v>405</v>
      </c>
      <c r="B347" s="62" t="s">
        <v>419</v>
      </c>
      <c r="C347" s="62" t="s">
        <v>418</v>
      </c>
      <c r="D347" s="61">
        <v>31.17</v>
      </c>
      <c r="E347" s="61">
        <v>30.98</v>
      </c>
      <c r="F347" s="61">
        <v>6.1329890251775338E-3</v>
      </c>
      <c r="G347" s="371">
        <f>E347*(1-iDelta*2)</f>
        <v>29.7408</v>
      </c>
      <c r="H347" s="61">
        <f>E347*(1-iDelta*1)</f>
        <v>30.360399999999998</v>
      </c>
      <c r="I347" s="61">
        <f>E347*(1+iDelta*1)</f>
        <v>31.599600000000002</v>
      </c>
      <c r="J347" s="61">
        <f>E347*(1+iDelta*2)</f>
        <v>32.219200000000001</v>
      </c>
    </row>
    <row r="348" spans="1:10" ht="30" customHeight="1" x14ac:dyDescent="0.25">
      <c r="A348" s="62" t="s">
        <v>390</v>
      </c>
      <c r="B348" s="62" t="s">
        <v>417</v>
      </c>
      <c r="C348" s="62" t="s">
        <v>418</v>
      </c>
      <c r="D348" s="61">
        <v>0.37052976999999998</v>
      </c>
      <c r="E348" s="61">
        <v>0.35704817999999999</v>
      </c>
      <c r="F348" s="61">
        <v>3.7758461617140859E-2</v>
      </c>
      <c r="G348" s="371">
        <f>E348*(1-iDelta*2)</f>
        <v>0.3427662528</v>
      </c>
      <c r="H348" s="61">
        <f>E348*(1-iDelta*1)</f>
        <v>0.3499072164</v>
      </c>
      <c r="I348" s="61">
        <f>E348*(1+iDelta*1)</f>
        <v>0.36418914359999999</v>
      </c>
      <c r="J348" s="61">
        <f>E348*(1+iDelta*2)</f>
        <v>0.37133010719999998</v>
      </c>
    </row>
    <row r="349" spans="1:10" ht="30" customHeight="1" x14ac:dyDescent="0.25">
      <c r="A349" s="62" t="s">
        <v>391</v>
      </c>
      <c r="B349" s="62" t="s">
        <v>417</v>
      </c>
      <c r="C349" s="62" t="s">
        <v>418</v>
      </c>
      <c r="D349" s="61">
        <v>327.20569999999998</v>
      </c>
      <c r="E349" s="61">
        <v>329.38046000000003</v>
      </c>
      <c r="F349" s="61">
        <v>-6.6025774570841267E-3</v>
      </c>
      <c r="G349" s="371">
        <f>E349*(1-iDelta*2)</f>
        <v>316.20524160000002</v>
      </c>
      <c r="H349" s="61">
        <f>E349*(1-iDelta*1)</f>
        <v>322.7928508</v>
      </c>
      <c r="I349" s="61">
        <f>E349*(1+iDelta*1)</f>
        <v>335.96806920000006</v>
      </c>
      <c r="J349" s="61">
        <f>E349*(1+iDelta*2)</f>
        <v>342.55567840000003</v>
      </c>
    </row>
    <row r="350" spans="1:10" ht="30" customHeight="1" x14ac:dyDescent="0.25">
      <c r="A350" s="62" t="s">
        <v>366</v>
      </c>
      <c r="B350" s="62" t="s">
        <v>416</v>
      </c>
      <c r="C350" s="62" t="s">
        <v>415</v>
      </c>
      <c r="D350" s="61">
        <v>3.87</v>
      </c>
      <c r="E350" s="61">
        <v>3.7</v>
      </c>
      <c r="F350" s="61">
        <v>4.5945945945945948E-2</v>
      </c>
      <c r="G350" s="371">
        <f>E350*(1-iDelta*2)</f>
        <v>3.552</v>
      </c>
      <c r="H350" s="61">
        <f>E350*(1-iDelta*1)</f>
        <v>3.6259999999999999</v>
      </c>
      <c r="I350" s="61">
        <f>E350*(1+iDelta*1)</f>
        <v>3.7740000000000005</v>
      </c>
      <c r="J350" s="61">
        <f>E350*(1+iDelta*2)</f>
        <v>3.8480000000000003</v>
      </c>
    </row>
    <row r="351" spans="1:10" ht="30" customHeight="1" x14ac:dyDescent="0.25">
      <c r="A351" s="62" t="s">
        <v>367</v>
      </c>
      <c r="B351" s="62" t="s">
        <v>416</v>
      </c>
      <c r="C351" s="62" t="s">
        <v>415</v>
      </c>
      <c r="D351" s="61">
        <v>57.86</v>
      </c>
      <c r="E351" s="61">
        <v>57.2</v>
      </c>
      <c r="F351" s="61">
        <v>1.1538461538461539E-2</v>
      </c>
      <c r="G351" s="371">
        <f>E351*(1-iDelta*2)</f>
        <v>54.911999999999999</v>
      </c>
      <c r="H351" s="61">
        <f>E351*(1-iDelta*1)</f>
        <v>56.056000000000004</v>
      </c>
      <c r="I351" s="61">
        <f>E351*(1+iDelta*1)</f>
        <v>58.344000000000001</v>
      </c>
      <c r="J351" s="61">
        <f>E351*(1+iDelta*2)</f>
        <v>59.488000000000007</v>
      </c>
    </row>
    <row r="352" spans="1:10" ht="30" customHeight="1" x14ac:dyDescent="0.25">
      <c r="A352" s="62" t="s">
        <v>368</v>
      </c>
      <c r="B352" s="62" t="s">
        <v>416</v>
      </c>
      <c r="C352" s="62" t="s">
        <v>415</v>
      </c>
      <c r="D352" s="61">
        <v>85.55</v>
      </c>
      <c r="E352" s="61">
        <v>83.14</v>
      </c>
      <c r="F352" s="61">
        <v>2.8987250420976666E-2</v>
      </c>
      <c r="G352" s="371">
        <f>E352*(1-iDelta*2)</f>
        <v>79.814399999999992</v>
      </c>
      <c r="H352" s="61">
        <f>E352*(1-iDelta*1)</f>
        <v>81.477199999999996</v>
      </c>
      <c r="I352" s="61">
        <f>E352*(1+iDelta*1)</f>
        <v>84.802800000000005</v>
      </c>
      <c r="J352" s="61">
        <f>E352*(1+iDelta*2)</f>
        <v>86.465600000000009</v>
      </c>
    </row>
    <row r="353" spans="1:10" ht="30" customHeight="1" x14ac:dyDescent="0.25">
      <c r="A353" s="62" t="s">
        <v>392</v>
      </c>
      <c r="B353" s="62" t="s">
        <v>417</v>
      </c>
      <c r="C353" s="62" t="s">
        <v>418</v>
      </c>
      <c r="D353" s="61">
        <v>0.98726369999999997</v>
      </c>
      <c r="E353" s="61">
        <v>0.93435219999999997</v>
      </c>
      <c r="F353" s="61">
        <v>5.6629074132859107E-2</v>
      </c>
      <c r="G353" s="371">
        <f>E353*(1-iDelta*2)</f>
        <v>0.89697811199999988</v>
      </c>
      <c r="H353" s="61">
        <f>E353*(1-iDelta*1)</f>
        <v>0.91566515599999998</v>
      </c>
      <c r="I353" s="61">
        <f>E353*(1+iDelta*1)</f>
        <v>0.95303924399999995</v>
      </c>
      <c r="J353" s="61">
        <f>E353*(1+iDelta*2)</f>
        <v>0.97172628800000005</v>
      </c>
    </row>
    <row r="354" spans="1:10" ht="30" customHeight="1" x14ac:dyDescent="0.25">
      <c r="A354" s="62" t="s">
        <v>70</v>
      </c>
      <c r="B354" s="62" t="s">
        <v>419</v>
      </c>
      <c r="C354" s="62" t="s">
        <v>418</v>
      </c>
      <c r="D354" s="61">
        <v>47.71</v>
      </c>
      <c r="E354" s="61">
        <v>47.65</v>
      </c>
      <c r="F354" s="61">
        <v>1.2591815320041973E-3</v>
      </c>
      <c r="G354" s="371">
        <f>E354*(1-iDelta*2)</f>
        <v>45.744</v>
      </c>
      <c r="H354" s="61">
        <f>E354*(1-iDelta*1)</f>
        <v>46.696999999999996</v>
      </c>
      <c r="I354" s="61">
        <f>E354*(1+iDelta*1)</f>
        <v>48.603000000000002</v>
      </c>
      <c r="J354" s="61">
        <f>E354*(1+iDelta*2)</f>
        <v>49.555999999999997</v>
      </c>
    </row>
    <row r="355" spans="1:10" ht="30" customHeight="1" x14ac:dyDescent="0.25">
      <c r="A355" s="62" t="s">
        <v>406</v>
      </c>
      <c r="B355" s="62" t="s">
        <v>419</v>
      </c>
      <c r="C355" s="62" t="s">
        <v>418</v>
      </c>
      <c r="D355" s="61">
        <v>69</v>
      </c>
      <c r="E355" s="61">
        <v>68.47</v>
      </c>
      <c r="F355" s="61">
        <v>7.7406163283189715E-3</v>
      </c>
      <c r="G355" s="371">
        <f>E355*(1-iDelta*2)</f>
        <v>65.731200000000001</v>
      </c>
      <c r="H355" s="61">
        <f>E355*(1-iDelta*1)</f>
        <v>67.1006</v>
      </c>
      <c r="I355" s="61">
        <f>E355*(1+iDelta*1)</f>
        <v>69.839399999999998</v>
      </c>
      <c r="J355" s="61">
        <f>E355*(1+iDelta*2)</f>
        <v>71.208799999999997</v>
      </c>
    </row>
    <row r="356" spans="1:10" ht="30" customHeight="1" x14ac:dyDescent="0.25">
      <c r="A356" s="62" t="s">
        <v>369</v>
      </c>
      <c r="B356" s="62" t="s">
        <v>416</v>
      </c>
      <c r="C356" s="62" t="s">
        <v>415</v>
      </c>
      <c r="D356" s="61">
        <v>61.74</v>
      </c>
      <c r="E356" s="61">
        <v>61.53</v>
      </c>
      <c r="F356" s="61">
        <v>3.4129692832764505E-3</v>
      </c>
      <c r="G356" s="371">
        <f>E356*(1-iDelta*2)</f>
        <v>59.068799999999996</v>
      </c>
      <c r="H356" s="61">
        <f>E356*(1-iDelta*1)</f>
        <v>60.299399999999999</v>
      </c>
      <c r="I356" s="61">
        <f>E356*(1+iDelta*1)</f>
        <v>62.760600000000004</v>
      </c>
      <c r="J356" s="61">
        <f>E356*(1+iDelta*2)</f>
        <v>63.991200000000006</v>
      </c>
    </row>
    <row r="357" spans="1:10" ht="30" customHeight="1" x14ac:dyDescent="0.25">
      <c r="A357" s="62" t="s">
        <v>393</v>
      </c>
      <c r="B357" s="62" t="s">
        <v>417</v>
      </c>
      <c r="C357" s="62" t="s">
        <v>418</v>
      </c>
      <c r="D357" s="61">
        <v>0.11205558</v>
      </c>
      <c r="E357" s="61">
        <v>0.114186436</v>
      </c>
      <c r="F357" s="61">
        <v>-1.866120070513454E-2</v>
      </c>
      <c r="G357" s="371">
        <f>E357*(1-iDelta*2)</f>
        <v>0.10961897856</v>
      </c>
      <c r="H357" s="61">
        <f>E357*(1-iDelta*1)</f>
        <v>0.11190270728</v>
      </c>
      <c r="I357" s="61">
        <f>E357*(1+iDelta*1)</f>
        <v>0.11647016472000001</v>
      </c>
      <c r="J357" s="61">
        <f>E357*(1+iDelta*2)</f>
        <v>0.11875389344000001</v>
      </c>
    </row>
    <row r="358" spans="1:10" ht="30" customHeight="1" x14ac:dyDescent="0.25">
      <c r="A358" s="62" t="s">
        <v>396</v>
      </c>
      <c r="B358" s="62" t="s">
        <v>419</v>
      </c>
      <c r="C358" s="62" t="s">
        <v>418</v>
      </c>
      <c r="D358" s="61">
        <v>39.99</v>
      </c>
      <c r="E358" s="61">
        <v>39.92</v>
      </c>
      <c r="F358" s="61">
        <v>1.7535070140280561E-3</v>
      </c>
      <c r="G358" s="371">
        <f>E358*(1-iDelta*2)</f>
        <v>38.3232</v>
      </c>
      <c r="H358" s="61">
        <f>E358*(1-iDelta*1)</f>
        <v>39.121600000000001</v>
      </c>
      <c r="I358" s="61">
        <f>E358*(1+iDelta*1)</f>
        <v>40.718400000000003</v>
      </c>
      <c r="J358" s="61">
        <f>E358*(1+iDelta*2)</f>
        <v>41.516800000000003</v>
      </c>
    </row>
    <row r="359" spans="1:10" ht="30" customHeight="1" x14ac:dyDescent="0.25">
      <c r="A359" s="62" t="s">
        <v>370</v>
      </c>
      <c r="B359" s="62" t="s">
        <v>416</v>
      </c>
      <c r="C359" s="62" t="s">
        <v>415</v>
      </c>
      <c r="D359" s="61">
        <v>42.51</v>
      </c>
      <c r="E359" s="61">
        <v>42.05</v>
      </c>
      <c r="F359" s="61">
        <v>1.0939357907253269E-2</v>
      </c>
      <c r="G359" s="371">
        <f>E359*(1-iDelta*2)</f>
        <v>40.367999999999995</v>
      </c>
      <c r="H359" s="61">
        <f>E359*(1-iDelta*1)</f>
        <v>41.208999999999996</v>
      </c>
      <c r="I359" s="61">
        <f>E359*(1+iDelta*1)</f>
        <v>42.890999999999998</v>
      </c>
      <c r="J359" s="61">
        <f>E359*(1+iDelta*2)</f>
        <v>43.731999999999999</v>
      </c>
    </row>
    <row r="360" spans="1:10" ht="30" customHeight="1" x14ac:dyDescent="0.25">
      <c r="A360" s="62" t="s">
        <v>500</v>
      </c>
      <c r="B360" s="62" t="s">
        <v>496</v>
      </c>
      <c r="C360" s="62" t="s">
        <v>496</v>
      </c>
      <c r="G360" s="371">
        <f>E360*(1-iDelta*2)</f>
        <v>0</v>
      </c>
      <c r="H360" s="61">
        <f>E360*(1-iDelta*1)</f>
        <v>0</v>
      </c>
      <c r="I360" s="61">
        <f>E360*(1+iDelta*1)</f>
        <v>0</v>
      </c>
      <c r="J360" s="61">
        <f>E360*(1+iDelta*2)</f>
        <v>0</v>
      </c>
    </row>
  </sheetData>
  <phoneticPr fontId="14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AA03-32FE-46CD-92B6-92B3C0C64A04}">
  <dimension ref="B1:D184"/>
  <sheetViews>
    <sheetView showGridLines="0" workbookViewId="0">
      <pane xSplit="1" topLeftCell="B1" activePane="topRight" state="frozen"/>
      <selection pane="topRight" activeCell="B13" sqref="B13"/>
    </sheetView>
  </sheetViews>
  <sheetFormatPr defaultColWidth="9.140625" defaultRowHeight="30" customHeight="1" x14ac:dyDescent="0.25"/>
  <cols>
    <col min="1" max="1" width="1.28515625" style="1" customWidth="1"/>
    <col min="2" max="2" width="9.140625" style="5" customWidth="1"/>
    <col min="3" max="3" width="9.140625" style="5"/>
    <col min="4" max="4" width="15.5703125" style="14" bestFit="1" customWidth="1"/>
    <col min="5" max="16384" width="9.140625" style="1"/>
  </cols>
  <sheetData>
    <row r="1" spans="2:4" ht="7.5" customHeight="1" x14ac:dyDescent="0.25">
      <c r="B1" s="4"/>
    </row>
    <row r="2" spans="2:4" ht="30" customHeight="1" x14ac:dyDescent="0.25">
      <c r="B2" s="12" t="s">
        <v>16</v>
      </c>
      <c r="C2" s="12" t="s">
        <v>17</v>
      </c>
      <c r="D2" s="15" t="s">
        <v>18</v>
      </c>
    </row>
    <row r="3" spans="2:4" ht="30" customHeight="1" x14ac:dyDescent="0.25">
      <c r="B3" s="12" t="s">
        <v>19</v>
      </c>
      <c r="C3" s="12" t="s">
        <v>19</v>
      </c>
      <c r="D3" s="16" t="e">
        <f>_xlfn.XLOOKUP(tbCoins8[[#This Row],[Ticker1]],#REF!,#REF!)/_xlfn.XLOOKUP(tbCoins8[[#This Row],[Ticker2]],#REF!,#REF!)</f>
        <v>#REF!</v>
      </c>
    </row>
    <row r="4" spans="2:4" ht="30" customHeight="1" x14ac:dyDescent="0.25">
      <c r="B4" s="7" t="s">
        <v>19</v>
      </c>
      <c r="C4" s="7" t="s">
        <v>8</v>
      </c>
      <c r="D4" s="17" t="e">
        <f>_xlfn.XLOOKUP(tbCoins8[[#This Row],[Ticker1]],#REF!,#REF!)/_xlfn.XLOOKUP(tbCoins8[[#This Row],[Ticker2]],#REF!,#REF!)</f>
        <v>#REF!</v>
      </c>
    </row>
    <row r="5" spans="2:4" ht="30" customHeight="1" x14ac:dyDescent="0.25">
      <c r="B5" s="7" t="s">
        <v>19</v>
      </c>
      <c r="C5" s="7" t="s">
        <v>20</v>
      </c>
      <c r="D5" s="17" t="e">
        <f>_xlfn.XLOOKUP(tbCoins8[[#This Row],[Ticker1]],#REF!,#REF!)/_xlfn.XLOOKUP(tbCoins8[[#This Row],[Ticker2]],#REF!,#REF!)</f>
        <v>#REF!</v>
      </c>
    </row>
    <row r="6" spans="2:4" ht="30" customHeight="1" x14ac:dyDescent="0.25">
      <c r="B6" s="7" t="s">
        <v>19</v>
      </c>
      <c r="C6" s="7" t="s">
        <v>21</v>
      </c>
      <c r="D6" s="17" t="e">
        <f>_xlfn.XLOOKUP(tbCoins8[[#This Row],[Ticker1]],#REF!,#REF!)/_xlfn.XLOOKUP(tbCoins8[[#This Row],[Ticker2]],#REF!,#REF!)</f>
        <v>#REF!</v>
      </c>
    </row>
    <row r="7" spans="2:4" ht="30" customHeight="1" x14ac:dyDescent="0.25">
      <c r="B7" s="7" t="s">
        <v>19</v>
      </c>
      <c r="C7" s="7" t="s">
        <v>22</v>
      </c>
      <c r="D7" s="17" t="e">
        <f>_xlfn.XLOOKUP(tbCoins8[[#This Row],[Ticker1]],#REF!,#REF!)/_xlfn.XLOOKUP(tbCoins8[[#This Row],[Ticker2]],#REF!,#REF!)</f>
        <v>#REF!</v>
      </c>
    </row>
    <row r="8" spans="2:4" ht="30" customHeight="1" x14ac:dyDescent="0.25">
      <c r="B8" s="7" t="s">
        <v>19</v>
      </c>
      <c r="C8" s="7" t="s">
        <v>23</v>
      </c>
      <c r="D8" s="17" t="e">
        <f>_xlfn.XLOOKUP(tbCoins8[[#This Row],[Ticker1]],#REF!,#REF!)/_xlfn.XLOOKUP(tbCoins8[[#This Row],[Ticker2]],#REF!,#REF!)</f>
        <v>#REF!</v>
      </c>
    </row>
    <row r="9" spans="2:4" ht="30" customHeight="1" x14ac:dyDescent="0.25">
      <c r="B9" s="7" t="s">
        <v>19</v>
      </c>
      <c r="C9" s="7" t="s">
        <v>24</v>
      </c>
      <c r="D9" s="17" t="e">
        <f>_xlfn.XLOOKUP(tbCoins8[[#This Row],[Ticker1]],#REF!,#REF!)/_xlfn.XLOOKUP(tbCoins8[[#This Row],[Ticker2]],#REF!,#REF!)</f>
        <v>#REF!</v>
      </c>
    </row>
    <row r="10" spans="2:4" ht="30" customHeight="1" x14ac:dyDescent="0.25">
      <c r="B10" s="7" t="s">
        <v>19</v>
      </c>
      <c r="C10" s="7" t="s">
        <v>25</v>
      </c>
      <c r="D10" s="17" t="e">
        <f>_xlfn.XLOOKUP(tbCoins8[[#This Row],[Ticker1]],#REF!,#REF!)/_xlfn.XLOOKUP(tbCoins8[[#This Row],[Ticker2]],#REF!,#REF!)</f>
        <v>#REF!</v>
      </c>
    </row>
    <row r="11" spans="2:4" ht="30" customHeight="1" x14ac:dyDescent="0.25">
      <c r="B11" s="7" t="s">
        <v>19</v>
      </c>
      <c r="C11" s="7" t="s">
        <v>26</v>
      </c>
      <c r="D11" s="17" t="e">
        <f>_xlfn.XLOOKUP(tbCoins8[[#This Row],[Ticker1]],#REF!,#REF!)/_xlfn.XLOOKUP(tbCoins8[[#This Row],[Ticker2]],#REF!,#REF!)</f>
        <v>#REF!</v>
      </c>
    </row>
    <row r="12" spans="2:4" ht="30" customHeight="1" x14ac:dyDescent="0.25">
      <c r="B12" s="7" t="s">
        <v>19</v>
      </c>
      <c r="C12" s="7" t="s">
        <v>27</v>
      </c>
      <c r="D12" s="17" t="e">
        <f>_xlfn.XLOOKUP(tbCoins8[[#This Row],[Ticker1]],#REF!,#REF!)/_xlfn.XLOOKUP(tbCoins8[[#This Row],[Ticker2]],#REF!,#REF!)</f>
        <v>#REF!</v>
      </c>
    </row>
    <row r="13" spans="2:4" ht="30" customHeight="1" x14ac:dyDescent="0.25">
      <c r="B13" s="7" t="s">
        <v>19</v>
      </c>
      <c r="C13" s="7" t="s">
        <v>29</v>
      </c>
      <c r="D13" s="17" t="e">
        <f>_xlfn.XLOOKUP(tbCoins8[[#This Row],[Ticker1]],#REF!,#REF!)/_xlfn.XLOOKUP(tbCoins8[[#This Row],[Ticker2]],#REF!,#REF!)</f>
        <v>#REF!</v>
      </c>
    </row>
    <row r="14" spans="2:4" ht="30" customHeight="1" x14ac:dyDescent="0.25">
      <c r="B14" s="7" t="s">
        <v>19</v>
      </c>
      <c r="C14" s="7" t="s">
        <v>30</v>
      </c>
      <c r="D14" s="17" t="e">
        <f>_xlfn.XLOOKUP(tbCoins8[[#This Row],[Ticker1]],#REF!,#REF!)/_xlfn.XLOOKUP(tbCoins8[[#This Row],[Ticker2]],#REF!,#REF!)</f>
        <v>#REF!</v>
      </c>
    </row>
    <row r="15" spans="2:4" ht="30" customHeight="1" x14ac:dyDescent="0.25">
      <c r="B15" s="7" t="s">
        <v>19</v>
      </c>
      <c r="C15" s="7" t="s">
        <v>28</v>
      </c>
      <c r="D15" s="17" t="e">
        <f>_xlfn.XLOOKUP(tbCoins8[[#This Row],[Ticker1]],#REF!,#REF!)/_xlfn.XLOOKUP(tbCoins8[[#This Row],[Ticker2]],#REF!,#REF!)</f>
        <v>#REF!</v>
      </c>
    </row>
    <row r="16" spans="2:4" ht="30" customHeight="1" x14ac:dyDescent="0.25">
      <c r="B16" s="11" t="s">
        <v>8</v>
      </c>
      <c r="C16" s="12" t="s">
        <v>19</v>
      </c>
      <c r="D16" s="17" t="e">
        <f>_xlfn.XLOOKUP(tbCoins8[[#This Row],[Ticker1]],#REF!,#REF!)/_xlfn.XLOOKUP(tbCoins8[[#This Row],[Ticker2]],#REF!,#REF!)</f>
        <v>#REF!</v>
      </c>
    </row>
    <row r="17" spans="2:4" ht="30" customHeight="1" x14ac:dyDescent="0.25">
      <c r="B17" s="11" t="s">
        <v>8</v>
      </c>
      <c r="C17" s="7" t="s">
        <v>8</v>
      </c>
      <c r="D17" s="17" t="e">
        <f>_xlfn.XLOOKUP(tbCoins8[[#This Row],[Ticker1]],#REF!,#REF!)/_xlfn.XLOOKUP(tbCoins8[[#This Row],[Ticker2]],#REF!,#REF!)</f>
        <v>#REF!</v>
      </c>
    </row>
    <row r="18" spans="2:4" ht="30" customHeight="1" x14ac:dyDescent="0.25">
      <c r="B18" s="11" t="s">
        <v>8</v>
      </c>
      <c r="C18" s="7" t="s">
        <v>20</v>
      </c>
      <c r="D18" s="17" t="e">
        <f>_xlfn.XLOOKUP(tbCoins8[[#This Row],[Ticker1]],#REF!,#REF!)/_xlfn.XLOOKUP(tbCoins8[[#This Row],[Ticker2]],#REF!,#REF!)</f>
        <v>#REF!</v>
      </c>
    </row>
    <row r="19" spans="2:4" ht="30" customHeight="1" x14ac:dyDescent="0.25">
      <c r="B19" s="11" t="s">
        <v>8</v>
      </c>
      <c r="C19" s="7" t="s">
        <v>21</v>
      </c>
      <c r="D19" s="17" t="e">
        <f>_xlfn.XLOOKUP(tbCoins8[[#This Row],[Ticker1]],#REF!,#REF!)/_xlfn.XLOOKUP(tbCoins8[[#This Row],[Ticker2]],#REF!,#REF!)</f>
        <v>#REF!</v>
      </c>
    </row>
    <row r="20" spans="2:4" ht="30" customHeight="1" x14ac:dyDescent="0.25">
      <c r="B20" s="11" t="s">
        <v>8</v>
      </c>
      <c r="C20" s="7" t="s">
        <v>22</v>
      </c>
      <c r="D20" s="17" t="e">
        <f>_xlfn.XLOOKUP(tbCoins8[[#This Row],[Ticker1]],#REF!,#REF!)/_xlfn.XLOOKUP(tbCoins8[[#This Row],[Ticker2]],#REF!,#REF!)</f>
        <v>#REF!</v>
      </c>
    </row>
    <row r="21" spans="2:4" ht="30" customHeight="1" x14ac:dyDescent="0.25">
      <c r="B21" s="11" t="s">
        <v>8</v>
      </c>
      <c r="C21" s="7" t="s">
        <v>23</v>
      </c>
      <c r="D21" s="17" t="e">
        <f>_xlfn.XLOOKUP(tbCoins8[[#This Row],[Ticker1]],#REF!,#REF!)/_xlfn.XLOOKUP(tbCoins8[[#This Row],[Ticker2]],#REF!,#REF!)</f>
        <v>#REF!</v>
      </c>
    </row>
    <row r="22" spans="2:4" ht="30" customHeight="1" x14ac:dyDescent="0.25">
      <c r="B22" s="11" t="s">
        <v>8</v>
      </c>
      <c r="C22" s="7" t="s">
        <v>24</v>
      </c>
      <c r="D22" s="17" t="e">
        <f>_xlfn.XLOOKUP(tbCoins8[[#This Row],[Ticker1]],#REF!,#REF!)/_xlfn.XLOOKUP(tbCoins8[[#This Row],[Ticker2]],#REF!,#REF!)</f>
        <v>#REF!</v>
      </c>
    </row>
    <row r="23" spans="2:4" ht="30" customHeight="1" x14ac:dyDescent="0.25">
      <c r="B23" s="11" t="s">
        <v>8</v>
      </c>
      <c r="C23" s="7" t="s">
        <v>25</v>
      </c>
      <c r="D23" s="17" t="e">
        <f>_xlfn.XLOOKUP(tbCoins8[[#This Row],[Ticker1]],#REF!,#REF!)/_xlfn.XLOOKUP(tbCoins8[[#This Row],[Ticker2]],#REF!,#REF!)</f>
        <v>#REF!</v>
      </c>
    </row>
    <row r="24" spans="2:4" ht="30" customHeight="1" x14ac:dyDescent="0.25">
      <c r="B24" s="11" t="s">
        <v>8</v>
      </c>
      <c r="C24" s="7" t="s">
        <v>26</v>
      </c>
      <c r="D24" s="17" t="e">
        <f>_xlfn.XLOOKUP(tbCoins8[[#This Row],[Ticker1]],#REF!,#REF!)/_xlfn.XLOOKUP(tbCoins8[[#This Row],[Ticker2]],#REF!,#REF!)</f>
        <v>#REF!</v>
      </c>
    </row>
    <row r="25" spans="2:4" ht="30" customHeight="1" x14ac:dyDescent="0.25">
      <c r="B25" s="11" t="s">
        <v>8</v>
      </c>
      <c r="C25" s="7" t="s">
        <v>27</v>
      </c>
      <c r="D25" s="17" t="e">
        <f>_xlfn.XLOOKUP(tbCoins8[[#This Row],[Ticker1]],#REF!,#REF!)/_xlfn.XLOOKUP(tbCoins8[[#This Row],[Ticker2]],#REF!,#REF!)</f>
        <v>#REF!</v>
      </c>
    </row>
    <row r="26" spans="2:4" ht="30" customHeight="1" x14ac:dyDescent="0.25">
      <c r="B26" s="11" t="s">
        <v>8</v>
      </c>
      <c r="C26" s="7" t="s">
        <v>29</v>
      </c>
      <c r="D26" s="17" t="e">
        <f>_xlfn.XLOOKUP(tbCoins8[[#This Row],[Ticker1]],#REF!,#REF!)/_xlfn.XLOOKUP(tbCoins8[[#This Row],[Ticker2]],#REF!,#REF!)</f>
        <v>#REF!</v>
      </c>
    </row>
    <row r="27" spans="2:4" ht="30" customHeight="1" x14ac:dyDescent="0.25">
      <c r="B27" s="11" t="s">
        <v>8</v>
      </c>
      <c r="C27" s="7" t="s">
        <v>30</v>
      </c>
      <c r="D27" s="17" t="e">
        <f>_xlfn.XLOOKUP(tbCoins8[[#This Row],[Ticker1]],#REF!,#REF!)/_xlfn.XLOOKUP(tbCoins8[[#This Row],[Ticker2]],#REF!,#REF!)</f>
        <v>#REF!</v>
      </c>
    </row>
    <row r="28" spans="2:4" ht="30" customHeight="1" x14ac:dyDescent="0.25">
      <c r="B28" s="11" t="s">
        <v>8</v>
      </c>
      <c r="C28" s="7" t="s">
        <v>28</v>
      </c>
      <c r="D28" s="17" t="e">
        <f>_xlfn.XLOOKUP(tbCoins8[[#This Row],[Ticker1]],#REF!,#REF!)/_xlfn.XLOOKUP(tbCoins8[[#This Row],[Ticker2]],#REF!,#REF!)</f>
        <v>#REF!</v>
      </c>
    </row>
    <row r="29" spans="2:4" ht="30" customHeight="1" x14ac:dyDescent="0.25">
      <c r="B29" s="13" t="s">
        <v>20</v>
      </c>
      <c r="C29" s="13" t="s">
        <v>19</v>
      </c>
      <c r="D29" s="17" t="e">
        <f>_xlfn.XLOOKUP(tbCoins8[[#This Row],[Ticker1]],#REF!,#REF!)/_xlfn.XLOOKUP(tbCoins8[[#This Row],[Ticker2]],#REF!,#REF!)</f>
        <v>#REF!</v>
      </c>
    </row>
    <row r="30" spans="2:4" ht="30" customHeight="1" x14ac:dyDescent="0.25">
      <c r="B30" s="13" t="s">
        <v>20</v>
      </c>
      <c r="C30" s="13" t="s">
        <v>8</v>
      </c>
      <c r="D30" s="17" t="e">
        <f>_xlfn.XLOOKUP(tbCoins8[[#This Row],[Ticker1]],#REF!,#REF!)/_xlfn.XLOOKUP(tbCoins8[[#This Row],[Ticker2]],#REF!,#REF!)</f>
        <v>#REF!</v>
      </c>
    </row>
    <row r="31" spans="2:4" ht="30" customHeight="1" x14ac:dyDescent="0.25">
      <c r="B31" s="13" t="s">
        <v>20</v>
      </c>
      <c r="C31" s="13" t="s">
        <v>20</v>
      </c>
      <c r="D31" s="17" t="e">
        <f>_xlfn.XLOOKUP(tbCoins8[[#This Row],[Ticker1]],#REF!,#REF!)/_xlfn.XLOOKUP(tbCoins8[[#This Row],[Ticker2]],#REF!,#REF!)</f>
        <v>#REF!</v>
      </c>
    </row>
    <row r="32" spans="2:4" ht="30" customHeight="1" x14ac:dyDescent="0.25">
      <c r="B32" s="13" t="s">
        <v>20</v>
      </c>
      <c r="C32" s="13" t="s">
        <v>21</v>
      </c>
      <c r="D32" s="17" t="e">
        <f>_xlfn.XLOOKUP(tbCoins8[[#This Row],[Ticker1]],#REF!,#REF!)/_xlfn.XLOOKUP(tbCoins8[[#This Row],[Ticker2]],#REF!,#REF!)</f>
        <v>#REF!</v>
      </c>
    </row>
    <row r="33" spans="2:4" ht="30" customHeight="1" x14ac:dyDescent="0.25">
      <c r="B33" s="13" t="s">
        <v>20</v>
      </c>
      <c r="C33" s="13" t="s">
        <v>22</v>
      </c>
      <c r="D33" s="17" t="e">
        <f>_xlfn.XLOOKUP(tbCoins8[[#This Row],[Ticker1]],#REF!,#REF!)/_xlfn.XLOOKUP(tbCoins8[[#This Row],[Ticker2]],#REF!,#REF!)</f>
        <v>#REF!</v>
      </c>
    </row>
    <row r="34" spans="2:4" ht="30" customHeight="1" x14ac:dyDescent="0.25">
      <c r="B34" s="13" t="s">
        <v>20</v>
      </c>
      <c r="C34" s="13" t="s">
        <v>23</v>
      </c>
      <c r="D34" s="17" t="e">
        <f>_xlfn.XLOOKUP(tbCoins8[[#This Row],[Ticker1]],#REF!,#REF!)/_xlfn.XLOOKUP(tbCoins8[[#This Row],[Ticker2]],#REF!,#REF!)</f>
        <v>#REF!</v>
      </c>
    </row>
    <row r="35" spans="2:4" ht="30" customHeight="1" x14ac:dyDescent="0.25">
      <c r="B35" s="13" t="s">
        <v>20</v>
      </c>
      <c r="C35" s="13" t="s">
        <v>24</v>
      </c>
      <c r="D35" s="17" t="e">
        <f>_xlfn.XLOOKUP(tbCoins8[[#This Row],[Ticker1]],#REF!,#REF!)/_xlfn.XLOOKUP(tbCoins8[[#This Row],[Ticker2]],#REF!,#REF!)</f>
        <v>#REF!</v>
      </c>
    </row>
    <row r="36" spans="2:4" ht="30" customHeight="1" x14ac:dyDescent="0.25">
      <c r="B36" s="13" t="s">
        <v>20</v>
      </c>
      <c r="C36" s="13" t="s">
        <v>25</v>
      </c>
      <c r="D36" s="17" t="e">
        <f>_xlfn.XLOOKUP(tbCoins8[[#This Row],[Ticker1]],#REF!,#REF!)/_xlfn.XLOOKUP(tbCoins8[[#This Row],[Ticker2]],#REF!,#REF!)</f>
        <v>#REF!</v>
      </c>
    </row>
    <row r="37" spans="2:4" ht="30" customHeight="1" x14ac:dyDescent="0.25">
      <c r="B37" s="13" t="s">
        <v>20</v>
      </c>
      <c r="C37" s="13" t="s">
        <v>26</v>
      </c>
      <c r="D37" s="17" t="e">
        <f>_xlfn.XLOOKUP(tbCoins8[[#This Row],[Ticker1]],#REF!,#REF!)/_xlfn.XLOOKUP(tbCoins8[[#This Row],[Ticker2]],#REF!,#REF!)</f>
        <v>#REF!</v>
      </c>
    </row>
    <row r="38" spans="2:4" ht="30" customHeight="1" x14ac:dyDescent="0.25">
      <c r="B38" s="13" t="s">
        <v>20</v>
      </c>
      <c r="C38" s="13" t="s">
        <v>27</v>
      </c>
      <c r="D38" s="17" t="e">
        <f>_xlfn.XLOOKUP(tbCoins8[[#This Row],[Ticker1]],#REF!,#REF!)/_xlfn.XLOOKUP(tbCoins8[[#This Row],[Ticker2]],#REF!,#REF!)</f>
        <v>#REF!</v>
      </c>
    </row>
    <row r="39" spans="2:4" ht="30" customHeight="1" x14ac:dyDescent="0.25">
      <c r="B39" s="13" t="s">
        <v>20</v>
      </c>
      <c r="C39" s="13" t="s">
        <v>29</v>
      </c>
      <c r="D39" s="17" t="e">
        <f>_xlfn.XLOOKUP(tbCoins8[[#This Row],[Ticker1]],#REF!,#REF!)/_xlfn.XLOOKUP(tbCoins8[[#This Row],[Ticker2]],#REF!,#REF!)</f>
        <v>#REF!</v>
      </c>
    </row>
    <row r="40" spans="2:4" ht="30" customHeight="1" x14ac:dyDescent="0.25">
      <c r="B40" s="13" t="s">
        <v>20</v>
      </c>
      <c r="C40" s="13" t="s">
        <v>30</v>
      </c>
      <c r="D40" s="17" t="e">
        <f>_xlfn.XLOOKUP(tbCoins8[[#This Row],[Ticker1]],#REF!,#REF!)/_xlfn.XLOOKUP(tbCoins8[[#This Row],[Ticker2]],#REF!,#REF!)</f>
        <v>#REF!</v>
      </c>
    </row>
    <row r="41" spans="2:4" ht="30" customHeight="1" x14ac:dyDescent="0.25">
      <c r="B41" s="13" t="s">
        <v>20</v>
      </c>
      <c r="C41" s="13" t="s">
        <v>28</v>
      </c>
      <c r="D41" s="17" t="e">
        <f>_xlfn.XLOOKUP(tbCoins8[[#This Row],[Ticker1]],#REF!,#REF!)/_xlfn.XLOOKUP(tbCoins8[[#This Row],[Ticker2]],#REF!,#REF!)</f>
        <v>#REF!</v>
      </c>
    </row>
    <row r="42" spans="2:4" ht="30" customHeight="1" x14ac:dyDescent="0.25">
      <c r="B42" s="13" t="s">
        <v>21</v>
      </c>
      <c r="C42" s="13" t="s">
        <v>19</v>
      </c>
      <c r="D42" s="17" t="e">
        <f>_xlfn.XLOOKUP(tbCoins8[[#This Row],[Ticker1]],#REF!,#REF!)/_xlfn.XLOOKUP(tbCoins8[[#This Row],[Ticker2]],#REF!,#REF!)</f>
        <v>#REF!</v>
      </c>
    </row>
    <row r="43" spans="2:4" ht="30" customHeight="1" x14ac:dyDescent="0.25">
      <c r="B43" s="13" t="s">
        <v>21</v>
      </c>
      <c r="C43" s="13" t="s">
        <v>8</v>
      </c>
      <c r="D43" s="17" t="e">
        <f>_xlfn.XLOOKUP(tbCoins8[[#This Row],[Ticker1]],#REF!,#REF!)/_xlfn.XLOOKUP(tbCoins8[[#This Row],[Ticker2]],#REF!,#REF!)</f>
        <v>#REF!</v>
      </c>
    </row>
    <row r="44" spans="2:4" ht="30" customHeight="1" x14ac:dyDescent="0.25">
      <c r="B44" s="13" t="s">
        <v>21</v>
      </c>
      <c r="C44" s="13" t="s">
        <v>20</v>
      </c>
      <c r="D44" s="17" t="e">
        <f>_xlfn.XLOOKUP(tbCoins8[[#This Row],[Ticker1]],#REF!,#REF!)/_xlfn.XLOOKUP(tbCoins8[[#This Row],[Ticker2]],#REF!,#REF!)</f>
        <v>#REF!</v>
      </c>
    </row>
    <row r="45" spans="2:4" ht="30" customHeight="1" x14ac:dyDescent="0.25">
      <c r="B45" s="13" t="s">
        <v>21</v>
      </c>
      <c r="C45" s="13" t="s">
        <v>21</v>
      </c>
      <c r="D45" s="17" t="e">
        <f>_xlfn.XLOOKUP(tbCoins8[[#This Row],[Ticker1]],#REF!,#REF!)/_xlfn.XLOOKUP(tbCoins8[[#This Row],[Ticker2]],#REF!,#REF!)</f>
        <v>#REF!</v>
      </c>
    </row>
    <row r="46" spans="2:4" ht="30" customHeight="1" x14ac:dyDescent="0.25">
      <c r="B46" s="13" t="s">
        <v>21</v>
      </c>
      <c r="C46" s="13" t="s">
        <v>22</v>
      </c>
      <c r="D46" s="17" t="e">
        <f>_xlfn.XLOOKUP(tbCoins8[[#This Row],[Ticker1]],#REF!,#REF!)/_xlfn.XLOOKUP(tbCoins8[[#This Row],[Ticker2]],#REF!,#REF!)</f>
        <v>#REF!</v>
      </c>
    </row>
    <row r="47" spans="2:4" ht="30" customHeight="1" x14ac:dyDescent="0.25">
      <c r="B47" s="13" t="s">
        <v>21</v>
      </c>
      <c r="C47" s="13" t="s">
        <v>23</v>
      </c>
      <c r="D47" s="17" t="e">
        <f>_xlfn.XLOOKUP(tbCoins8[[#This Row],[Ticker1]],#REF!,#REF!)/_xlfn.XLOOKUP(tbCoins8[[#This Row],[Ticker2]],#REF!,#REF!)</f>
        <v>#REF!</v>
      </c>
    </row>
    <row r="48" spans="2:4" ht="30" customHeight="1" x14ac:dyDescent="0.25">
      <c r="B48" s="13" t="s">
        <v>21</v>
      </c>
      <c r="C48" s="13" t="s">
        <v>24</v>
      </c>
      <c r="D48" s="17" t="e">
        <f>_xlfn.XLOOKUP(tbCoins8[[#This Row],[Ticker1]],#REF!,#REF!)/_xlfn.XLOOKUP(tbCoins8[[#This Row],[Ticker2]],#REF!,#REF!)</f>
        <v>#REF!</v>
      </c>
    </row>
    <row r="49" spans="2:4" ht="30" customHeight="1" x14ac:dyDescent="0.25">
      <c r="B49" s="13" t="s">
        <v>21</v>
      </c>
      <c r="C49" s="13" t="s">
        <v>25</v>
      </c>
      <c r="D49" s="17" t="e">
        <f>_xlfn.XLOOKUP(tbCoins8[[#This Row],[Ticker1]],#REF!,#REF!)/_xlfn.XLOOKUP(tbCoins8[[#This Row],[Ticker2]],#REF!,#REF!)</f>
        <v>#REF!</v>
      </c>
    </row>
    <row r="50" spans="2:4" ht="30" customHeight="1" x14ac:dyDescent="0.25">
      <c r="B50" s="13" t="s">
        <v>21</v>
      </c>
      <c r="C50" s="13" t="s">
        <v>26</v>
      </c>
      <c r="D50" s="17" t="e">
        <f>_xlfn.XLOOKUP(tbCoins8[[#This Row],[Ticker1]],#REF!,#REF!)/_xlfn.XLOOKUP(tbCoins8[[#This Row],[Ticker2]],#REF!,#REF!)</f>
        <v>#REF!</v>
      </c>
    </row>
    <row r="51" spans="2:4" ht="30" customHeight="1" x14ac:dyDescent="0.25">
      <c r="B51" s="13" t="s">
        <v>21</v>
      </c>
      <c r="C51" s="13" t="s">
        <v>27</v>
      </c>
      <c r="D51" s="17" t="e">
        <f>_xlfn.XLOOKUP(tbCoins8[[#This Row],[Ticker1]],#REF!,#REF!)/_xlfn.XLOOKUP(tbCoins8[[#This Row],[Ticker2]],#REF!,#REF!)</f>
        <v>#REF!</v>
      </c>
    </row>
    <row r="52" spans="2:4" ht="30" customHeight="1" x14ac:dyDescent="0.25">
      <c r="B52" s="13" t="s">
        <v>21</v>
      </c>
      <c r="C52" s="13" t="s">
        <v>29</v>
      </c>
      <c r="D52" s="17" t="e">
        <f>_xlfn.XLOOKUP(tbCoins8[[#This Row],[Ticker1]],#REF!,#REF!)/_xlfn.XLOOKUP(tbCoins8[[#This Row],[Ticker2]],#REF!,#REF!)</f>
        <v>#REF!</v>
      </c>
    </row>
    <row r="53" spans="2:4" ht="30" customHeight="1" x14ac:dyDescent="0.25">
      <c r="B53" s="13" t="s">
        <v>21</v>
      </c>
      <c r="C53" s="13" t="s">
        <v>30</v>
      </c>
      <c r="D53" s="17" t="e">
        <f>_xlfn.XLOOKUP(tbCoins8[[#This Row],[Ticker1]],#REF!,#REF!)/_xlfn.XLOOKUP(tbCoins8[[#This Row],[Ticker2]],#REF!,#REF!)</f>
        <v>#REF!</v>
      </c>
    </row>
    <row r="54" spans="2:4" ht="30" customHeight="1" x14ac:dyDescent="0.25">
      <c r="B54" s="13" t="s">
        <v>21</v>
      </c>
      <c r="C54" s="13" t="s">
        <v>28</v>
      </c>
      <c r="D54" s="17" t="e">
        <f>_xlfn.XLOOKUP(tbCoins8[[#This Row],[Ticker1]],#REF!,#REF!)/_xlfn.XLOOKUP(tbCoins8[[#This Row],[Ticker2]],#REF!,#REF!)</f>
        <v>#REF!</v>
      </c>
    </row>
    <row r="55" spans="2:4" ht="30" customHeight="1" x14ac:dyDescent="0.25">
      <c r="B55" s="13" t="s">
        <v>22</v>
      </c>
      <c r="C55" s="13" t="s">
        <v>19</v>
      </c>
      <c r="D55" s="17" t="e">
        <f>_xlfn.XLOOKUP(tbCoins8[[#This Row],[Ticker1]],#REF!,#REF!)/_xlfn.XLOOKUP(tbCoins8[[#This Row],[Ticker2]],#REF!,#REF!)</f>
        <v>#REF!</v>
      </c>
    </row>
    <row r="56" spans="2:4" ht="30" customHeight="1" x14ac:dyDescent="0.25">
      <c r="B56" s="13" t="s">
        <v>22</v>
      </c>
      <c r="C56" s="13" t="s">
        <v>8</v>
      </c>
      <c r="D56" s="17" t="e">
        <f>_xlfn.XLOOKUP(tbCoins8[[#This Row],[Ticker1]],#REF!,#REF!)/_xlfn.XLOOKUP(tbCoins8[[#This Row],[Ticker2]],#REF!,#REF!)</f>
        <v>#REF!</v>
      </c>
    </row>
    <row r="57" spans="2:4" ht="30" customHeight="1" x14ac:dyDescent="0.25">
      <c r="B57" s="13" t="s">
        <v>22</v>
      </c>
      <c r="C57" s="13" t="s">
        <v>20</v>
      </c>
      <c r="D57" s="17" t="e">
        <f>_xlfn.XLOOKUP(tbCoins8[[#This Row],[Ticker1]],#REF!,#REF!)/_xlfn.XLOOKUP(tbCoins8[[#This Row],[Ticker2]],#REF!,#REF!)</f>
        <v>#REF!</v>
      </c>
    </row>
    <row r="58" spans="2:4" ht="30" customHeight="1" x14ac:dyDescent="0.25">
      <c r="B58" s="13" t="s">
        <v>22</v>
      </c>
      <c r="C58" s="13" t="s">
        <v>21</v>
      </c>
      <c r="D58" s="17" t="e">
        <f>_xlfn.XLOOKUP(tbCoins8[[#This Row],[Ticker1]],#REF!,#REF!)/_xlfn.XLOOKUP(tbCoins8[[#This Row],[Ticker2]],#REF!,#REF!)</f>
        <v>#REF!</v>
      </c>
    </row>
    <row r="59" spans="2:4" ht="30" customHeight="1" x14ac:dyDescent="0.25">
      <c r="B59" s="13" t="s">
        <v>22</v>
      </c>
      <c r="C59" s="13" t="s">
        <v>22</v>
      </c>
      <c r="D59" s="17" t="e">
        <f>_xlfn.XLOOKUP(tbCoins8[[#This Row],[Ticker1]],#REF!,#REF!)/_xlfn.XLOOKUP(tbCoins8[[#This Row],[Ticker2]],#REF!,#REF!)</f>
        <v>#REF!</v>
      </c>
    </row>
    <row r="60" spans="2:4" ht="30" customHeight="1" x14ac:dyDescent="0.25">
      <c r="B60" s="13" t="s">
        <v>22</v>
      </c>
      <c r="C60" s="13" t="s">
        <v>23</v>
      </c>
      <c r="D60" s="17" t="e">
        <f>_xlfn.XLOOKUP(tbCoins8[[#This Row],[Ticker1]],#REF!,#REF!)/_xlfn.XLOOKUP(tbCoins8[[#This Row],[Ticker2]],#REF!,#REF!)</f>
        <v>#REF!</v>
      </c>
    </row>
    <row r="61" spans="2:4" ht="30" customHeight="1" x14ac:dyDescent="0.25">
      <c r="B61" s="13" t="s">
        <v>22</v>
      </c>
      <c r="C61" s="13" t="s">
        <v>24</v>
      </c>
      <c r="D61" s="17" t="e">
        <f>_xlfn.XLOOKUP(tbCoins8[[#This Row],[Ticker1]],#REF!,#REF!)/_xlfn.XLOOKUP(tbCoins8[[#This Row],[Ticker2]],#REF!,#REF!)</f>
        <v>#REF!</v>
      </c>
    </row>
    <row r="62" spans="2:4" ht="30" customHeight="1" x14ac:dyDescent="0.25">
      <c r="B62" s="13" t="s">
        <v>22</v>
      </c>
      <c r="C62" s="13" t="s">
        <v>25</v>
      </c>
      <c r="D62" s="17" t="e">
        <f>_xlfn.XLOOKUP(tbCoins8[[#This Row],[Ticker1]],#REF!,#REF!)/_xlfn.XLOOKUP(tbCoins8[[#This Row],[Ticker2]],#REF!,#REF!)</f>
        <v>#REF!</v>
      </c>
    </row>
    <row r="63" spans="2:4" ht="30" customHeight="1" x14ac:dyDescent="0.25">
      <c r="B63" s="13" t="s">
        <v>22</v>
      </c>
      <c r="C63" s="13" t="s">
        <v>26</v>
      </c>
      <c r="D63" s="17" t="e">
        <f>_xlfn.XLOOKUP(tbCoins8[[#This Row],[Ticker1]],#REF!,#REF!)/_xlfn.XLOOKUP(tbCoins8[[#This Row],[Ticker2]],#REF!,#REF!)</f>
        <v>#REF!</v>
      </c>
    </row>
    <row r="64" spans="2:4" ht="30" customHeight="1" x14ac:dyDescent="0.25">
      <c r="B64" s="13" t="s">
        <v>22</v>
      </c>
      <c r="C64" s="13" t="s">
        <v>27</v>
      </c>
      <c r="D64" s="17" t="e">
        <f>_xlfn.XLOOKUP(tbCoins8[[#This Row],[Ticker1]],#REF!,#REF!)/_xlfn.XLOOKUP(tbCoins8[[#This Row],[Ticker2]],#REF!,#REF!)</f>
        <v>#REF!</v>
      </c>
    </row>
    <row r="65" spans="2:4" ht="30" customHeight="1" x14ac:dyDescent="0.25">
      <c r="B65" s="13" t="s">
        <v>22</v>
      </c>
      <c r="C65" s="13" t="s">
        <v>29</v>
      </c>
      <c r="D65" s="17" t="e">
        <f>_xlfn.XLOOKUP(tbCoins8[[#This Row],[Ticker1]],#REF!,#REF!)/_xlfn.XLOOKUP(tbCoins8[[#This Row],[Ticker2]],#REF!,#REF!)</f>
        <v>#REF!</v>
      </c>
    </row>
    <row r="66" spans="2:4" ht="30" customHeight="1" x14ac:dyDescent="0.25">
      <c r="B66" s="13" t="s">
        <v>22</v>
      </c>
      <c r="C66" s="13" t="s">
        <v>30</v>
      </c>
      <c r="D66" s="17" t="e">
        <f>_xlfn.XLOOKUP(tbCoins8[[#This Row],[Ticker1]],#REF!,#REF!)/_xlfn.XLOOKUP(tbCoins8[[#This Row],[Ticker2]],#REF!,#REF!)</f>
        <v>#REF!</v>
      </c>
    </row>
    <row r="67" spans="2:4" ht="30" customHeight="1" x14ac:dyDescent="0.25">
      <c r="B67" s="13" t="s">
        <v>22</v>
      </c>
      <c r="C67" s="13" t="s">
        <v>28</v>
      </c>
      <c r="D67" s="17" t="e">
        <f>_xlfn.XLOOKUP(tbCoins8[[#This Row],[Ticker1]],#REF!,#REF!)/_xlfn.XLOOKUP(tbCoins8[[#This Row],[Ticker2]],#REF!,#REF!)</f>
        <v>#REF!</v>
      </c>
    </row>
    <row r="68" spans="2:4" ht="30" customHeight="1" x14ac:dyDescent="0.25">
      <c r="B68" s="13" t="s">
        <v>23</v>
      </c>
      <c r="C68" s="13" t="s">
        <v>19</v>
      </c>
      <c r="D68" s="17" t="e">
        <f>_xlfn.XLOOKUP(tbCoins8[[#This Row],[Ticker1]],#REF!,#REF!)/_xlfn.XLOOKUP(tbCoins8[[#This Row],[Ticker2]],#REF!,#REF!)</f>
        <v>#REF!</v>
      </c>
    </row>
    <row r="69" spans="2:4" ht="30" customHeight="1" x14ac:dyDescent="0.25">
      <c r="B69" s="13" t="s">
        <v>23</v>
      </c>
      <c r="C69" s="13" t="s">
        <v>8</v>
      </c>
      <c r="D69" s="17" t="e">
        <f>_xlfn.XLOOKUP(tbCoins8[[#This Row],[Ticker1]],#REF!,#REF!)/_xlfn.XLOOKUP(tbCoins8[[#This Row],[Ticker2]],#REF!,#REF!)</f>
        <v>#REF!</v>
      </c>
    </row>
    <row r="70" spans="2:4" ht="30" customHeight="1" x14ac:dyDescent="0.25">
      <c r="B70" s="13" t="s">
        <v>23</v>
      </c>
      <c r="C70" s="13" t="s">
        <v>20</v>
      </c>
      <c r="D70" s="17" t="e">
        <f>_xlfn.XLOOKUP(tbCoins8[[#This Row],[Ticker1]],#REF!,#REF!)/_xlfn.XLOOKUP(tbCoins8[[#This Row],[Ticker2]],#REF!,#REF!)</f>
        <v>#REF!</v>
      </c>
    </row>
    <row r="71" spans="2:4" ht="30" customHeight="1" x14ac:dyDescent="0.25">
      <c r="B71" s="13" t="s">
        <v>23</v>
      </c>
      <c r="C71" s="13" t="s">
        <v>21</v>
      </c>
      <c r="D71" s="17" t="e">
        <f>_xlfn.XLOOKUP(tbCoins8[[#This Row],[Ticker1]],#REF!,#REF!)/_xlfn.XLOOKUP(tbCoins8[[#This Row],[Ticker2]],#REF!,#REF!)</f>
        <v>#REF!</v>
      </c>
    </row>
    <row r="72" spans="2:4" ht="30" customHeight="1" x14ac:dyDescent="0.25">
      <c r="B72" s="13" t="s">
        <v>23</v>
      </c>
      <c r="C72" s="13" t="s">
        <v>22</v>
      </c>
      <c r="D72" s="17" t="e">
        <f>_xlfn.XLOOKUP(tbCoins8[[#This Row],[Ticker1]],#REF!,#REF!)/_xlfn.XLOOKUP(tbCoins8[[#This Row],[Ticker2]],#REF!,#REF!)</f>
        <v>#REF!</v>
      </c>
    </row>
    <row r="73" spans="2:4" ht="30" customHeight="1" x14ac:dyDescent="0.25">
      <c r="B73" s="13" t="s">
        <v>23</v>
      </c>
      <c r="C73" s="13" t="s">
        <v>23</v>
      </c>
      <c r="D73" s="17" t="e">
        <f>_xlfn.XLOOKUP(tbCoins8[[#This Row],[Ticker1]],#REF!,#REF!)/_xlfn.XLOOKUP(tbCoins8[[#This Row],[Ticker2]],#REF!,#REF!)</f>
        <v>#REF!</v>
      </c>
    </row>
    <row r="74" spans="2:4" ht="30" customHeight="1" x14ac:dyDescent="0.25">
      <c r="B74" s="13" t="s">
        <v>23</v>
      </c>
      <c r="C74" s="13" t="s">
        <v>24</v>
      </c>
      <c r="D74" s="17" t="e">
        <f>_xlfn.XLOOKUP(tbCoins8[[#This Row],[Ticker1]],#REF!,#REF!)/_xlfn.XLOOKUP(tbCoins8[[#This Row],[Ticker2]],#REF!,#REF!)</f>
        <v>#REF!</v>
      </c>
    </row>
    <row r="75" spans="2:4" ht="30" customHeight="1" x14ac:dyDescent="0.25">
      <c r="B75" s="13" t="s">
        <v>23</v>
      </c>
      <c r="C75" s="13" t="s">
        <v>25</v>
      </c>
      <c r="D75" s="17" t="e">
        <f>_xlfn.XLOOKUP(tbCoins8[[#This Row],[Ticker1]],#REF!,#REF!)/_xlfn.XLOOKUP(tbCoins8[[#This Row],[Ticker2]],#REF!,#REF!)</f>
        <v>#REF!</v>
      </c>
    </row>
    <row r="76" spans="2:4" ht="30" customHeight="1" x14ac:dyDescent="0.25">
      <c r="B76" s="13" t="s">
        <v>23</v>
      </c>
      <c r="C76" s="13" t="s">
        <v>26</v>
      </c>
      <c r="D76" s="17" t="e">
        <f>_xlfn.XLOOKUP(tbCoins8[[#This Row],[Ticker1]],#REF!,#REF!)/_xlfn.XLOOKUP(tbCoins8[[#This Row],[Ticker2]],#REF!,#REF!)</f>
        <v>#REF!</v>
      </c>
    </row>
    <row r="77" spans="2:4" ht="30" customHeight="1" x14ac:dyDescent="0.25">
      <c r="B77" s="13" t="s">
        <v>23</v>
      </c>
      <c r="C77" s="13" t="s">
        <v>27</v>
      </c>
      <c r="D77" s="17" t="e">
        <f>_xlfn.XLOOKUP(tbCoins8[[#This Row],[Ticker1]],#REF!,#REF!)/_xlfn.XLOOKUP(tbCoins8[[#This Row],[Ticker2]],#REF!,#REF!)</f>
        <v>#REF!</v>
      </c>
    </row>
    <row r="78" spans="2:4" ht="30" customHeight="1" x14ac:dyDescent="0.25">
      <c r="B78" s="13" t="s">
        <v>23</v>
      </c>
      <c r="C78" s="13" t="s">
        <v>29</v>
      </c>
      <c r="D78" s="17" t="e">
        <f>_xlfn.XLOOKUP(tbCoins8[[#This Row],[Ticker1]],#REF!,#REF!)/_xlfn.XLOOKUP(tbCoins8[[#This Row],[Ticker2]],#REF!,#REF!)</f>
        <v>#REF!</v>
      </c>
    </row>
    <row r="79" spans="2:4" ht="30" customHeight="1" x14ac:dyDescent="0.25">
      <c r="B79" s="13" t="s">
        <v>23</v>
      </c>
      <c r="C79" s="13" t="s">
        <v>30</v>
      </c>
      <c r="D79" s="17" t="e">
        <f>_xlfn.XLOOKUP(tbCoins8[[#This Row],[Ticker1]],#REF!,#REF!)/_xlfn.XLOOKUP(tbCoins8[[#This Row],[Ticker2]],#REF!,#REF!)</f>
        <v>#REF!</v>
      </c>
    </row>
    <row r="80" spans="2:4" ht="30" customHeight="1" x14ac:dyDescent="0.25">
      <c r="B80" s="13" t="s">
        <v>23</v>
      </c>
      <c r="C80" s="13" t="s">
        <v>28</v>
      </c>
      <c r="D80" s="17" t="e">
        <f>_xlfn.XLOOKUP(tbCoins8[[#This Row],[Ticker1]],#REF!,#REF!)/_xlfn.XLOOKUP(tbCoins8[[#This Row],[Ticker2]],#REF!,#REF!)</f>
        <v>#REF!</v>
      </c>
    </row>
    <row r="81" spans="2:4" ht="30" customHeight="1" x14ac:dyDescent="0.25">
      <c r="B81" s="13" t="s">
        <v>24</v>
      </c>
      <c r="C81" s="13" t="s">
        <v>19</v>
      </c>
      <c r="D81" s="17" t="e">
        <f>_xlfn.XLOOKUP(tbCoins8[[#This Row],[Ticker1]],#REF!,#REF!)/_xlfn.XLOOKUP(tbCoins8[[#This Row],[Ticker2]],#REF!,#REF!)</f>
        <v>#REF!</v>
      </c>
    </row>
    <row r="82" spans="2:4" ht="30" customHeight="1" x14ac:dyDescent="0.25">
      <c r="B82" s="13" t="s">
        <v>24</v>
      </c>
      <c r="C82" s="13" t="s">
        <v>8</v>
      </c>
      <c r="D82" s="17" t="e">
        <f>_xlfn.XLOOKUP(tbCoins8[[#This Row],[Ticker1]],#REF!,#REF!)/_xlfn.XLOOKUP(tbCoins8[[#This Row],[Ticker2]],#REF!,#REF!)</f>
        <v>#REF!</v>
      </c>
    </row>
    <row r="83" spans="2:4" ht="30" customHeight="1" x14ac:dyDescent="0.25">
      <c r="B83" s="13" t="s">
        <v>24</v>
      </c>
      <c r="C83" s="13" t="s">
        <v>20</v>
      </c>
      <c r="D83" s="17" t="e">
        <f>_xlfn.XLOOKUP(tbCoins8[[#This Row],[Ticker1]],#REF!,#REF!)/_xlfn.XLOOKUP(tbCoins8[[#This Row],[Ticker2]],#REF!,#REF!)</f>
        <v>#REF!</v>
      </c>
    </row>
    <row r="84" spans="2:4" ht="30" customHeight="1" x14ac:dyDescent="0.25">
      <c r="B84" s="13" t="s">
        <v>24</v>
      </c>
      <c r="C84" s="13" t="s">
        <v>21</v>
      </c>
      <c r="D84" s="17" t="e">
        <f>_xlfn.XLOOKUP(tbCoins8[[#This Row],[Ticker1]],#REF!,#REF!)/_xlfn.XLOOKUP(tbCoins8[[#This Row],[Ticker2]],#REF!,#REF!)</f>
        <v>#REF!</v>
      </c>
    </row>
    <row r="85" spans="2:4" ht="30" customHeight="1" x14ac:dyDescent="0.25">
      <c r="B85" s="13" t="s">
        <v>24</v>
      </c>
      <c r="C85" s="13" t="s">
        <v>22</v>
      </c>
      <c r="D85" s="17" t="e">
        <f>_xlfn.XLOOKUP(tbCoins8[[#This Row],[Ticker1]],#REF!,#REF!)/_xlfn.XLOOKUP(tbCoins8[[#This Row],[Ticker2]],#REF!,#REF!)</f>
        <v>#REF!</v>
      </c>
    </row>
    <row r="86" spans="2:4" ht="30" customHeight="1" x14ac:dyDescent="0.25">
      <c r="B86" s="13" t="s">
        <v>24</v>
      </c>
      <c r="C86" s="13" t="s">
        <v>23</v>
      </c>
      <c r="D86" s="17" t="e">
        <f>_xlfn.XLOOKUP(tbCoins8[[#This Row],[Ticker1]],#REF!,#REF!)/_xlfn.XLOOKUP(tbCoins8[[#This Row],[Ticker2]],#REF!,#REF!)</f>
        <v>#REF!</v>
      </c>
    </row>
    <row r="87" spans="2:4" ht="30" customHeight="1" x14ac:dyDescent="0.25">
      <c r="B87" s="13" t="s">
        <v>24</v>
      </c>
      <c r="C87" s="13" t="s">
        <v>24</v>
      </c>
      <c r="D87" s="17" t="e">
        <f>_xlfn.XLOOKUP(tbCoins8[[#This Row],[Ticker1]],#REF!,#REF!)/_xlfn.XLOOKUP(tbCoins8[[#This Row],[Ticker2]],#REF!,#REF!)</f>
        <v>#REF!</v>
      </c>
    </row>
    <row r="88" spans="2:4" ht="30" customHeight="1" x14ac:dyDescent="0.25">
      <c r="B88" s="13" t="s">
        <v>24</v>
      </c>
      <c r="C88" s="13" t="s">
        <v>25</v>
      </c>
      <c r="D88" s="17" t="e">
        <f>_xlfn.XLOOKUP(tbCoins8[[#This Row],[Ticker1]],#REF!,#REF!)/_xlfn.XLOOKUP(tbCoins8[[#This Row],[Ticker2]],#REF!,#REF!)</f>
        <v>#REF!</v>
      </c>
    </row>
    <row r="89" spans="2:4" ht="30" customHeight="1" x14ac:dyDescent="0.25">
      <c r="B89" s="13" t="s">
        <v>24</v>
      </c>
      <c r="C89" s="13" t="s">
        <v>26</v>
      </c>
      <c r="D89" s="17" t="e">
        <f>_xlfn.XLOOKUP(tbCoins8[[#This Row],[Ticker1]],#REF!,#REF!)/_xlfn.XLOOKUP(tbCoins8[[#This Row],[Ticker2]],#REF!,#REF!)</f>
        <v>#REF!</v>
      </c>
    </row>
    <row r="90" spans="2:4" ht="30" customHeight="1" x14ac:dyDescent="0.25">
      <c r="B90" s="13" t="s">
        <v>24</v>
      </c>
      <c r="C90" s="13" t="s">
        <v>27</v>
      </c>
      <c r="D90" s="17" t="e">
        <f>_xlfn.XLOOKUP(tbCoins8[[#This Row],[Ticker1]],#REF!,#REF!)/_xlfn.XLOOKUP(tbCoins8[[#This Row],[Ticker2]],#REF!,#REF!)</f>
        <v>#REF!</v>
      </c>
    </row>
    <row r="91" spans="2:4" ht="30" customHeight="1" x14ac:dyDescent="0.25">
      <c r="B91" s="13" t="s">
        <v>24</v>
      </c>
      <c r="C91" s="13" t="s">
        <v>29</v>
      </c>
      <c r="D91" s="17" t="e">
        <f>_xlfn.XLOOKUP(tbCoins8[[#This Row],[Ticker1]],#REF!,#REF!)/_xlfn.XLOOKUP(tbCoins8[[#This Row],[Ticker2]],#REF!,#REF!)</f>
        <v>#REF!</v>
      </c>
    </row>
    <row r="92" spans="2:4" ht="30" customHeight="1" x14ac:dyDescent="0.25">
      <c r="B92" s="13" t="s">
        <v>24</v>
      </c>
      <c r="C92" s="13" t="s">
        <v>30</v>
      </c>
      <c r="D92" s="17" t="e">
        <f>_xlfn.XLOOKUP(tbCoins8[[#This Row],[Ticker1]],#REF!,#REF!)/_xlfn.XLOOKUP(tbCoins8[[#This Row],[Ticker2]],#REF!,#REF!)</f>
        <v>#REF!</v>
      </c>
    </row>
    <row r="93" spans="2:4" ht="30" customHeight="1" x14ac:dyDescent="0.25">
      <c r="B93" s="13" t="s">
        <v>24</v>
      </c>
      <c r="C93" s="13" t="s">
        <v>28</v>
      </c>
      <c r="D93" s="17" t="e">
        <f>_xlfn.XLOOKUP(tbCoins8[[#This Row],[Ticker1]],#REF!,#REF!)/_xlfn.XLOOKUP(tbCoins8[[#This Row],[Ticker2]],#REF!,#REF!)</f>
        <v>#REF!</v>
      </c>
    </row>
    <row r="94" spans="2:4" ht="30" customHeight="1" x14ac:dyDescent="0.25">
      <c r="B94" s="13" t="s">
        <v>25</v>
      </c>
      <c r="C94" s="13" t="s">
        <v>19</v>
      </c>
      <c r="D94" s="17" t="e">
        <f>_xlfn.XLOOKUP(tbCoins8[[#This Row],[Ticker1]],#REF!,#REF!)/_xlfn.XLOOKUP(tbCoins8[[#This Row],[Ticker2]],#REF!,#REF!)</f>
        <v>#REF!</v>
      </c>
    </row>
    <row r="95" spans="2:4" ht="30" customHeight="1" x14ac:dyDescent="0.25">
      <c r="B95" s="13" t="s">
        <v>25</v>
      </c>
      <c r="C95" s="13" t="s">
        <v>8</v>
      </c>
      <c r="D95" s="17" t="e">
        <f>_xlfn.XLOOKUP(tbCoins8[[#This Row],[Ticker1]],#REF!,#REF!)/_xlfn.XLOOKUP(tbCoins8[[#This Row],[Ticker2]],#REF!,#REF!)</f>
        <v>#REF!</v>
      </c>
    </row>
    <row r="96" spans="2:4" ht="30" customHeight="1" x14ac:dyDescent="0.25">
      <c r="B96" s="13" t="s">
        <v>25</v>
      </c>
      <c r="C96" s="13" t="s">
        <v>20</v>
      </c>
      <c r="D96" s="17" t="e">
        <f>_xlfn.XLOOKUP(tbCoins8[[#This Row],[Ticker1]],#REF!,#REF!)/_xlfn.XLOOKUP(tbCoins8[[#This Row],[Ticker2]],#REF!,#REF!)</f>
        <v>#REF!</v>
      </c>
    </row>
    <row r="97" spans="2:4" ht="30" customHeight="1" x14ac:dyDescent="0.25">
      <c r="B97" s="13" t="s">
        <v>25</v>
      </c>
      <c r="C97" s="13" t="s">
        <v>21</v>
      </c>
      <c r="D97" s="17" t="e">
        <f>_xlfn.XLOOKUP(tbCoins8[[#This Row],[Ticker1]],#REF!,#REF!)/_xlfn.XLOOKUP(tbCoins8[[#This Row],[Ticker2]],#REF!,#REF!)</f>
        <v>#REF!</v>
      </c>
    </row>
    <row r="98" spans="2:4" ht="30" customHeight="1" x14ac:dyDescent="0.25">
      <c r="B98" s="13" t="s">
        <v>25</v>
      </c>
      <c r="C98" s="13" t="s">
        <v>22</v>
      </c>
      <c r="D98" s="17" t="e">
        <f>_xlfn.XLOOKUP(tbCoins8[[#This Row],[Ticker1]],#REF!,#REF!)/_xlfn.XLOOKUP(tbCoins8[[#This Row],[Ticker2]],#REF!,#REF!)</f>
        <v>#REF!</v>
      </c>
    </row>
    <row r="99" spans="2:4" ht="30" customHeight="1" x14ac:dyDescent="0.25">
      <c r="B99" s="13" t="s">
        <v>25</v>
      </c>
      <c r="C99" s="13" t="s">
        <v>23</v>
      </c>
      <c r="D99" s="17" t="e">
        <f>_xlfn.XLOOKUP(tbCoins8[[#This Row],[Ticker1]],#REF!,#REF!)/_xlfn.XLOOKUP(tbCoins8[[#This Row],[Ticker2]],#REF!,#REF!)</f>
        <v>#REF!</v>
      </c>
    </row>
    <row r="100" spans="2:4" ht="30" customHeight="1" x14ac:dyDescent="0.25">
      <c r="B100" s="13" t="s">
        <v>25</v>
      </c>
      <c r="C100" s="13" t="s">
        <v>24</v>
      </c>
      <c r="D100" s="17" t="e">
        <f>_xlfn.XLOOKUP(tbCoins8[[#This Row],[Ticker1]],#REF!,#REF!)/_xlfn.XLOOKUP(tbCoins8[[#This Row],[Ticker2]],#REF!,#REF!)</f>
        <v>#REF!</v>
      </c>
    </row>
    <row r="101" spans="2:4" ht="30" customHeight="1" x14ac:dyDescent="0.25">
      <c r="B101" s="13" t="s">
        <v>25</v>
      </c>
      <c r="C101" s="13" t="s">
        <v>25</v>
      </c>
      <c r="D101" s="17" t="e">
        <f>_xlfn.XLOOKUP(tbCoins8[[#This Row],[Ticker1]],#REF!,#REF!)/_xlfn.XLOOKUP(tbCoins8[[#This Row],[Ticker2]],#REF!,#REF!)</f>
        <v>#REF!</v>
      </c>
    </row>
    <row r="102" spans="2:4" ht="30" customHeight="1" x14ac:dyDescent="0.25">
      <c r="B102" s="13" t="s">
        <v>25</v>
      </c>
      <c r="C102" s="13" t="s">
        <v>26</v>
      </c>
      <c r="D102" s="17" t="e">
        <f>_xlfn.XLOOKUP(tbCoins8[[#This Row],[Ticker1]],#REF!,#REF!)/_xlfn.XLOOKUP(tbCoins8[[#This Row],[Ticker2]],#REF!,#REF!)</f>
        <v>#REF!</v>
      </c>
    </row>
    <row r="103" spans="2:4" ht="30" customHeight="1" x14ac:dyDescent="0.25">
      <c r="B103" s="13" t="s">
        <v>25</v>
      </c>
      <c r="C103" s="13" t="s">
        <v>27</v>
      </c>
      <c r="D103" s="17" t="e">
        <f>_xlfn.XLOOKUP(tbCoins8[[#This Row],[Ticker1]],#REF!,#REF!)/_xlfn.XLOOKUP(tbCoins8[[#This Row],[Ticker2]],#REF!,#REF!)</f>
        <v>#REF!</v>
      </c>
    </row>
    <row r="104" spans="2:4" ht="30" customHeight="1" x14ac:dyDescent="0.25">
      <c r="B104" s="13" t="s">
        <v>25</v>
      </c>
      <c r="C104" s="13" t="s">
        <v>29</v>
      </c>
      <c r="D104" s="17" t="e">
        <f>_xlfn.XLOOKUP(tbCoins8[[#This Row],[Ticker1]],#REF!,#REF!)/_xlfn.XLOOKUP(tbCoins8[[#This Row],[Ticker2]],#REF!,#REF!)</f>
        <v>#REF!</v>
      </c>
    </row>
    <row r="105" spans="2:4" ht="30" customHeight="1" x14ac:dyDescent="0.25">
      <c r="B105" s="13" t="s">
        <v>25</v>
      </c>
      <c r="C105" s="13" t="s">
        <v>30</v>
      </c>
      <c r="D105" s="17" t="e">
        <f>_xlfn.XLOOKUP(tbCoins8[[#This Row],[Ticker1]],#REF!,#REF!)/_xlfn.XLOOKUP(tbCoins8[[#This Row],[Ticker2]],#REF!,#REF!)</f>
        <v>#REF!</v>
      </c>
    </row>
    <row r="106" spans="2:4" ht="30" customHeight="1" x14ac:dyDescent="0.25">
      <c r="B106" s="13" t="s">
        <v>25</v>
      </c>
      <c r="C106" s="13" t="s">
        <v>28</v>
      </c>
      <c r="D106" s="17" t="e">
        <f>_xlfn.XLOOKUP(tbCoins8[[#This Row],[Ticker1]],#REF!,#REF!)/_xlfn.XLOOKUP(tbCoins8[[#This Row],[Ticker2]],#REF!,#REF!)</f>
        <v>#REF!</v>
      </c>
    </row>
    <row r="107" spans="2:4" ht="30" customHeight="1" x14ac:dyDescent="0.25">
      <c r="B107" s="13" t="s">
        <v>26</v>
      </c>
      <c r="C107" s="13" t="s">
        <v>19</v>
      </c>
      <c r="D107" s="17" t="e">
        <f>_xlfn.XLOOKUP(tbCoins8[[#This Row],[Ticker1]],#REF!,#REF!)/_xlfn.XLOOKUP(tbCoins8[[#This Row],[Ticker2]],#REF!,#REF!)</f>
        <v>#REF!</v>
      </c>
    </row>
    <row r="108" spans="2:4" ht="30" customHeight="1" x14ac:dyDescent="0.25">
      <c r="B108" s="13" t="s">
        <v>26</v>
      </c>
      <c r="C108" s="13" t="s">
        <v>8</v>
      </c>
      <c r="D108" s="17" t="e">
        <f>_xlfn.XLOOKUP(tbCoins8[[#This Row],[Ticker1]],#REF!,#REF!)/_xlfn.XLOOKUP(tbCoins8[[#This Row],[Ticker2]],#REF!,#REF!)</f>
        <v>#REF!</v>
      </c>
    </row>
    <row r="109" spans="2:4" ht="30" customHeight="1" x14ac:dyDescent="0.25">
      <c r="B109" s="13" t="s">
        <v>26</v>
      </c>
      <c r="C109" s="13" t="s">
        <v>20</v>
      </c>
      <c r="D109" s="17" t="e">
        <f>_xlfn.XLOOKUP(tbCoins8[[#This Row],[Ticker1]],#REF!,#REF!)/_xlfn.XLOOKUP(tbCoins8[[#This Row],[Ticker2]],#REF!,#REF!)</f>
        <v>#REF!</v>
      </c>
    </row>
    <row r="110" spans="2:4" ht="30" customHeight="1" x14ac:dyDescent="0.25">
      <c r="B110" s="13" t="s">
        <v>26</v>
      </c>
      <c r="C110" s="13" t="s">
        <v>21</v>
      </c>
      <c r="D110" s="17" t="e">
        <f>_xlfn.XLOOKUP(tbCoins8[[#This Row],[Ticker1]],#REF!,#REF!)/_xlfn.XLOOKUP(tbCoins8[[#This Row],[Ticker2]],#REF!,#REF!)</f>
        <v>#REF!</v>
      </c>
    </row>
    <row r="111" spans="2:4" ht="30" customHeight="1" x14ac:dyDescent="0.25">
      <c r="B111" s="13" t="s">
        <v>26</v>
      </c>
      <c r="C111" s="13" t="s">
        <v>22</v>
      </c>
      <c r="D111" s="17" t="e">
        <f>_xlfn.XLOOKUP(tbCoins8[[#This Row],[Ticker1]],#REF!,#REF!)/_xlfn.XLOOKUP(tbCoins8[[#This Row],[Ticker2]],#REF!,#REF!)</f>
        <v>#REF!</v>
      </c>
    </row>
    <row r="112" spans="2:4" ht="30" customHeight="1" x14ac:dyDescent="0.25">
      <c r="B112" s="13" t="s">
        <v>26</v>
      </c>
      <c r="C112" s="13" t="s">
        <v>23</v>
      </c>
      <c r="D112" s="17" t="e">
        <f>_xlfn.XLOOKUP(tbCoins8[[#This Row],[Ticker1]],#REF!,#REF!)/_xlfn.XLOOKUP(tbCoins8[[#This Row],[Ticker2]],#REF!,#REF!)</f>
        <v>#REF!</v>
      </c>
    </row>
    <row r="113" spans="2:4" ht="30" customHeight="1" x14ac:dyDescent="0.25">
      <c r="B113" s="13" t="s">
        <v>26</v>
      </c>
      <c r="C113" s="13" t="s">
        <v>24</v>
      </c>
      <c r="D113" s="17" t="e">
        <f>_xlfn.XLOOKUP(tbCoins8[[#This Row],[Ticker1]],#REF!,#REF!)/_xlfn.XLOOKUP(tbCoins8[[#This Row],[Ticker2]],#REF!,#REF!)</f>
        <v>#REF!</v>
      </c>
    </row>
    <row r="114" spans="2:4" ht="30" customHeight="1" x14ac:dyDescent="0.25">
      <c r="B114" s="13" t="s">
        <v>26</v>
      </c>
      <c r="C114" s="13" t="s">
        <v>25</v>
      </c>
      <c r="D114" s="17" t="e">
        <f>_xlfn.XLOOKUP(tbCoins8[[#This Row],[Ticker1]],#REF!,#REF!)/_xlfn.XLOOKUP(tbCoins8[[#This Row],[Ticker2]],#REF!,#REF!)</f>
        <v>#REF!</v>
      </c>
    </row>
    <row r="115" spans="2:4" ht="30" customHeight="1" x14ac:dyDescent="0.25">
      <c r="B115" s="13" t="s">
        <v>26</v>
      </c>
      <c r="C115" s="13" t="s">
        <v>26</v>
      </c>
      <c r="D115" s="17" t="e">
        <f>_xlfn.XLOOKUP(tbCoins8[[#This Row],[Ticker1]],#REF!,#REF!)/_xlfn.XLOOKUP(tbCoins8[[#This Row],[Ticker2]],#REF!,#REF!)</f>
        <v>#REF!</v>
      </c>
    </row>
    <row r="116" spans="2:4" ht="30" customHeight="1" x14ac:dyDescent="0.25">
      <c r="B116" s="13" t="s">
        <v>26</v>
      </c>
      <c r="C116" s="13" t="s">
        <v>27</v>
      </c>
      <c r="D116" s="17" t="e">
        <f>_xlfn.XLOOKUP(tbCoins8[[#This Row],[Ticker1]],#REF!,#REF!)/_xlfn.XLOOKUP(tbCoins8[[#This Row],[Ticker2]],#REF!,#REF!)</f>
        <v>#REF!</v>
      </c>
    </row>
    <row r="117" spans="2:4" ht="30" customHeight="1" x14ac:dyDescent="0.25">
      <c r="B117" s="13" t="s">
        <v>26</v>
      </c>
      <c r="C117" s="13" t="s">
        <v>29</v>
      </c>
      <c r="D117" s="17" t="e">
        <f>_xlfn.XLOOKUP(tbCoins8[[#This Row],[Ticker1]],#REF!,#REF!)/_xlfn.XLOOKUP(tbCoins8[[#This Row],[Ticker2]],#REF!,#REF!)</f>
        <v>#REF!</v>
      </c>
    </row>
    <row r="118" spans="2:4" ht="30" customHeight="1" x14ac:dyDescent="0.25">
      <c r="B118" s="13" t="s">
        <v>26</v>
      </c>
      <c r="C118" s="13" t="s">
        <v>30</v>
      </c>
      <c r="D118" s="17" t="e">
        <f>_xlfn.XLOOKUP(tbCoins8[[#This Row],[Ticker1]],#REF!,#REF!)/_xlfn.XLOOKUP(tbCoins8[[#This Row],[Ticker2]],#REF!,#REF!)</f>
        <v>#REF!</v>
      </c>
    </row>
    <row r="119" spans="2:4" ht="30" customHeight="1" x14ac:dyDescent="0.25">
      <c r="B119" s="13" t="s">
        <v>26</v>
      </c>
      <c r="C119" s="13" t="s">
        <v>28</v>
      </c>
      <c r="D119" s="17" t="e">
        <f>_xlfn.XLOOKUP(tbCoins8[[#This Row],[Ticker1]],#REF!,#REF!)/_xlfn.XLOOKUP(tbCoins8[[#This Row],[Ticker2]],#REF!,#REF!)</f>
        <v>#REF!</v>
      </c>
    </row>
    <row r="120" spans="2:4" ht="30" customHeight="1" x14ac:dyDescent="0.25">
      <c r="B120" s="13" t="s">
        <v>27</v>
      </c>
      <c r="C120" s="13" t="s">
        <v>19</v>
      </c>
      <c r="D120" s="17" t="e">
        <f>_xlfn.XLOOKUP(tbCoins8[[#This Row],[Ticker1]],#REF!,#REF!)/_xlfn.XLOOKUP(tbCoins8[[#This Row],[Ticker2]],#REF!,#REF!)</f>
        <v>#REF!</v>
      </c>
    </row>
    <row r="121" spans="2:4" ht="30" customHeight="1" x14ac:dyDescent="0.25">
      <c r="B121" s="13" t="s">
        <v>27</v>
      </c>
      <c r="C121" s="13" t="s">
        <v>8</v>
      </c>
      <c r="D121" s="17" t="e">
        <f>_xlfn.XLOOKUP(tbCoins8[[#This Row],[Ticker1]],#REF!,#REF!)/_xlfn.XLOOKUP(tbCoins8[[#This Row],[Ticker2]],#REF!,#REF!)</f>
        <v>#REF!</v>
      </c>
    </row>
    <row r="122" spans="2:4" ht="30" customHeight="1" x14ac:dyDescent="0.25">
      <c r="B122" s="13" t="s">
        <v>27</v>
      </c>
      <c r="C122" s="13" t="s">
        <v>20</v>
      </c>
      <c r="D122" s="17" t="e">
        <f>_xlfn.XLOOKUP(tbCoins8[[#This Row],[Ticker1]],#REF!,#REF!)/_xlfn.XLOOKUP(tbCoins8[[#This Row],[Ticker2]],#REF!,#REF!)</f>
        <v>#REF!</v>
      </c>
    </row>
    <row r="123" spans="2:4" ht="30" customHeight="1" x14ac:dyDescent="0.25">
      <c r="B123" s="13" t="s">
        <v>27</v>
      </c>
      <c r="C123" s="13" t="s">
        <v>21</v>
      </c>
      <c r="D123" s="17" t="e">
        <f>_xlfn.XLOOKUP(tbCoins8[[#This Row],[Ticker1]],#REF!,#REF!)/_xlfn.XLOOKUP(tbCoins8[[#This Row],[Ticker2]],#REF!,#REF!)</f>
        <v>#REF!</v>
      </c>
    </row>
    <row r="124" spans="2:4" ht="30" customHeight="1" x14ac:dyDescent="0.25">
      <c r="B124" s="13" t="s">
        <v>27</v>
      </c>
      <c r="C124" s="13" t="s">
        <v>22</v>
      </c>
      <c r="D124" s="17" t="e">
        <f>_xlfn.XLOOKUP(tbCoins8[[#This Row],[Ticker1]],#REF!,#REF!)/_xlfn.XLOOKUP(tbCoins8[[#This Row],[Ticker2]],#REF!,#REF!)</f>
        <v>#REF!</v>
      </c>
    </row>
    <row r="125" spans="2:4" ht="30" customHeight="1" x14ac:dyDescent="0.25">
      <c r="B125" s="13" t="s">
        <v>27</v>
      </c>
      <c r="C125" s="13" t="s">
        <v>23</v>
      </c>
      <c r="D125" s="17" t="e">
        <f>_xlfn.XLOOKUP(tbCoins8[[#This Row],[Ticker1]],#REF!,#REF!)/_xlfn.XLOOKUP(tbCoins8[[#This Row],[Ticker2]],#REF!,#REF!)</f>
        <v>#REF!</v>
      </c>
    </row>
    <row r="126" spans="2:4" ht="30" customHeight="1" x14ac:dyDescent="0.25">
      <c r="B126" s="13" t="s">
        <v>27</v>
      </c>
      <c r="C126" s="13" t="s">
        <v>24</v>
      </c>
      <c r="D126" s="17" t="e">
        <f>_xlfn.XLOOKUP(tbCoins8[[#This Row],[Ticker1]],#REF!,#REF!)/_xlfn.XLOOKUP(tbCoins8[[#This Row],[Ticker2]],#REF!,#REF!)</f>
        <v>#REF!</v>
      </c>
    </row>
    <row r="127" spans="2:4" ht="30" customHeight="1" x14ac:dyDescent="0.25">
      <c r="B127" s="13" t="s">
        <v>27</v>
      </c>
      <c r="C127" s="13" t="s">
        <v>25</v>
      </c>
      <c r="D127" s="17" t="e">
        <f>_xlfn.XLOOKUP(tbCoins8[[#This Row],[Ticker1]],#REF!,#REF!)/_xlfn.XLOOKUP(tbCoins8[[#This Row],[Ticker2]],#REF!,#REF!)</f>
        <v>#REF!</v>
      </c>
    </row>
    <row r="128" spans="2:4" ht="30" customHeight="1" x14ac:dyDescent="0.25">
      <c r="B128" s="13" t="s">
        <v>27</v>
      </c>
      <c r="C128" s="13" t="s">
        <v>26</v>
      </c>
      <c r="D128" s="17" t="e">
        <f>_xlfn.XLOOKUP(tbCoins8[[#This Row],[Ticker1]],#REF!,#REF!)/_xlfn.XLOOKUP(tbCoins8[[#This Row],[Ticker2]],#REF!,#REF!)</f>
        <v>#REF!</v>
      </c>
    </row>
    <row r="129" spans="2:4" ht="30" customHeight="1" x14ac:dyDescent="0.25">
      <c r="B129" s="13" t="s">
        <v>27</v>
      </c>
      <c r="C129" s="13" t="s">
        <v>27</v>
      </c>
      <c r="D129" s="17" t="e">
        <f>_xlfn.XLOOKUP(tbCoins8[[#This Row],[Ticker1]],#REF!,#REF!)/_xlfn.XLOOKUP(tbCoins8[[#This Row],[Ticker2]],#REF!,#REF!)</f>
        <v>#REF!</v>
      </c>
    </row>
    <row r="130" spans="2:4" ht="30" customHeight="1" x14ac:dyDescent="0.25">
      <c r="B130" s="13" t="s">
        <v>27</v>
      </c>
      <c r="C130" s="13" t="s">
        <v>29</v>
      </c>
      <c r="D130" s="17" t="e">
        <f>_xlfn.XLOOKUP(tbCoins8[[#This Row],[Ticker1]],#REF!,#REF!)/_xlfn.XLOOKUP(tbCoins8[[#This Row],[Ticker2]],#REF!,#REF!)</f>
        <v>#REF!</v>
      </c>
    </row>
    <row r="131" spans="2:4" ht="30" customHeight="1" x14ac:dyDescent="0.25">
      <c r="B131" s="13" t="s">
        <v>27</v>
      </c>
      <c r="C131" s="13" t="s">
        <v>30</v>
      </c>
      <c r="D131" s="17" t="e">
        <f>_xlfn.XLOOKUP(tbCoins8[[#This Row],[Ticker1]],#REF!,#REF!)/_xlfn.XLOOKUP(tbCoins8[[#This Row],[Ticker2]],#REF!,#REF!)</f>
        <v>#REF!</v>
      </c>
    </row>
    <row r="132" spans="2:4" ht="30" customHeight="1" x14ac:dyDescent="0.25">
      <c r="B132" s="13" t="s">
        <v>27</v>
      </c>
      <c r="C132" s="13" t="s">
        <v>28</v>
      </c>
      <c r="D132" s="17" t="e">
        <f>_xlfn.XLOOKUP(tbCoins8[[#This Row],[Ticker1]],#REF!,#REF!)/_xlfn.XLOOKUP(tbCoins8[[#This Row],[Ticker2]],#REF!,#REF!)</f>
        <v>#REF!</v>
      </c>
    </row>
    <row r="133" spans="2:4" ht="30" customHeight="1" x14ac:dyDescent="0.25">
      <c r="B133" s="13" t="s">
        <v>29</v>
      </c>
      <c r="C133" s="13" t="s">
        <v>19</v>
      </c>
      <c r="D133" s="17" t="e">
        <f>_xlfn.XLOOKUP(tbCoins8[[#This Row],[Ticker1]],#REF!,#REF!)/_xlfn.XLOOKUP(tbCoins8[[#This Row],[Ticker2]],#REF!,#REF!)</f>
        <v>#REF!</v>
      </c>
    </row>
    <row r="134" spans="2:4" ht="30" customHeight="1" x14ac:dyDescent="0.25">
      <c r="B134" s="13" t="s">
        <v>29</v>
      </c>
      <c r="C134" s="13" t="s">
        <v>8</v>
      </c>
      <c r="D134" s="17" t="e">
        <f>_xlfn.XLOOKUP(tbCoins8[[#This Row],[Ticker1]],#REF!,#REF!)/_xlfn.XLOOKUP(tbCoins8[[#This Row],[Ticker2]],#REF!,#REF!)</f>
        <v>#REF!</v>
      </c>
    </row>
    <row r="135" spans="2:4" ht="30" customHeight="1" x14ac:dyDescent="0.25">
      <c r="B135" s="13" t="s">
        <v>29</v>
      </c>
      <c r="C135" s="13" t="s">
        <v>20</v>
      </c>
      <c r="D135" s="17" t="e">
        <f>_xlfn.XLOOKUP(tbCoins8[[#This Row],[Ticker1]],#REF!,#REF!)/_xlfn.XLOOKUP(tbCoins8[[#This Row],[Ticker2]],#REF!,#REF!)</f>
        <v>#REF!</v>
      </c>
    </row>
    <row r="136" spans="2:4" ht="30" customHeight="1" x14ac:dyDescent="0.25">
      <c r="B136" s="13" t="s">
        <v>29</v>
      </c>
      <c r="C136" s="13" t="s">
        <v>21</v>
      </c>
      <c r="D136" s="17" t="e">
        <f>_xlfn.XLOOKUP(tbCoins8[[#This Row],[Ticker1]],#REF!,#REF!)/_xlfn.XLOOKUP(tbCoins8[[#This Row],[Ticker2]],#REF!,#REF!)</f>
        <v>#REF!</v>
      </c>
    </row>
    <row r="137" spans="2:4" ht="30" customHeight="1" x14ac:dyDescent="0.25">
      <c r="B137" s="13" t="s">
        <v>29</v>
      </c>
      <c r="C137" s="13" t="s">
        <v>22</v>
      </c>
      <c r="D137" s="17" t="e">
        <f>_xlfn.XLOOKUP(tbCoins8[[#This Row],[Ticker1]],#REF!,#REF!)/_xlfn.XLOOKUP(tbCoins8[[#This Row],[Ticker2]],#REF!,#REF!)</f>
        <v>#REF!</v>
      </c>
    </row>
    <row r="138" spans="2:4" ht="30" customHeight="1" x14ac:dyDescent="0.25">
      <c r="B138" s="13" t="s">
        <v>29</v>
      </c>
      <c r="C138" s="13" t="s">
        <v>23</v>
      </c>
      <c r="D138" s="17" t="e">
        <f>_xlfn.XLOOKUP(tbCoins8[[#This Row],[Ticker1]],#REF!,#REF!)/_xlfn.XLOOKUP(tbCoins8[[#This Row],[Ticker2]],#REF!,#REF!)</f>
        <v>#REF!</v>
      </c>
    </row>
    <row r="139" spans="2:4" ht="30" customHeight="1" x14ac:dyDescent="0.25">
      <c r="B139" s="13" t="s">
        <v>29</v>
      </c>
      <c r="C139" s="13" t="s">
        <v>24</v>
      </c>
      <c r="D139" s="17" t="e">
        <f>_xlfn.XLOOKUP(tbCoins8[[#This Row],[Ticker1]],#REF!,#REF!)/_xlfn.XLOOKUP(tbCoins8[[#This Row],[Ticker2]],#REF!,#REF!)</f>
        <v>#REF!</v>
      </c>
    </row>
    <row r="140" spans="2:4" ht="30" customHeight="1" x14ac:dyDescent="0.25">
      <c r="B140" s="13" t="s">
        <v>29</v>
      </c>
      <c r="C140" s="13" t="s">
        <v>25</v>
      </c>
      <c r="D140" s="17" t="e">
        <f>_xlfn.XLOOKUP(tbCoins8[[#This Row],[Ticker1]],#REF!,#REF!)/_xlfn.XLOOKUP(tbCoins8[[#This Row],[Ticker2]],#REF!,#REF!)</f>
        <v>#REF!</v>
      </c>
    </row>
    <row r="141" spans="2:4" ht="30" customHeight="1" x14ac:dyDescent="0.25">
      <c r="B141" s="13" t="s">
        <v>29</v>
      </c>
      <c r="C141" s="13" t="s">
        <v>26</v>
      </c>
      <c r="D141" s="17" t="e">
        <f>_xlfn.XLOOKUP(tbCoins8[[#This Row],[Ticker1]],#REF!,#REF!)/_xlfn.XLOOKUP(tbCoins8[[#This Row],[Ticker2]],#REF!,#REF!)</f>
        <v>#REF!</v>
      </c>
    </row>
    <row r="142" spans="2:4" ht="30" customHeight="1" x14ac:dyDescent="0.25">
      <c r="B142" s="13" t="s">
        <v>29</v>
      </c>
      <c r="C142" s="13" t="s">
        <v>27</v>
      </c>
      <c r="D142" s="17" t="e">
        <f>_xlfn.XLOOKUP(tbCoins8[[#This Row],[Ticker1]],#REF!,#REF!)/_xlfn.XLOOKUP(tbCoins8[[#This Row],[Ticker2]],#REF!,#REF!)</f>
        <v>#REF!</v>
      </c>
    </row>
    <row r="143" spans="2:4" ht="30" customHeight="1" x14ac:dyDescent="0.25">
      <c r="B143" s="13" t="s">
        <v>29</v>
      </c>
      <c r="C143" s="13" t="s">
        <v>29</v>
      </c>
      <c r="D143" s="17" t="e">
        <f>_xlfn.XLOOKUP(tbCoins8[[#This Row],[Ticker1]],#REF!,#REF!)/_xlfn.XLOOKUP(tbCoins8[[#This Row],[Ticker2]],#REF!,#REF!)</f>
        <v>#REF!</v>
      </c>
    </row>
    <row r="144" spans="2:4" ht="30" customHeight="1" x14ac:dyDescent="0.25">
      <c r="B144" s="13" t="s">
        <v>29</v>
      </c>
      <c r="C144" s="13" t="s">
        <v>30</v>
      </c>
      <c r="D144" s="17" t="e">
        <f>_xlfn.XLOOKUP(tbCoins8[[#This Row],[Ticker1]],#REF!,#REF!)/_xlfn.XLOOKUP(tbCoins8[[#This Row],[Ticker2]],#REF!,#REF!)</f>
        <v>#REF!</v>
      </c>
    </row>
    <row r="145" spans="2:4" ht="30" customHeight="1" x14ac:dyDescent="0.25">
      <c r="B145" s="13" t="s">
        <v>29</v>
      </c>
      <c r="C145" s="13" t="s">
        <v>28</v>
      </c>
      <c r="D145" s="17" t="e">
        <f>_xlfn.XLOOKUP(tbCoins8[[#This Row],[Ticker1]],#REF!,#REF!)/_xlfn.XLOOKUP(tbCoins8[[#This Row],[Ticker2]],#REF!,#REF!)</f>
        <v>#REF!</v>
      </c>
    </row>
    <row r="146" spans="2:4" ht="30" customHeight="1" x14ac:dyDescent="0.25">
      <c r="B146" s="13" t="s">
        <v>30</v>
      </c>
      <c r="C146" s="13" t="s">
        <v>19</v>
      </c>
      <c r="D146" s="17" t="e">
        <f>_xlfn.XLOOKUP(tbCoins8[[#This Row],[Ticker1]],#REF!,#REF!)/_xlfn.XLOOKUP(tbCoins8[[#This Row],[Ticker2]],#REF!,#REF!)</f>
        <v>#REF!</v>
      </c>
    </row>
    <row r="147" spans="2:4" ht="30" customHeight="1" x14ac:dyDescent="0.25">
      <c r="B147" s="13" t="s">
        <v>30</v>
      </c>
      <c r="C147" s="13" t="s">
        <v>8</v>
      </c>
      <c r="D147" s="17" t="e">
        <f>_xlfn.XLOOKUP(tbCoins8[[#This Row],[Ticker1]],#REF!,#REF!)/_xlfn.XLOOKUP(tbCoins8[[#This Row],[Ticker2]],#REF!,#REF!)</f>
        <v>#REF!</v>
      </c>
    </row>
    <row r="148" spans="2:4" ht="30" customHeight="1" x14ac:dyDescent="0.25">
      <c r="B148" s="13" t="s">
        <v>30</v>
      </c>
      <c r="C148" s="13" t="s">
        <v>20</v>
      </c>
      <c r="D148" s="17" t="e">
        <f>_xlfn.XLOOKUP(tbCoins8[[#This Row],[Ticker1]],#REF!,#REF!)/_xlfn.XLOOKUP(tbCoins8[[#This Row],[Ticker2]],#REF!,#REF!)</f>
        <v>#REF!</v>
      </c>
    </row>
    <row r="149" spans="2:4" ht="30" customHeight="1" x14ac:dyDescent="0.25">
      <c r="B149" s="13" t="s">
        <v>30</v>
      </c>
      <c r="C149" s="13" t="s">
        <v>21</v>
      </c>
      <c r="D149" s="17" t="e">
        <f>_xlfn.XLOOKUP(tbCoins8[[#This Row],[Ticker1]],#REF!,#REF!)/_xlfn.XLOOKUP(tbCoins8[[#This Row],[Ticker2]],#REF!,#REF!)</f>
        <v>#REF!</v>
      </c>
    </row>
    <row r="150" spans="2:4" ht="30" customHeight="1" x14ac:dyDescent="0.25">
      <c r="B150" s="13" t="s">
        <v>30</v>
      </c>
      <c r="C150" s="13" t="s">
        <v>22</v>
      </c>
      <c r="D150" s="17" t="e">
        <f>_xlfn.XLOOKUP(tbCoins8[[#This Row],[Ticker1]],#REF!,#REF!)/_xlfn.XLOOKUP(tbCoins8[[#This Row],[Ticker2]],#REF!,#REF!)</f>
        <v>#REF!</v>
      </c>
    </row>
    <row r="151" spans="2:4" ht="30" customHeight="1" x14ac:dyDescent="0.25">
      <c r="B151" s="13" t="s">
        <v>30</v>
      </c>
      <c r="C151" s="13" t="s">
        <v>23</v>
      </c>
      <c r="D151" s="17" t="e">
        <f>_xlfn.XLOOKUP(tbCoins8[[#This Row],[Ticker1]],#REF!,#REF!)/_xlfn.XLOOKUP(tbCoins8[[#This Row],[Ticker2]],#REF!,#REF!)</f>
        <v>#REF!</v>
      </c>
    </row>
    <row r="152" spans="2:4" ht="30" customHeight="1" x14ac:dyDescent="0.25">
      <c r="B152" s="13" t="s">
        <v>30</v>
      </c>
      <c r="C152" s="13" t="s">
        <v>24</v>
      </c>
      <c r="D152" s="17" t="e">
        <f>_xlfn.XLOOKUP(tbCoins8[[#This Row],[Ticker1]],#REF!,#REF!)/_xlfn.XLOOKUP(tbCoins8[[#This Row],[Ticker2]],#REF!,#REF!)</f>
        <v>#REF!</v>
      </c>
    </row>
    <row r="153" spans="2:4" ht="30" customHeight="1" x14ac:dyDescent="0.25">
      <c r="B153" s="13" t="s">
        <v>30</v>
      </c>
      <c r="C153" s="13" t="s">
        <v>25</v>
      </c>
      <c r="D153" s="17" t="e">
        <f>_xlfn.XLOOKUP(tbCoins8[[#This Row],[Ticker1]],#REF!,#REF!)/_xlfn.XLOOKUP(tbCoins8[[#This Row],[Ticker2]],#REF!,#REF!)</f>
        <v>#REF!</v>
      </c>
    </row>
    <row r="154" spans="2:4" ht="30" customHeight="1" x14ac:dyDescent="0.25">
      <c r="B154" s="13" t="s">
        <v>30</v>
      </c>
      <c r="C154" s="13" t="s">
        <v>26</v>
      </c>
      <c r="D154" s="17" t="e">
        <f>_xlfn.XLOOKUP(tbCoins8[[#This Row],[Ticker1]],#REF!,#REF!)/_xlfn.XLOOKUP(tbCoins8[[#This Row],[Ticker2]],#REF!,#REF!)</f>
        <v>#REF!</v>
      </c>
    </row>
    <row r="155" spans="2:4" ht="30" customHeight="1" x14ac:dyDescent="0.25">
      <c r="B155" s="13" t="s">
        <v>30</v>
      </c>
      <c r="C155" s="13" t="s">
        <v>27</v>
      </c>
      <c r="D155" s="17" t="e">
        <f>_xlfn.XLOOKUP(tbCoins8[[#This Row],[Ticker1]],#REF!,#REF!)/_xlfn.XLOOKUP(tbCoins8[[#This Row],[Ticker2]],#REF!,#REF!)</f>
        <v>#REF!</v>
      </c>
    </row>
    <row r="156" spans="2:4" ht="30" customHeight="1" x14ac:dyDescent="0.25">
      <c r="B156" s="13" t="s">
        <v>30</v>
      </c>
      <c r="C156" s="13" t="s">
        <v>29</v>
      </c>
      <c r="D156" s="17" t="e">
        <f>_xlfn.XLOOKUP(tbCoins8[[#This Row],[Ticker1]],#REF!,#REF!)/_xlfn.XLOOKUP(tbCoins8[[#This Row],[Ticker2]],#REF!,#REF!)</f>
        <v>#REF!</v>
      </c>
    </row>
    <row r="157" spans="2:4" ht="30" customHeight="1" x14ac:dyDescent="0.25">
      <c r="B157" s="13" t="s">
        <v>30</v>
      </c>
      <c r="C157" s="13" t="s">
        <v>30</v>
      </c>
      <c r="D157" s="17" t="e">
        <f>_xlfn.XLOOKUP(tbCoins8[[#This Row],[Ticker1]],#REF!,#REF!)/_xlfn.XLOOKUP(tbCoins8[[#This Row],[Ticker2]],#REF!,#REF!)</f>
        <v>#REF!</v>
      </c>
    </row>
    <row r="158" spans="2:4" ht="30" customHeight="1" x14ac:dyDescent="0.25">
      <c r="B158" s="13" t="s">
        <v>30</v>
      </c>
      <c r="C158" s="13" t="s">
        <v>28</v>
      </c>
      <c r="D158" s="17" t="e">
        <f>_xlfn.XLOOKUP(tbCoins8[[#This Row],[Ticker1]],#REF!,#REF!)/_xlfn.XLOOKUP(tbCoins8[[#This Row],[Ticker2]],#REF!,#REF!)</f>
        <v>#REF!</v>
      </c>
    </row>
    <row r="159" spans="2:4" ht="30" customHeight="1" x14ac:dyDescent="0.25">
      <c r="B159" s="13" t="s">
        <v>28</v>
      </c>
      <c r="C159" s="13" t="s">
        <v>19</v>
      </c>
      <c r="D159" s="17" t="e">
        <f>_xlfn.XLOOKUP(tbCoins8[[#This Row],[Ticker1]],#REF!,#REF!)/_xlfn.XLOOKUP(tbCoins8[[#This Row],[Ticker2]],#REF!,#REF!)</f>
        <v>#REF!</v>
      </c>
    </row>
    <row r="160" spans="2:4" ht="30" customHeight="1" x14ac:dyDescent="0.25">
      <c r="B160" s="13" t="s">
        <v>28</v>
      </c>
      <c r="C160" s="13" t="s">
        <v>19</v>
      </c>
      <c r="D160" s="17" t="e">
        <f>_xlfn.XLOOKUP(tbCoins8[[#This Row],[Ticker1]],#REF!,#REF!)/_xlfn.XLOOKUP(tbCoins8[[#This Row],[Ticker2]],#REF!,#REF!)</f>
        <v>#REF!</v>
      </c>
    </row>
    <row r="161" spans="2:4" ht="30" customHeight="1" x14ac:dyDescent="0.25">
      <c r="B161" s="13" t="s">
        <v>28</v>
      </c>
      <c r="C161" s="13" t="s">
        <v>8</v>
      </c>
      <c r="D161" s="17" t="e">
        <f>_xlfn.XLOOKUP(tbCoins8[[#This Row],[Ticker1]],#REF!,#REF!)/_xlfn.XLOOKUP(tbCoins8[[#This Row],[Ticker2]],#REF!,#REF!)</f>
        <v>#REF!</v>
      </c>
    </row>
    <row r="162" spans="2:4" ht="30" customHeight="1" x14ac:dyDescent="0.25">
      <c r="B162" s="13" t="s">
        <v>28</v>
      </c>
      <c r="C162" s="13" t="s">
        <v>8</v>
      </c>
      <c r="D162" s="17" t="e">
        <f>_xlfn.XLOOKUP(tbCoins8[[#This Row],[Ticker1]],#REF!,#REF!)/_xlfn.XLOOKUP(tbCoins8[[#This Row],[Ticker2]],#REF!,#REF!)</f>
        <v>#REF!</v>
      </c>
    </row>
    <row r="163" spans="2:4" ht="30" customHeight="1" x14ac:dyDescent="0.25">
      <c r="B163" s="13" t="s">
        <v>28</v>
      </c>
      <c r="C163" s="13" t="s">
        <v>20</v>
      </c>
      <c r="D163" s="17" t="e">
        <f>_xlfn.XLOOKUP(tbCoins8[[#This Row],[Ticker1]],#REF!,#REF!)/_xlfn.XLOOKUP(tbCoins8[[#This Row],[Ticker2]],#REF!,#REF!)</f>
        <v>#REF!</v>
      </c>
    </row>
    <row r="164" spans="2:4" ht="30" customHeight="1" x14ac:dyDescent="0.25">
      <c r="B164" s="13" t="s">
        <v>28</v>
      </c>
      <c r="C164" s="13" t="s">
        <v>20</v>
      </c>
      <c r="D164" s="17" t="e">
        <f>_xlfn.XLOOKUP(tbCoins8[[#This Row],[Ticker1]],#REF!,#REF!)/_xlfn.XLOOKUP(tbCoins8[[#This Row],[Ticker2]],#REF!,#REF!)</f>
        <v>#REF!</v>
      </c>
    </row>
    <row r="165" spans="2:4" ht="30" customHeight="1" x14ac:dyDescent="0.25">
      <c r="B165" s="13" t="s">
        <v>28</v>
      </c>
      <c r="C165" s="13" t="s">
        <v>21</v>
      </c>
      <c r="D165" s="17" t="e">
        <f>_xlfn.XLOOKUP(tbCoins8[[#This Row],[Ticker1]],#REF!,#REF!)/_xlfn.XLOOKUP(tbCoins8[[#This Row],[Ticker2]],#REF!,#REF!)</f>
        <v>#REF!</v>
      </c>
    </row>
    <row r="166" spans="2:4" ht="30" customHeight="1" x14ac:dyDescent="0.25">
      <c r="B166" s="13" t="s">
        <v>28</v>
      </c>
      <c r="C166" s="13" t="s">
        <v>21</v>
      </c>
      <c r="D166" s="17" t="e">
        <f>_xlfn.XLOOKUP(tbCoins8[[#This Row],[Ticker1]],#REF!,#REF!)/_xlfn.XLOOKUP(tbCoins8[[#This Row],[Ticker2]],#REF!,#REF!)</f>
        <v>#REF!</v>
      </c>
    </row>
    <row r="167" spans="2:4" ht="30" customHeight="1" x14ac:dyDescent="0.25">
      <c r="B167" s="13" t="s">
        <v>28</v>
      </c>
      <c r="C167" s="13" t="s">
        <v>22</v>
      </c>
      <c r="D167" s="17" t="e">
        <f>_xlfn.XLOOKUP(tbCoins8[[#This Row],[Ticker1]],#REF!,#REF!)/_xlfn.XLOOKUP(tbCoins8[[#This Row],[Ticker2]],#REF!,#REF!)</f>
        <v>#REF!</v>
      </c>
    </row>
    <row r="168" spans="2:4" ht="30" customHeight="1" x14ac:dyDescent="0.25">
      <c r="B168" s="13" t="s">
        <v>28</v>
      </c>
      <c r="C168" s="13" t="s">
        <v>22</v>
      </c>
      <c r="D168" s="17" t="e">
        <f>_xlfn.XLOOKUP(tbCoins8[[#This Row],[Ticker1]],#REF!,#REF!)/_xlfn.XLOOKUP(tbCoins8[[#This Row],[Ticker2]],#REF!,#REF!)</f>
        <v>#REF!</v>
      </c>
    </row>
    <row r="169" spans="2:4" ht="30" customHeight="1" x14ac:dyDescent="0.25">
      <c r="B169" s="13" t="s">
        <v>28</v>
      </c>
      <c r="C169" s="13" t="s">
        <v>23</v>
      </c>
      <c r="D169" s="17" t="e">
        <f>_xlfn.XLOOKUP(tbCoins8[[#This Row],[Ticker1]],#REF!,#REF!)/_xlfn.XLOOKUP(tbCoins8[[#This Row],[Ticker2]],#REF!,#REF!)</f>
        <v>#REF!</v>
      </c>
    </row>
    <row r="170" spans="2:4" ht="30" customHeight="1" x14ac:dyDescent="0.25">
      <c r="B170" s="13" t="s">
        <v>28</v>
      </c>
      <c r="C170" s="13" t="s">
        <v>23</v>
      </c>
      <c r="D170" s="17" t="e">
        <f>_xlfn.XLOOKUP(tbCoins8[[#This Row],[Ticker1]],#REF!,#REF!)/_xlfn.XLOOKUP(tbCoins8[[#This Row],[Ticker2]],#REF!,#REF!)</f>
        <v>#REF!</v>
      </c>
    </row>
    <row r="171" spans="2:4" ht="30" customHeight="1" x14ac:dyDescent="0.25">
      <c r="B171" s="13" t="s">
        <v>28</v>
      </c>
      <c r="C171" s="13" t="s">
        <v>24</v>
      </c>
      <c r="D171" s="17" t="e">
        <f>_xlfn.XLOOKUP(tbCoins8[[#This Row],[Ticker1]],#REF!,#REF!)/_xlfn.XLOOKUP(tbCoins8[[#This Row],[Ticker2]],#REF!,#REF!)</f>
        <v>#REF!</v>
      </c>
    </row>
    <row r="172" spans="2:4" ht="30" customHeight="1" x14ac:dyDescent="0.25">
      <c r="B172" s="13" t="s">
        <v>28</v>
      </c>
      <c r="C172" s="13" t="s">
        <v>24</v>
      </c>
      <c r="D172" s="17" t="e">
        <f>_xlfn.XLOOKUP(tbCoins8[[#This Row],[Ticker1]],#REF!,#REF!)/_xlfn.XLOOKUP(tbCoins8[[#This Row],[Ticker2]],#REF!,#REF!)</f>
        <v>#REF!</v>
      </c>
    </row>
    <row r="173" spans="2:4" ht="30" customHeight="1" x14ac:dyDescent="0.25">
      <c r="B173" s="13" t="s">
        <v>28</v>
      </c>
      <c r="C173" s="13" t="s">
        <v>25</v>
      </c>
      <c r="D173" s="17" t="e">
        <f>_xlfn.XLOOKUP(tbCoins8[[#This Row],[Ticker1]],#REF!,#REF!)/_xlfn.XLOOKUP(tbCoins8[[#This Row],[Ticker2]],#REF!,#REF!)</f>
        <v>#REF!</v>
      </c>
    </row>
    <row r="174" spans="2:4" ht="30" customHeight="1" x14ac:dyDescent="0.25">
      <c r="B174" s="13" t="s">
        <v>28</v>
      </c>
      <c r="C174" s="13" t="s">
        <v>25</v>
      </c>
      <c r="D174" s="17" t="e">
        <f>_xlfn.XLOOKUP(tbCoins8[[#This Row],[Ticker1]],#REF!,#REF!)/_xlfn.XLOOKUP(tbCoins8[[#This Row],[Ticker2]],#REF!,#REF!)</f>
        <v>#REF!</v>
      </c>
    </row>
    <row r="175" spans="2:4" ht="30" customHeight="1" x14ac:dyDescent="0.25">
      <c r="B175" s="13" t="s">
        <v>28</v>
      </c>
      <c r="C175" s="13" t="s">
        <v>26</v>
      </c>
      <c r="D175" s="17" t="e">
        <f>_xlfn.XLOOKUP(tbCoins8[[#This Row],[Ticker1]],#REF!,#REF!)/_xlfn.XLOOKUP(tbCoins8[[#This Row],[Ticker2]],#REF!,#REF!)</f>
        <v>#REF!</v>
      </c>
    </row>
    <row r="176" spans="2:4" ht="30" customHeight="1" x14ac:dyDescent="0.25">
      <c r="B176" s="13" t="s">
        <v>28</v>
      </c>
      <c r="C176" s="13" t="s">
        <v>26</v>
      </c>
      <c r="D176" s="17" t="e">
        <f>_xlfn.XLOOKUP(tbCoins8[[#This Row],[Ticker1]],#REF!,#REF!)/_xlfn.XLOOKUP(tbCoins8[[#This Row],[Ticker2]],#REF!,#REF!)</f>
        <v>#REF!</v>
      </c>
    </row>
    <row r="177" spans="2:4" ht="30" customHeight="1" x14ac:dyDescent="0.25">
      <c r="B177" s="13" t="s">
        <v>28</v>
      </c>
      <c r="C177" s="13" t="s">
        <v>27</v>
      </c>
      <c r="D177" s="17" t="e">
        <f>_xlfn.XLOOKUP(tbCoins8[[#This Row],[Ticker1]],#REF!,#REF!)/_xlfn.XLOOKUP(tbCoins8[[#This Row],[Ticker2]],#REF!,#REF!)</f>
        <v>#REF!</v>
      </c>
    </row>
    <row r="178" spans="2:4" ht="30" customHeight="1" x14ac:dyDescent="0.25">
      <c r="B178" s="13" t="s">
        <v>28</v>
      </c>
      <c r="C178" s="13" t="s">
        <v>27</v>
      </c>
      <c r="D178" s="17" t="e">
        <f>_xlfn.XLOOKUP(tbCoins8[[#This Row],[Ticker1]],#REF!,#REF!)/_xlfn.XLOOKUP(tbCoins8[[#This Row],[Ticker2]],#REF!,#REF!)</f>
        <v>#REF!</v>
      </c>
    </row>
    <row r="179" spans="2:4" ht="30" customHeight="1" x14ac:dyDescent="0.25">
      <c r="B179" s="13" t="s">
        <v>28</v>
      </c>
      <c r="C179" s="13" t="s">
        <v>29</v>
      </c>
      <c r="D179" s="17" t="e">
        <f>_xlfn.XLOOKUP(tbCoins8[[#This Row],[Ticker1]],#REF!,#REF!)/_xlfn.XLOOKUP(tbCoins8[[#This Row],[Ticker2]],#REF!,#REF!)</f>
        <v>#REF!</v>
      </c>
    </row>
    <row r="180" spans="2:4" ht="30" customHeight="1" x14ac:dyDescent="0.25">
      <c r="B180" s="13" t="s">
        <v>28</v>
      </c>
      <c r="C180" s="13" t="s">
        <v>29</v>
      </c>
      <c r="D180" s="17" t="e">
        <f>_xlfn.XLOOKUP(tbCoins8[[#This Row],[Ticker1]],#REF!,#REF!)/_xlfn.XLOOKUP(tbCoins8[[#This Row],[Ticker2]],#REF!,#REF!)</f>
        <v>#REF!</v>
      </c>
    </row>
    <row r="181" spans="2:4" ht="30" customHeight="1" x14ac:dyDescent="0.25">
      <c r="B181" s="13" t="s">
        <v>28</v>
      </c>
      <c r="C181" s="13" t="s">
        <v>30</v>
      </c>
      <c r="D181" s="17" t="e">
        <f>_xlfn.XLOOKUP(tbCoins8[[#This Row],[Ticker1]],#REF!,#REF!)/_xlfn.XLOOKUP(tbCoins8[[#This Row],[Ticker2]],#REF!,#REF!)</f>
        <v>#REF!</v>
      </c>
    </row>
    <row r="182" spans="2:4" ht="30" customHeight="1" x14ac:dyDescent="0.25">
      <c r="B182" s="13" t="s">
        <v>28</v>
      </c>
      <c r="C182" s="13" t="s">
        <v>30</v>
      </c>
      <c r="D182" s="17" t="e">
        <f>_xlfn.XLOOKUP(tbCoins8[[#This Row],[Ticker1]],#REF!,#REF!)/_xlfn.XLOOKUP(tbCoins8[[#This Row],[Ticker2]],#REF!,#REF!)</f>
        <v>#REF!</v>
      </c>
    </row>
    <row r="183" spans="2:4" ht="30" customHeight="1" x14ac:dyDescent="0.25">
      <c r="B183" s="13" t="s">
        <v>28</v>
      </c>
      <c r="C183" s="13" t="s">
        <v>28</v>
      </c>
      <c r="D183" s="17" t="e">
        <f>_xlfn.XLOOKUP(tbCoins8[[#This Row],[Ticker1]],#REF!,#REF!)/_xlfn.XLOOKUP(tbCoins8[[#This Row],[Ticker2]],#REF!,#REF!)</f>
        <v>#REF!</v>
      </c>
    </row>
    <row r="184" spans="2:4" ht="30" customHeight="1" x14ac:dyDescent="0.25">
      <c r="B184" s="13" t="s">
        <v>28</v>
      </c>
      <c r="C184" s="13" t="s">
        <v>28</v>
      </c>
      <c r="D184" s="17" t="e">
        <f>_xlfn.XLOOKUP(tbCoins8[[#This Row],[Ticker1]],#REF!,#REF!)/_xlfn.XLOOKUP(tbCoins8[[#This Row],[Ticker2]],#REF!,#REF!)</f>
        <v>#REF!</v>
      </c>
    </row>
  </sheetData>
  <phoneticPr fontId="14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F7AB6-2A6E-4390-A69A-AF6337D48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19</vt:i4>
      </vt:variant>
    </vt:vector>
  </HeadingPairs>
  <TitlesOfParts>
    <vt:vector size="28" baseType="lpstr">
      <vt:lpstr>Balances</vt:lpstr>
      <vt:lpstr>tbMyQuotes</vt:lpstr>
      <vt:lpstr>Transactions</vt:lpstr>
      <vt:lpstr>Journal</vt:lpstr>
      <vt:lpstr>Dashboard</vt:lpstr>
      <vt:lpstr>Scratch Pad</vt:lpstr>
      <vt:lpstr>Asset history</vt:lpstr>
      <vt:lpstr>Asset watchlist</vt:lpstr>
      <vt:lpstr>Exchange</vt:lpstr>
      <vt:lpstr>iBITO_Delta</vt:lpstr>
      <vt:lpstr>iBITO_Price</vt:lpstr>
      <vt:lpstr>iBTCX_Delta</vt:lpstr>
      <vt:lpstr>iBTCX_Price</vt:lpstr>
      <vt:lpstr>Dashboard!iCurrentValueETH</vt:lpstr>
      <vt:lpstr>iCurrentValueETH</vt:lpstr>
      <vt:lpstr>Dashboard!iDelta</vt:lpstr>
      <vt:lpstr>iDelta</vt:lpstr>
      <vt:lpstr>iETH_Delta</vt:lpstr>
      <vt:lpstr>iETH_Price</vt:lpstr>
      <vt:lpstr>Dashboard!iETHAdded</vt:lpstr>
      <vt:lpstr>iETHAdded</vt:lpstr>
      <vt:lpstr>Dashboard!iETHStarting</vt:lpstr>
      <vt:lpstr>iETHStarting</vt:lpstr>
      <vt:lpstr>Dashboard!iGrowthETH</vt:lpstr>
      <vt:lpstr>iGrowthETH</vt:lpstr>
      <vt:lpstr>iOpeningBalanceETH</vt:lpstr>
      <vt:lpstr>Dashboard!PhoneTradeFee</vt:lpstr>
      <vt:lpstr>PhoneTradeFee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Chase</dc:creator>
  <cp:lastModifiedBy>David Chase</cp:lastModifiedBy>
  <dcterms:created xsi:type="dcterms:W3CDTF">2021-05-03T01:54:43Z</dcterms:created>
  <dcterms:modified xsi:type="dcterms:W3CDTF">2021-10-28T23:08:15Z</dcterms:modified>
</cp:coreProperties>
</file>