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F:\Shared\Finances\"/>
    </mc:Choice>
  </mc:AlternateContent>
  <xr:revisionPtr revIDLastSave="0" documentId="13_ncr:1_{97BA1E64-0796-457C-A2D5-5ABA8E6D387C}" xr6:coauthVersionLast="46" xr6:coauthVersionMax="46" xr10:uidLastSave="{00000000-0000-0000-0000-000000000000}"/>
  <bookViews>
    <workbookView xWindow="17316" yWindow="0" windowWidth="17400" windowHeight="18900" xr2:uid="{046858EE-5834-47FF-B1F2-0D5E20DD1B68}"/>
  </bookViews>
  <sheets>
    <sheet name="Balances" sheetId="2" r:id="rId1"/>
    <sheet name="Transactions" sheetId="1" r:id="rId2"/>
    <sheet name="Wallets" sheetId="5" r:id="rId3"/>
    <sheet name="Coins" sheetId="4" r:id="rId4"/>
  </sheets>
  <definedNames>
    <definedName name="iBTC_Cap">Coins!$F$9</definedName>
    <definedName name="iTotalCap">Coins!$F$23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2" l="1" a="1"/>
  <c r="E4" i="2" s="1"/>
  <c r="E7" i="2" l="1" a="1"/>
  <c r="E7" i="2" s="1"/>
  <c r="E6" i="2" a="1"/>
  <c r="E6" i="2" s="1"/>
  <c r="E5" i="2" a="1"/>
  <c r="E5" i="2" s="1"/>
  <c r="G44" i="1"/>
  <c r="M44" i="1"/>
  <c r="I41" i="1"/>
  <c r="I40" i="1"/>
  <c r="C12" i="2"/>
  <c r="E12" i="2" s="1" a="1"/>
  <c r="E12" i="2" s="1"/>
  <c r="C5" i="4"/>
  <c r="F5" i="4"/>
  <c r="I5" i="4"/>
  <c r="J5" i="4" s="1"/>
  <c r="C19" i="4"/>
  <c r="F19" i="4"/>
  <c r="I19" i="4"/>
  <c r="J19" i="4" s="1"/>
  <c r="C4" i="4"/>
  <c r="F4" i="4"/>
  <c r="I4" i="4"/>
  <c r="J4" i="4" s="1"/>
  <c r="I38" i="1"/>
  <c r="D5" i="2"/>
  <c r="D6" i="2"/>
  <c r="D7" i="2"/>
  <c r="C18" i="4"/>
  <c r="F18" i="4"/>
  <c r="I18" i="4"/>
  <c r="J18" i="4" s="1"/>
  <c r="C14" i="4"/>
  <c r="F14" i="4"/>
  <c r="I14" i="4"/>
  <c r="J14" i="4" s="1"/>
  <c r="C15" i="4"/>
  <c r="F15" i="4"/>
  <c r="I15" i="4"/>
  <c r="J15" i="4" s="1"/>
  <c r="L8" i="2"/>
  <c r="M4" i="2"/>
  <c r="M5" i="2"/>
  <c r="M6" i="2"/>
  <c r="M7" i="2"/>
  <c r="C4" i="2"/>
  <c r="C5" i="2"/>
  <c r="C6" i="2"/>
  <c r="C7" i="2"/>
  <c r="C9" i="4"/>
  <c r="E9" i="4" s="1" a="1"/>
  <c r="E9" i="4" s="1"/>
  <c r="F9" i="4" s="1"/>
  <c r="C6" i="4"/>
  <c r="E6" i="4" s="1" a="1"/>
  <c r="E6" i="4" s="1"/>
  <c r="F6" i="4" s="1"/>
  <c r="C20" i="4"/>
  <c r="E20" i="4" s="1" a="1"/>
  <c r="E20" i="4" s="1"/>
  <c r="F20" i="4" s="1"/>
  <c r="C7" i="4"/>
  <c r="E7" i="4" s="1" a="1"/>
  <c r="E7" i="4" s="1"/>
  <c r="F7" i="4" s="1"/>
  <c r="C12" i="4"/>
  <c r="E12" i="4" s="1" a="1"/>
  <c r="E12" i="4" s="1"/>
  <c r="F12" i="4" s="1"/>
  <c r="C13" i="4"/>
  <c r="E13" i="4" s="1" a="1"/>
  <c r="E13" i="4" s="1"/>
  <c r="F13" i="4" s="1"/>
  <c r="C16" i="4"/>
  <c r="E16" i="4" s="1" a="1"/>
  <c r="E16" i="4" s="1"/>
  <c r="F16" i="4" s="1"/>
  <c r="C11" i="4"/>
  <c r="E11" i="4" s="1" a="1"/>
  <c r="E11" i="4" s="1"/>
  <c r="F11" i="4" s="1"/>
  <c r="C3" i="4"/>
  <c r="E3" i="4" s="1" a="1"/>
  <c r="E3" i="4" s="1"/>
  <c r="F3" i="4" s="1"/>
  <c r="C17" i="4"/>
  <c r="E17" i="4" s="1" a="1"/>
  <c r="E17" i="4" s="1"/>
  <c r="F17" i="4" s="1"/>
  <c r="C8" i="4"/>
  <c r="E8" i="4" s="1" a="1"/>
  <c r="E8" i="4" s="1"/>
  <c r="F8" i="4" s="1"/>
  <c r="C10" i="4"/>
  <c r="E10" i="4" s="1" a="1"/>
  <c r="E10" i="4" s="1"/>
  <c r="F10" i="4" s="1"/>
  <c r="I13" i="4"/>
  <c r="I10" i="4"/>
  <c r="I16" i="4"/>
  <c r="I9" i="4"/>
  <c r="I6" i="4"/>
  <c r="I7" i="4"/>
  <c r="F4" i="2"/>
  <c r="I3" i="4"/>
  <c r="I8" i="4"/>
  <c r="I12" i="4"/>
  <c r="I11" i="4"/>
  <c r="I20" i="4"/>
  <c r="I17" i="4"/>
  <c r="F6" i="2"/>
  <c r="F7" i="2"/>
  <c r="D4" i="2" l="1"/>
  <c r="G4" i="2" s="1"/>
  <c r="F5" i="2"/>
  <c r="F8" i="2" s="1"/>
  <c r="M8" i="2"/>
  <c r="H7" i="2"/>
  <c r="I7" i="2" s="1"/>
  <c r="J7" i="2" s="1"/>
  <c r="N7" i="2" s="1"/>
  <c r="P7" i="2" s="1"/>
  <c r="H6" i="2"/>
  <c r="I6" i="2" s="1"/>
  <c r="J6" i="2" s="1"/>
  <c r="N6" i="2" s="1"/>
  <c r="P6" i="2" s="1"/>
  <c r="H5" i="2"/>
  <c r="J10" i="4"/>
  <c r="J7" i="4"/>
  <c r="J6" i="4"/>
  <c r="J13" i="4"/>
  <c r="J16" i="4"/>
  <c r="J9" i="4"/>
  <c r="J8" i="4"/>
  <c r="J3" i="4"/>
  <c r="J17" i="4"/>
  <c r="J20" i="4"/>
  <c r="J11" i="4"/>
  <c r="J12" i="4"/>
  <c r="G7" i="2"/>
  <c r="G6" i="2"/>
  <c r="H4" i="2" l="1"/>
  <c r="I4" i="2" s="1"/>
  <c r="G5" i="2"/>
  <c r="I5" i="2"/>
  <c r="J5" i="2" s="1"/>
  <c r="N5" i="2" s="1"/>
  <c r="P5" i="2" s="1"/>
  <c r="O6" i="2"/>
  <c r="Q6" i="2" s="1"/>
  <c r="O7" i="2"/>
  <c r="Q7" i="2" s="1"/>
  <c r="H8" i="2" l="1"/>
  <c r="O5" i="2"/>
  <c r="Q5" i="2" s="1"/>
  <c r="J4" i="2"/>
  <c r="N4" i="2" s="1"/>
  <c r="P4" i="2" s="1"/>
  <c r="O4" i="2"/>
  <c r="I8" i="2"/>
  <c r="J8" i="2" s="1"/>
  <c r="N8" i="2" s="1"/>
  <c r="O8" i="2" l="1"/>
  <c r="Q4" i="2"/>
  <c r="Q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<sst xmlns="http://schemas.openxmlformats.org/spreadsheetml/2006/main" count="355" uniqueCount="144">
  <si>
    <t>Buy</t>
  </si>
  <si>
    <t>Currency</t>
  </si>
  <si>
    <t>Type</t>
  </si>
  <si>
    <t>Qty</t>
  </si>
  <si>
    <t>Price</t>
  </si>
  <si>
    <t>Total</t>
  </si>
  <si>
    <t>Date</t>
  </si>
  <si>
    <t>XRP (Ripple)</t>
  </si>
  <si>
    <t>XLM (Stellar)</t>
  </si>
  <si>
    <t>Book Value</t>
  </si>
  <si>
    <t>Coin</t>
  </si>
  <si>
    <t>Curr. Price</t>
  </si>
  <si>
    <t>Current Value</t>
  </si>
  <si>
    <t>Gain/Loss</t>
  </si>
  <si>
    <t>Gain/Loss %</t>
  </si>
  <si>
    <t>Average Price</t>
  </si>
  <si>
    <t>Circulating Supply</t>
  </si>
  <si>
    <t>Market Cap</t>
  </si>
  <si>
    <t>Maximum Supply</t>
  </si>
  <si>
    <t>Max Value at Max Mkt Cap</t>
  </si>
  <si>
    <t>* This is the max market cap of the coin compared to BTC.  1 means it can achieve 100% the market cap of BTC.  3 means it could achieve 1/3 the market cap of BTC.</t>
  </si>
  <si>
    <t>% of Max Value</t>
  </si>
  <si>
    <t>ADA (Cardano)</t>
  </si>
  <si>
    <t>All cryptocurrencies</t>
  </si>
  <si>
    <t>Sell</t>
  </si>
  <si>
    <t>1y Velocity</t>
  </si>
  <si>
    <t>1m Velocity</t>
  </si>
  <si>
    <t>Algorithm</t>
  </si>
  <si>
    <t>PoW</t>
  </si>
  <si>
    <t>PoS</t>
  </si>
  <si>
    <t>Release Date</t>
  </si>
  <si>
    <t>Notes</t>
  </si>
  <si>
    <t>Developed by co-founder of Ethereum</t>
  </si>
  <si>
    <t>Binance Coin is a cryptocurrency used to pay fees on the Binance cryptocurrency exchange. Fees paid in Binance Coin on the exchange receive a discount.</t>
  </si>
  <si>
    <t>n/a</t>
  </si>
  <si>
    <t>Fork of Bitcoin</t>
  </si>
  <si>
    <t>Supports sharding</t>
  </si>
  <si>
    <t>Supports sharding, Raiden network</t>
  </si>
  <si>
    <t>EOS is a cryptocurrency designed to support large-scale applications. There are no fees to send or receive EOS. Instead, the protocol rewards the entities that run the network periodically with new EOS, effectively substituting inflation for transaction fees.</t>
  </si>
  <si>
    <t>Entry date</t>
  </si>
  <si>
    <t>Daily Avg %</t>
  </si>
  <si>
    <t>Column1</t>
  </si>
  <si>
    <t>BCH (Bitcoin Cash)</t>
  </si>
  <si>
    <t>BNB (Binance Coin)</t>
  </si>
  <si>
    <t>LTC (Litecoin)</t>
  </si>
  <si>
    <t>DOT (Polkadot)</t>
  </si>
  <si>
    <t>Ticker</t>
  </si>
  <si>
    <t>BTC (Bitcoin)</t>
  </si>
  <si>
    <t>EOS (EOS.IS)</t>
  </si>
  <si>
    <t>ETH (Ether)</t>
  </si>
  <si>
    <t>DOGE (Dogecoin)</t>
  </si>
  <si>
    <t>ETH2 (Ether2)</t>
  </si>
  <si>
    <t>Days in position</t>
  </si>
  <si>
    <t>LINK (Chainlink)</t>
  </si>
  <si>
    <t>Chainlink is based on ETH and is for smart contracts.</t>
  </si>
  <si>
    <t>Transaction Fees</t>
  </si>
  <si>
    <t>Potential</t>
  </si>
  <si>
    <t>Daily Avg $</t>
  </si>
  <si>
    <t>Annualized %</t>
  </si>
  <si>
    <t>Annualized $</t>
  </si>
  <si>
    <t>ICP (Internet Computer)</t>
  </si>
  <si>
    <t>For running fully distributed cloud apps</t>
  </si>
  <si>
    <t>ZIL (Zilliqa)</t>
  </si>
  <si>
    <t>Coinsmart</t>
  </si>
  <si>
    <t>Transfer</t>
  </si>
  <si>
    <t>addr1q8mn49swvyez6vc0yzvwjvl73kwwh983lyet7yxqj6sfl</t>
  </si>
  <si>
    <t>addr1q9rzqjk96hnwxsupealv00sxys4fp8nkuznt80hehclgh</t>
  </si>
  <si>
    <t>Short name</t>
  </si>
  <si>
    <t>Proof of Work</t>
  </si>
  <si>
    <t>Proof of Stake</t>
  </si>
  <si>
    <t>Proof of Authority</t>
  </si>
  <si>
    <t>PoA</t>
  </si>
  <si>
    <t>Byzantine Agreement</t>
  </si>
  <si>
    <t>BA</t>
  </si>
  <si>
    <t>XRP is the cryptocurrency used by the Ripple payment network. Built for enterprise use, XRP aims to be a fast, cost-efficient cryptocurrency for cross-border payments.  All tokens were pre-mined.</t>
  </si>
  <si>
    <t>Stellar’s cryptocurrency, the Stellar Lumen (XLM), powers the Stellar payment network. Stellar aims to connect banks, payment systems, and individuals quickly and reliably. All tokens were pre-mined.</t>
  </si>
  <si>
    <t>Carbon Footprint</t>
  </si>
  <si>
    <t>Low</t>
  </si>
  <si>
    <t>High</t>
  </si>
  <si>
    <t>Very High</t>
  </si>
  <si>
    <t>Med</t>
  </si>
  <si>
    <t>0xa85f6e383bed65907175be463a46cc72e2945874</t>
  </si>
  <si>
    <t>ALGO</t>
  </si>
  <si>
    <t>Very low</t>
  </si>
  <si>
    <t>All about being green, supports smart contracts, NFT, dApps, DeFi.</t>
  </si>
  <si>
    <t>Keywords</t>
  </si>
  <si>
    <t>pos, sharding</t>
  </si>
  <si>
    <t>specialized</t>
  </si>
  <si>
    <t>gp, pow</t>
  </si>
  <si>
    <t>specialized, pos</t>
  </si>
  <si>
    <t>currency, pow, nft, dapps, defi</t>
  </si>
  <si>
    <t>gp, pos, sharding</t>
  </si>
  <si>
    <t>gp, pos, sc</t>
  </si>
  <si>
    <t>pow, sc</t>
  </si>
  <si>
    <t>specialized,sc</t>
  </si>
  <si>
    <t>specialized, dapps</t>
  </si>
  <si>
    <t>pos, sharding, sc, defi, dapps, lightning</t>
  </si>
  <si>
    <t>XMR (Monero)</t>
  </si>
  <si>
    <t>pow, privacy</t>
  </si>
  <si>
    <t>ATOM (Cosmos)</t>
  </si>
  <si>
    <t>Price Calculator</t>
  </si>
  <si>
    <t>Amount</t>
  </si>
  <si>
    <t>Value</t>
  </si>
  <si>
    <t>Holdings</t>
  </si>
  <si>
    <t>specialized, premined, ba</t>
  </si>
  <si>
    <t>specialized, pos, ba</t>
  </si>
  <si>
    <t>specialized, ba, premined</t>
  </si>
  <si>
    <t>Proof of Importance</t>
  </si>
  <si>
    <t>PoI</t>
  </si>
  <si>
    <t>Proof of Elapsed Time</t>
  </si>
  <si>
    <t>PoET</t>
  </si>
  <si>
    <t>Proof of Capacity</t>
  </si>
  <si>
    <t>PoC</t>
  </si>
  <si>
    <t>CAD</t>
  </si>
  <si>
    <t>Deposit</t>
  </si>
  <si>
    <t>From Party</t>
  </si>
  <si>
    <t>To Party</t>
  </si>
  <si>
    <t>To Wallet</t>
  </si>
  <si>
    <t>From Wallet</t>
  </si>
  <si>
    <t>CIBC</t>
  </si>
  <si>
    <t>05722-79-10436</t>
  </si>
  <si>
    <t>Coinsmart Fiat</t>
  </si>
  <si>
    <t>Bitbuy Fiat</t>
  </si>
  <si>
    <t>Wallets</t>
  </si>
  <si>
    <t>Name</t>
  </si>
  <si>
    <t>Address</t>
  </si>
  <si>
    <t>CIBC Savings</t>
  </si>
  <si>
    <t>Netcoins Fiat</t>
  </si>
  <si>
    <t>Coinsmart XRP (Ripple)</t>
  </si>
  <si>
    <t>Coinsmart ETH (Ethereum)</t>
  </si>
  <si>
    <t>Bitbuy ETH (Ethereum)</t>
  </si>
  <si>
    <t>Coinsmart ADA (Cardano)</t>
  </si>
  <si>
    <t>Netcoins ETH (Ethereum)</t>
  </si>
  <si>
    <t>Daedalus ADA (Cardano)</t>
  </si>
  <si>
    <t>DdzFFzCqrhsgryZ5LR36uUYVTqdCPPU5fwJ8P8PKf4CoJaaiXXZYce9Ra2766etnrs77LStQjuuMzg3tWuBmAPo914XkDPTC3BCSUF4K</t>
  </si>
  <si>
    <t>Coinsmart XLM (Stellar)</t>
  </si>
  <si>
    <t>GAG3UFMJ7YMPSTSNID4EACFGDWWMUMOLFTQK2WMFWE6BSR6VTCNLXRZY</t>
  </si>
  <si>
    <t>Coinsmart EOS (EOS.IS)</t>
  </si>
  <si>
    <t>dtazzbtcc2b2?memoId</t>
  </si>
  <si>
    <t>rpRZkyvfwJYMZNQkKEU1cwcPH2Gofd5q7P</t>
  </si>
  <si>
    <t>Daedalus Temp Address (2)</t>
  </si>
  <si>
    <t>Daedalus Temp Address (1)</t>
  </si>
  <si>
    <t>acct_xvk1548562jqp52uj2pmhkqekhz7p8gf8raspr4mdp90hxn7wgggfuzzp4z4ha36m3726d53j27svkkc6yzcq37jsyp497hydah8pgpa0hcqjd6ka</t>
  </si>
  <si>
    <t>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</si>
</sst>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409]dd/mmm/yy;@"/>
    <numFmt numFmtId="165" formatCode="&quot;$&quot;#,##0.0000"/>
    <numFmt numFmtId="166" formatCode="&quot;$&quot;#,##0.00"/>
    <numFmt numFmtId="167" formatCode="&quot;$&quot;#,##0.00;[Red]&quot;$&quot;#,##0.00"/>
    <numFmt numFmtId="168" formatCode="0.00%;[Red]\(0.00%\)"/>
    <numFmt numFmtId="169" formatCode="&quot;$&quot;#,##0"/>
    <numFmt numFmtId="170" formatCode="0.0%"/>
    <numFmt numFmtId="171" formatCode="0000"/>
  </numFmts>
  <fonts count="27" x14ac:knownFonts="1">
    <font>
      <sz val="11"/>
      <color theme="1"/>
      <name val="Calibri"/>
      <family val="2"/>
      <scheme val="minor"/>
    </font>
    <font>
      <sz val="10"/>
      <color theme="1"/>
      <name val="Segoe UI Light"/>
      <family val="2"/>
    </font>
    <font>
      <sz val="10"/>
      <color theme="1"/>
      <name val="Segoe UI Light"/>
      <family val="2"/>
    </font>
    <font>
      <sz val="10"/>
      <color theme="1"/>
      <name val="Segoe UI Light"/>
      <family val="2"/>
    </font>
    <font>
      <sz val="10"/>
      <color theme="1"/>
      <name val="Segoe UI Light"/>
      <family val="2"/>
    </font>
    <font>
      <sz val="10"/>
      <color theme="1"/>
      <name val="Segoe UI Light"/>
      <family val="2"/>
    </font>
    <font>
      <sz val="10"/>
      <color theme="1"/>
      <name val="Segoe UI Light"/>
      <family val="2"/>
    </font>
    <font>
      <sz val="10"/>
      <color theme="1"/>
      <name val="Segoe UI Light"/>
      <family val="2"/>
    </font>
    <font>
      <sz val="10"/>
      <color theme="1"/>
      <name val="Segoe UI Light"/>
      <family val="2"/>
    </font>
    <font>
      <sz val="10"/>
      <color theme="1"/>
      <name val="Segoe UI Light"/>
      <family val="2"/>
    </font>
    <font>
      <sz val="10"/>
      <color theme="1"/>
      <name val="Segoe UI Light"/>
      <family val="2"/>
    </font>
    <font>
      <sz val="10"/>
      <color theme="1"/>
      <name val="Segoe UI Light"/>
      <family val="2"/>
    </font>
    <font>
      <sz val="10"/>
      <color theme="1"/>
      <name val="Segoe UI Light"/>
      <family val="2"/>
    </font>
    <font>
      <sz val="10"/>
      <color theme="1"/>
      <name val="Segoe UI Light"/>
      <family val="2"/>
    </font>
    <font>
      <sz val="10"/>
      <color theme="1"/>
      <name val="Segoe UI Light"/>
      <family val="2"/>
    </font>
    <font>
      <sz val="10"/>
      <color theme="1"/>
      <name val="Segoe UI Light"/>
      <family val="2"/>
    </font>
    <font>
      <sz val="10"/>
      <color theme="1"/>
      <name val="Segoe UI Light"/>
      <family val="2"/>
    </font>
    <font>
      <sz val="10"/>
      <color theme="1"/>
      <name val="Segoe UI Light"/>
      <family val="2"/>
    </font>
    <font>
      <sz val="10"/>
      <color theme="1"/>
      <name val="Segoe UI Light"/>
      <family val="2"/>
    </font>
    <font>
      <sz val="10"/>
      <color theme="1"/>
      <name val="Segoe UI Light"/>
      <family val="2"/>
    </font>
    <font>
      <sz val="11"/>
      <color theme="1"/>
      <name val="Calibri"/>
      <family val="2"/>
      <scheme val="minor"/>
    </font>
    <font>
      <sz val="10"/>
      <color rgb="FF000000"/>
      <name val="Segoe UI Light"/>
      <family val="2"/>
    </font>
    <font>
      <u/>
      <sz val="11"/>
      <color theme="10"/>
      <name val="Calibri"/>
      <family val="2"/>
      <scheme val="minor"/>
    </font>
    <font>
      <sz val="10"/>
      <color theme="0"/>
      <name val="Segoe UI Light"/>
      <family val="2"/>
    </font>
    <font>
      <sz val="10"/>
      <name val="Segoe UI Light"/>
      <family val="2"/>
    </font>
    <font>
      <b/>
      <sz val="14"/>
      <color theme="1"/>
      <name val="Segoe UI Light"/>
      <family val="2"/>
    </font>
    <font>
      <sz val="11"/>
      <color theme="1"/>
      <name val="Segoe UI Light"/>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style="hair">
        <color auto="1"/>
      </top>
      <bottom style="hair">
        <color auto="1"/>
      </bottom>
      <diagonal/>
    </border>
  </borders>
  <cellStyleXfs count="4">
    <xf numFmtId="0" fontId="0" fillId="0" borderId="0"/>
    <xf numFmtId="9" fontId="20" fillId="0" borderId="0" applyFont="0" applyFill="0" applyBorder="0" applyAlignment="0" applyProtection="0"/>
    <xf numFmtId="0" fontId="22" fillId="0" borderId="0" applyNumberFormat="0" applyFill="0" applyBorder="0" applyAlignment="0" applyProtection="0"/>
    <xf numFmtId="0" fontId="25" fillId="0" borderId="0" applyNumberFormat="0" applyFill="0" applyProtection="0">
      <alignment vertical="center"/>
    </xf>
  </cellStyleXfs>
  <cellXfs count="112">
    <xf numFmtId="0" fontId="0" fillId="0" borderId="0" xfId="0"/>
    <xf numFmtId="0" fontId="19" fillId="0" borderId="0" xfId="0" applyFont="1" applyAlignment="1">
      <alignment vertical="center"/>
    </xf>
    <xf numFmtId="164" fontId="19" fillId="0" borderId="0" xfId="0" applyNumberFormat="1" applyFont="1" applyAlignment="1">
      <alignment vertical="center"/>
    </xf>
    <xf numFmtId="0" fontId="19" fillId="0" borderId="0" xfId="0" applyFont="1" applyAlignment="1">
      <alignment vertical="center" wrapText="1"/>
    </xf>
    <xf numFmtId="0" fontId="19" fillId="0" borderId="0" xfId="0" applyFont="1" applyAlignment="1">
      <alignment horizontal="center" vertical="center" wrapText="1"/>
    </xf>
    <xf numFmtId="0" fontId="19" fillId="0" borderId="0" xfId="0" applyFont="1" applyAlignment="1">
      <alignment horizontal="center" vertical="center"/>
    </xf>
    <xf numFmtId="165" fontId="19" fillId="0" borderId="0" xfId="0" applyNumberFormat="1" applyFont="1" applyAlignment="1">
      <alignment horizontal="center" vertical="center"/>
    </xf>
    <xf numFmtId="166" fontId="19" fillId="0" borderId="0" xfId="0" applyNumberFormat="1" applyFont="1" applyAlignment="1">
      <alignment horizontal="center" vertical="center"/>
    </xf>
    <xf numFmtId="167" fontId="19" fillId="0" borderId="0" xfId="0" applyNumberFormat="1" applyFont="1" applyAlignment="1">
      <alignment horizontal="center" vertical="center"/>
    </xf>
    <xf numFmtId="168" fontId="19" fillId="0" borderId="0" xfId="0" applyNumberFormat="1" applyFont="1" applyAlignment="1">
      <alignment horizontal="center" vertical="center"/>
    </xf>
    <xf numFmtId="0" fontId="17" fillId="0" borderId="0" xfId="0" applyFont="1" applyAlignment="1">
      <alignment horizontal="center" vertical="center" wrapText="1"/>
    </xf>
    <xf numFmtId="3" fontId="19" fillId="0" borderId="0" xfId="0" applyNumberFormat="1" applyFont="1" applyAlignment="1">
      <alignment horizontal="center" vertical="center"/>
    </xf>
    <xf numFmtId="169" fontId="19" fillId="0" borderId="0" xfId="0" applyNumberFormat="1" applyFont="1" applyAlignment="1">
      <alignment horizontal="center" vertical="center"/>
    </xf>
    <xf numFmtId="169" fontId="21" fillId="0" borderId="0" xfId="0" applyNumberFormat="1" applyFont="1" applyAlignment="1">
      <alignment horizontal="center" vertical="center"/>
    </xf>
    <xf numFmtId="164" fontId="17" fillId="0" borderId="0" xfId="0" applyNumberFormat="1" applyFont="1" applyAlignment="1">
      <alignment vertical="center"/>
    </xf>
    <xf numFmtId="9" fontId="21" fillId="0" borderId="0" xfId="1" applyFont="1" applyAlignment="1">
      <alignment horizontal="center" vertical="center"/>
    </xf>
    <xf numFmtId="164" fontId="16" fillId="0" borderId="0" xfId="0" applyNumberFormat="1" applyFont="1" applyAlignment="1">
      <alignment vertical="center"/>
    </xf>
    <xf numFmtId="169" fontId="16" fillId="0" borderId="0" xfId="0" applyNumberFormat="1" applyFont="1" applyBorder="1" applyAlignment="1">
      <alignment horizontal="center" vertical="center"/>
    </xf>
    <xf numFmtId="0" fontId="21" fillId="0" borderId="0" xfId="0" applyFont="1" applyAlignment="1">
      <alignment horizontal="center" vertical="center"/>
    </xf>
    <xf numFmtId="0" fontId="16" fillId="0" borderId="0" xfId="0" applyFont="1" applyAlignment="1">
      <alignment horizontal="center" vertical="center" wrapText="1"/>
    </xf>
    <xf numFmtId="170" fontId="21" fillId="0" borderId="0" xfId="1" applyNumberFormat="1" applyFont="1" applyAlignment="1">
      <alignment horizontal="center" vertical="center"/>
    </xf>
    <xf numFmtId="170" fontId="19" fillId="0" borderId="0" xfId="0" applyNumberFormat="1" applyFont="1" applyAlignment="1">
      <alignment vertical="center"/>
    </xf>
    <xf numFmtId="164" fontId="21" fillId="0" borderId="0" xfId="0" applyNumberFormat="1" applyFont="1" applyAlignment="1">
      <alignment horizontal="center" vertical="center"/>
    </xf>
    <xf numFmtId="0" fontId="21" fillId="0" borderId="0" xfId="0" applyFont="1" applyAlignment="1">
      <alignment horizontal="left" vertical="center" wrapText="1"/>
    </xf>
    <xf numFmtId="0" fontId="15" fillId="0" borderId="0" xfId="0" applyFont="1" applyAlignment="1">
      <alignment horizontal="center" vertical="center" wrapText="1"/>
    </xf>
    <xf numFmtId="164" fontId="15" fillId="0" borderId="0" xfId="0" applyNumberFormat="1" applyFont="1" applyAlignment="1">
      <alignment horizontal="center" vertical="center"/>
    </xf>
    <xf numFmtId="0" fontId="23" fillId="0" borderId="0" xfId="0" applyFont="1" applyAlignment="1">
      <alignment horizontal="center" vertical="center" wrapText="1"/>
    </xf>
    <xf numFmtId="0" fontId="14" fillId="0" borderId="0" xfId="0" applyFont="1" applyAlignment="1">
      <alignment vertical="center" wrapText="1"/>
    </xf>
    <xf numFmtId="0" fontId="24" fillId="0" borderId="0" xfId="2" applyFont="1" applyAlignment="1">
      <alignment vertical="center" wrapText="1"/>
    </xf>
    <xf numFmtId="0" fontId="24" fillId="0" borderId="0" xfId="2" applyFont="1" applyAlignment="1">
      <alignment vertical="center"/>
    </xf>
    <xf numFmtId="0" fontId="24" fillId="0" borderId="0" xfId="2" applyNumberFormat="1" applyFont="1" applyAlignment="1">
      <alignment vertical="center" wrapText="1"/>
    </xf>
    <xf numFmtId="164" fontId="24" fillId="0" borderId="0" xfId="2" applyNumberFormat="1" applyFont="1" applyAlignment="1">
      <alignment vertical="center"/>
    </xf>
    <xf numFmtId="0" fontId="24" fillId="0" borderId="0" xfId="2" applyNumberFormat="1" applyFont="1" applyAlignment="1">
      <alignment vertical="center"/>
    </xf>
    <xf numFmtId="0" fontId="14" fillId="0" borderId="0" xfId="0" applyFont="1" applyAlignment="1">
      <alignment vertical="center"/>
    </xf>
    <xf numFmtId="0" fontId="14" fillId="0" borderId="0" xfId="0" applyFont="1" applyAlignment="1">
      <alignment horizontal="center" vertical="center"/>
    </xf>
    <xf numFmtId="166" fontId="14" fillId="0" borderId="0" xfId="0" applyNumberFormat="1" applyFont="1" applyAlignment="1">
      <alignment horizontal="center" vertical="center"/>
    </xf>
    <xf numFmtId="167" fontId="14" fillId="0" borderId="0" xfId="0" applyNumberFormat="1" applyFont="1" applyAlignment="1">
      <alignment horizontal="center" vertical="center"/>
    </xf>
    <xf numFmtId="9" fontId="14" fillId="0" borderId="0" xfId="0" applyNumberFormat="1" applyFont="1" applyAlignment="1">
      <alignment horizontal="center" vertical="center"/>
    </xf>
    <xf numFmtId="0" fontId="24" fillId="0" borderId="0" xfId="2" applyFont="1" applyAlignment="1">
      <alignment horizontal="center" vertical="center" wrapText="1"/>
    </xf>
    <xf numFmtId="164" fontId="24" fillId="0" borderId="0" xfId="2" applyNumberFormat="1" applyFont="1" applyAlignment="1">
      <alignment horizontal="center" vertical="center"/>
    </xf>
    <xf numFmtId="0" fontId="13" fillId="0" borderId="0" xfId="0" applyFont="1" applyAlignment="1">
      <alignment vertical="center"/>
    </xf>
    <xf numFmtId="0" fontId="12" fillId="0" borderId="0" xfId="0" applyFont="1" applyAlignment="1">
      <alignment vertical="center" wrapText="1"/>
    </xf>
    <xf numFmtId="0" fontId="10" fillId="0" borderId="0" xfId="0" applyFont="1" applyAlignment="1">
      <alignment horizontal="center" vertical="center" wrapText="1"/>
    </xf>
    <xf numFmtId="0" fontId="15" fillId="0" borderId="0" xfId="0" applyNumberFormat="1" applyFont="1" applyAlignment="1">
      <alignment horizontal="center" vertical="center"/>
    </xf>
    <xf numFmtId="0" fontId="8" fillId="0" borderId="0" xfId="0" applyFont="1" applyAlignment="1">
      <alignment horizontal="center" vertical="center" wrapText="1"/>
    </xf>
    <xf numFmtId="0" fontId="7" fillId="0" borderId="0" xfId="0" applyFont="1" applyAlignment="1">
      <alignment horizontal="center" vertical="center" wrapText="1"/>
    </xf>
    <xf numFmtId="167" fontId="7" fillId="0" borderId="0" xfId="0" applyNumberFormat="1" applyFont="1" applyAlignment="1">
      <alignment horizontal="center" vertical="center"/>
    </xf>
    <xf numFmtId="164" fontId="5" fillId="0" borderId="0" xfId="0" applyNumberFormat="1" applyFont="1" applyAlignment="1">
      <alignment vertical="center"/>
    </xf>
    <xf numFmtId="0" fontId="5" fillId="0" borderId="0" xfId="0" applyFont="1" applyAlignment="1">
      <alignment vertical="center"/>
    </xf>
    <xf numFmtId="0" fontId="5" fillId="0" borderId="0" xfId="0" applyFont="1" applyAlignment="1">
      <alignment horizontal="left" vertical="center"/>
    </xf>
    <xf numFmtId="0" fontId="5" fillId="0" borderId="0" xfId="0" applyFont="1" applyAlignment="1">
      <alignment horizontal="center" vertical="center" wrapText="1"/>
    </xf>
    <xf numFmtId="0" fontId="4" fillId="0" borderId="0" xfId="0" applyFont="1" applyAlignment="1">
      <alignment horizontal="left" vertical="center" wrapText="1"/>
    </xf>
    <xf numFmtId="0" fontId="19" fillId="0" borderId="0" xfId="0" applyFont="1" applyAlignment="1">
      <alignment horizontal="left" vertical="center" wrapText="1"/>
    </xf>
    <xf numFmtId="164" fontId="3" fillId="0" borderId="0" xfId="0" applyNumberFormat="1" applyFont="1" applyAlignment="1">
      <alignment vertical="center"/>
    </xf>
    <xf numFmtId="0" fontId="3" fillId="0" borderId="0" xfId="0" applyFont="1" applyAlignment="1">
      <alignment horizontal="center" vertical="center"/>
    </xf>
    <xf numFmtId="0" fontId="25" fillId="0" borderId="0" xfId="3" applyAlignment="1">
      <alignment vertical="center"/>
    </xf>
    <xf numFmtId="164" fontId="25" fillId="0" borderId="0" xfId="3" applyNumberFormat="1">
      <alignment vertical="center"/>
    </xf>
    <xf numFmtId="0" fontId="3" fillId="0" borderId="0" xfId="0" applyFont="1" applyAlignment="1">
      <alignment vertical="center"/>
    </xf>
    <xf numFmtId="0" fontId="3" fillId="0" borderId="0" xfId="0" applyFont="1" applyAlignment="1">
      <alignment horizontal="left" vertical="center"/>
    </xf>
    <xf numFmtId="0" fontId="2" fillId="0" borderId="0" xfId="0" applyFont="1" applyAlignment="1">
      <alignment vertical="center"/>
    </xf>
    <xf numFmtId="0" fontId="26" fillId="0" borderId="0" xfId="0" applyFont="1" applyAlignment="1">
      <alignment vertical="center"/>
    </xf>
    <xf numFmtId="0" fontId="25" fillId="0" borderId="0" xfId="3">
      <alignment vertical="center"/>
    </xf>
    <xf numFmtId="0" fontId="2" fillId="0" borderId="1" xfId="0" applyFont="1" applyBorder="1" applyAlignment="1">
      <alignment vertical="center"/>
    </xf>
    <xf numFmtId="0" fontId="2" fillId="0" borderId="0" xfId="0" applyFont="1" applyAlignment="1">
      <alignment horizontal="center" vertical="center"/>
    </xf>
    <xf numFmtId="171" fontId="2" fillId="2" borderId="0" xfId="0" applyNumberFormat="1" applyFont="1" applyFill="1" applyAlignment="1">
      <alignment horizontal="center" vertical="center"/>
    </xf>
    <xf numFmtId="164" fontId="19" fillId="2" borderId="0" xfId="0" applyNumberFormat="1" applyFont="1" applyFill="1" applyAlignment="1">
      <alignment vertical="center"/>
    </xf>
    <xf numFmtId="164" fontId="24" fillId="2" borderId="0" xfId="2" applyNumberFormat="1" applyFont="1" applyFill="1" applyAlignment="1">
      <alignment vertical="center"/>
    </xf>
    <xf numFmtId="0" fontId="19" fillId="2" borderId="0" xfId="0" applyFont="1" applyFill="1" applyAlignment="1">
      <alignment vertical="center"/>
    </xf>
    <xf numFmtId="165" fontId="19" fillId="2" borderId="0" xfId="0" applyNumberFormat="1" applyFont="1" applyFill="1" applyAlignment="1">
      <alignment vertical="center"/>
    </xf>
    <xf numFmtId="166" fontId="19" fillId="2" borderId="0" xfId="0" applyNumberFormat="1" applyFont="1" applyFill="1" applyAlignment="1">
      <alignment vertical="center"/>
    </xf>
    <xf numFmtId="166" fontId="2" fillId="2" borderId="0" xfId="0" applyNumberFormat="1" applyFont="1" applyFill="1" applyAlignment="1">
      <alignment vertical="center"/>
    </xf>
    <xf numFmtId="0" fontId="2" fillId="2" borderId="0" xfId="0" applyFont="1" applyFill="1" applyAlignment="1">
      <alignment vertical="center"/>
    </xf>
    <xf numFmtId="0" fontId="6" fillId="2" borderId="0" xfId="0" applyFont="1" applyFill="1" applyAlignment="1">
      <alignment vertical="center"/>
    </xf>
    <xf numFmtId="0" fontId="1" fillId="0" borderId="0" xfId="0" applyFont="1" applyAlignment="1">
      <alignment vertical="center"/>
    </xf>
    <xf numFmtId="0" fontId="1" fillId="0" borderId="0" xfId="0" applyFont="1" applyAlignment="1">
      <alignment horizontal="center" vertical="center"/>
    </xf>
    <xf numFmtId="2" fontId="1" fillId="0" borderId="0" xfId="0" applyNumberFormat="1" applyFont="1" applyAlignment="1">
      <alignment vertical="center"/>
    </xf>
    <xf numFmtId="0" fontId="1" fillId="2" borderId="0" xfId="0" applyFont="1" applyFill="1" applyAlignment="1">
      <alignment vertical="center"/>
    </xf>
    <xf numFmtId="164" fontId="12" fillId="2" borderId="0" xfId="0" applyNumberFormat="1" applyFont="1" applyFill="1" applyAlignment="1">
      <alignment vertical="center"/>
    </xf>
    <xf numFmtId="0" fontId="12" fillId="2" borderId="0" xfId="0" applyFont="1" applyFill="1" applyAlignment="1">
      <alignment vertical="center"/>
    </xf>
    <xf numFmtId="165" fontId="12" fillId="2" borderId="0" xfId="0" applyNumberFormat="1" applyFont="1" applyFill="1" applyAlignment="1">
      <alignment vertical="center"/>
    </xf>
    <xf numFmtId="166" fontId="12" fillId="2" borderId="0" xfId="0" applyNumberFormat="1" applyFont="1" applyFill="1" applyAlignment="1">
      <alignment vertical="center"/>
    </xf>
    <xf numFmtId="164" fontId="18" fillId="2" borderId="0" xfId="0" applyNumberFormat="1" applyFont="1" applyFill="1" applyAlignment="1">
      <alignment vertical="center"/>
    </xf>
    <xf numFmtId="0" fontId="24" fillId="2" borderId="0" xfId="2" applyFont="1" applyFill="1" applyAlignment="1">
      <alignment vertical="center" wrapText="1"/>
    </xf>
    <xf numFmtId="0" fontId="18" fillId="2" borderId="0" xfId="0" applyFont="1" applyFill="1" applyAlignment="1">
      <alignment vertical="center"/>
    </xf>
    <xf numFmtId="165" fontId="18" fillId="2" borderId="0" xfId="0" applyNumberFormat="1" applyFont="1" applyFill="1" applyAlignment="1">
      <alignment vertical="center"/>
    </xf>
    <xf numFmtId="166" fontId="18" fillId="2" borderId="0" xfId="0" applyNumberFormat="1" applyFont="1" applyFill="1" applyAlignment="1">
      <alignment vertical="center"/>
    </xf>
    <xf numFmtId="164" fontId="16" fillId="2" borderId="0" xfId="0" applyNumberFormat="1" applyFont="1" applyFill="1" applyAlignment="1">
      <alignment vertical="center"/>
    </xf>
    <xf numFmtId="0" fontId="16" fillId="2" borderId="0" xfId="0" applyFont="1" applyFill="1" applyAlignment="1">
      <alignment vertical="center"/>
    </xf>
    <xf numFmtId="165" fontId="16" fillId="2" borderId="0" xfId="0" applyNumberFormat="1" applyFont="1" applyFill="1" applyAlignment="1">
      <alignment vertical="center"/>
    </xf>
    <xf numFmtId="166" fontId="16" fillId="2" borderId="0" xfId="0" applyNumberFormat="1" applyFont="1" applyFill="1" applyAlignment="1">
      <alignment vertical="center"/>
    </xf>
    <xf numFmtId="0" fontId="26" fillId="2" borderId="0" xfId="0" applyFont="1" applyFill="1" applyAlignment="1">
      <alignment vertical="center"/>
    </xf>
    <xf numFmtId="164" fontId="11" fillId="2" borderId="0" xfId="0" applyNumberFormat="1" applyFont="1" applyFill="1" applyAlignment="1">
      <alignment vertical="center"/>
    </xf>
    <xf numFmtId="0" fontId="11" fillId="2" borderId="0" xfId="0" applyFont="1" applyFill="1" applyAlignment="1">
      <alignment vertical="center"/>
    </xf>
    <xf numFmtId="165" fontId="11" fillId="2" borderId="0" xfId="0" applyNumberFormat="1" applyFont="1" applyFill="1" applyAlignment="1">
      <alignment vertical="center"/>
    </xf>
    <xf numFmtId="166" fontId="11" fillId="2" borderId="0" xfId="0" applyNumberFormat="1" applyFont="1" applyFill="1" applyAlignment="1">
      <alignment vertical="center"/>
    </xf>
    <xf numFmtId="164" fontId="9" fillId="2" borderId="0" xfId="0" applyNumberFormat="1" applyFont="1" applyFill="1" applyAlignment="1">
      <alignment vertical="center"/>
    </xf>
    <xf numFmtId="0" fontId="9" fillId="2" borderId="0" xfId="0" applyFont="1" applyFill="1" applyAlignment="1">
      <alignment vertical="center"/>
    </xf>
    <xf numFmtId="165" fontId="9" fillId="2" borderId="0" xfId="0" applyNumberFormat="1" applyFont="1" applyFill="1" applyAlignment="1">
      <alignment vertical="center"/>
    </xf>
    <xf numFmtId="166" fontId="9" fillId="2" borderId="0" xfId="0" applyNumberFormat="1" applyFont="1" applyFill="1" applyAlignment="1">
      <alignment vertical="center"/>
    </xf>
    <xf numFmtId="164" fontId="7" fillId="2" borderId="0" xfId="0" applyNumberFormat="1" applyFont="1" applyFill="1" applyAlignment="1">
      <alignment vertical="center"/>
    </xf>
    <xf numFmtId="0" fontId="7" fillId="2" borderId="0" xfId="0" applyFont="1" applyFill="1" applyAlignment="1">
      <alignment vertical="center"/>
    </xf>
    <xf numFmtId="165" fontId="7" fillId="2" borderId="0" xfId="0" applyNumberFormat="1" applyFont="1" applyFill="1" applyAlignment="1">
      <alignment vertical="center"/>
    </xf>
    <xf numFmtId="166" fontId="7" fillId="2" borderId="0" xfId="0" applyNumberFormat="1" applyFont="1" applyFill="1" applyAlignment="1">
      <alignment vertical="center"/>
    </xf>
    <xf numFmtId="4" fontId="6" fillId="2" borderId="0" xfId="0" applyNumberFormat="1" applyFont="1" applyFill="1" applyAlignment="1">
      <alignment vertical="center"/>
    </xf>
    <xf numFmtId="165" fontId="6" fillId="2" borderId="0" xfId="0" applyNumberFormat="1" applyFont="1" applyFill="1" applyAlignment="1">
      <alignment vertical="center"/>
    </xf>
    <xf numFmtId="166" fontId="6" fillId="2" borderId="0" xfId="0" applyNumberFormat="1" applyFont="1" applyFill="1" applyAlignment="1">
      <alignment vertical="center"/>
    </xf>
    <xf numFmtId="164" fontId="5" fillId="2" borderId="0" xfId="0" applyNumberFormat="1" applyFont="1" applyFill="1" applyAlignment="1">
      <alignment vertical="center"/>
    </xf>
    <xf numFmtId="0" fontId="5" fillId="2" borderId="0" xfId="0" applyFont="1" applyFill="1" applyAlignment="1">
      <alignment vertical="center"/>
    </xf>
    <xf numFmtId="165" fontId="5" fillId="2" borderId="0" xfId="0" applyNumberFormat="1" applyFont="1" applyFill="1" applyAlignment="1">
      <alignment vertical="center"/>
    </xf>
    <xf numFmtId="166" fontId="5" fillId="2" borderId="0" xfId="0" applyNumberFormat="1" applyFont="1" applyFill="1" applyAlignment="1">
      <alignment vertical="center"/>
    </xf>
    <xf numFmtId="164" fontId="2" fillId="2" borderId="0" xfId="0" applyNumberFormat="1" applyFont="1" applyFill="1" applyAlignment="1">
      <alignment vertical="center"/>
    </xf>
    <xf numFmtId="165" fontId="2" fillId="2" borderId="0" xfId="0" applyNumberFormat="1" applyFont="1" applyFill="1" applyAlignment="1">
      <alignment vertical="center"/>
    </xf>
  </cellXfs>
  <cellStyles count="4">
    <cellStyle name="Heading 1" xfId="3" builtinId="16" customBuiltin="1"/>
    <cellStyle name="Hyperlink" xfId="2" builtinId="8"/>
    <cellStyle name="Normal" xfId="0" builtinId="0"/>
    <cellStyle name="Percent" xfId="1" builtinId="5"/>
  </cellStyles>
  <dxfs count="104">
    <dxf>
      <font>
        <b val="0"/>
        <i val="0"/>
        <strike val="0"/>
        <condense val="0"/>
        <extend val="0"/>
        <outline val="0"/>
        <shadow val="0"/>
        <u val="none"/>
        <vertAlign val="baseline"/>
        <sz val="10"/>
        <color theme="1"/>
        <name val="Segoe UI Light"/>
        <family val="2"/>
        <scheme val="none"/>
      </font>
      <numFmt numFmtId="167" formatCode="&quot;$&quot;#,##0.00;[Red]&quot;$&quot;#,##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8" formatCode="0.00%;[Red]\(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7" formatCode="&quot;$&quot;#,##0.00;[Red]&quot;$&quot;#,##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8" formatCode="0.00%;[Red]\(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4" formatCode="[$-409]dd/mmm/yy;@"/>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7" formatCode="&quot;$&quot;#,##0.00;[Red]&quot;$&quot;#,##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6" formatCode="&quot;$&quot;#,##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6" formatCode="&quot;$&quot;#,##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2" formatCode="0.00"/>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6" formatCode="&quot;$&quot;#,##0.00"/>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6" formatCode="&quot;$&quot;#,##0.00"/>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6" formatCode="&quot;$&quot;#,##0.00"/>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5" formatCode="&quot;$&quot;#,##0.0000"/>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4" formatCode="[$-409]dd/mmm/yy;@"/>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71" formatCode="0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Segoe UI Light"/>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Segoe UI Light"/>
        <family val="2"/>
        <scheme val="none"/>
      </font>
      <numFmt numFmtId="164" formatCode="[$-409]dd/mmm/yy;@"/>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Segoe UI Light"/>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Segoe UI Light"/>
        <family val="2"/>
        <scheme val="none"/>
      </font>
      <numFmt numFmtId="170" formatCode="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Segoe UI Light"/>
        <family val="2"/>
        <scheme val="none"/>
      </font>
      <numFmt numFmtId="170" formatCode="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Segoe UI Light"/>
        <family val="2"/>
        <scheme val="none"/>
      </font>
      <numFmt numFmtId="169" formatCode="&quot;$&quot;#,##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6" formatCode="&quot;$&quot;#,##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9" formatCode="&quot;$&quot;#,##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5" formatCode="&quot;$&quot;#,##0.0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Segoe UI Light"/>
        <family val="2"/>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Segoe UI Light"/>
        <family val="2"/>
        <scheme val="none"/>
      </font>
      <numFmt numFmtId="164" formatCode="[$-409]dd/mmm/yy;@"/>
      <alignment horizontal="general" vertical="center" textRotation="0" wrapText="0" indent="0" justifyLastLine="0" shrinkToFit="0" readingOrder="0"/>
    </dxf>
    <dxf>
      <font>
        <b val="0"/>
        <i val="0"/>
        <strike val="0"/>
        <condense val="0"/>
        <extend val="0"/>
        <outline val="0"/>
        <shadow val="0"/>
        <u val="none"/>
        <vertAlign val="baseline"/>
        <sz val="10"/>
        <color rgb="FF000000"/>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6" formatCode="&quot;$&quot;#,##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4" formatCode="[$-409]dd/mmm/yy;@"/>
      <alignment horizontal="general" vertical="center" textRotation="0" wrapText="0" indent="0" justifyLastLine="0" shrinkToFit="0" readingOrder="0"/>
    </dxf>
    <dxf>
      <font>
        <b val="0"/>
        <i val="0"/>
        <strike val="0"/>
        <condense val="0"/>
        <extend val="0"/>
        <outline val="0"/>
        <shadow val="0"/>
        <u val="none"/>
        <vertAlign val="baseline"/>
        <sz val="10"/>
        <color auto="1"/>
        <name val="Segoe UI Light"/>
        <family val="2"/>
        <scheme val="none"/>
      </font>
      <numFmt numFmtId="164" formatCode="[$-409]dd/mmm/yy;@"/>
      <alignment horizontal="general" vertical="center" textRotation="0" wrapText="1" indent="0" justifyLastLine="0" shrinkToFit="0" readingOrder="0"/>
    </dxf>
    <dxf>
      <font>
        <b val="0"/>
        <i val="0"/>
        <strike val="0"/>
        <condense val="0"/>
        <extend val="0"/>
        <outline val="0"/>
        <shadow val="0"/>
        <u val="none"/>
        <vertAlign val="baseline"/>
        <sz val="10"/>
        <color theme="1"/>
        <name val="Segoe UI Light"/>
        <family val="2"/>
        <scheme val="none"/>
      </font>
      <numFmt numFmtId="167" formatCode="&quot;$&quot;#,##0.00;[Red]&quot;$&quot;#,##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8" formatCode="0.00%;[Red]\(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7" formatCode="&quot;$&quot;#,##0.00;[Red]&quot;$&quot;#,##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8" formatCode="0.00%;[Red]\(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4" formatCode="[$-409]dd/mmm/yy;@"/>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8" formatCode="0.00%;[Red]\(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8" formatCode="0.00%;[Red]\(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7" formatCode="&quot;$&quot;#,##0.00;[Red]&quot;$&quot;#,##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6" formatCode="&quot;$&quot;#,##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6" formatCode="&quot;$&quot;#,##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6" formatCode="&quot;$&quot;#,##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5" formatCode="&quot;$&quot;#,##0.0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Segoe UI Light"/>
        <family val="2"/>
        <scheme val="none"/>
      </font>
      <numFmt numFmtId="164" formatCode="[$-409]dd/mmm/yy;@"/>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1" indent="0" justifyLastLine="0" shrinkToFit="0" readingOrder="0"/>
    </dxf>
    <dxf>
      <font>
        <b/>
        <i val="0"/>
      </font>
      <border>
        <top style="thin">
          <color auto="1"/>
        </top>
      </border>
    </dxf>
    <dxf>
      <font>
        <b/>
        <i val="0"/>
      </font>
      <border>
        <bottom style="thin">
          <color auto="1"/>
        </bottom>
      </border>
    </dxf>
    <dxf>
      <border>
        <horizontal style="hair">
          <color auto="1"/>
        </horizontal>
      </border>
    </dxf>
  </dxfs>
  <tableStyles count="1" defaultTableStyle="TableStyleMedium2" defaultPivotStyle="PivotStyleLight16">
    <tableStyle name="Simple" pivot="0" count="3" xr9:uid="{0E5597DB-14B7-4420-9DF2-B5A616521CF7}">
      <tableStyleElement type="wholeTable" dxfId="103"/>
      <tableStyleElement type="headerRow" dxfId="102"/>
      <tableStyleElement type="totalRow" dxfId="10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2C32C3C-D0F9-4701-8CA9-354A48F94006}" name="tbBalances" displayName="tbBalances" ref="B3:Q8" totalsRowCount="1" headerRowDxfId="100" dataDxfId="99">
  <autoFilter ref="B3:Q7" xr:uid="{01459388-E3E9-414C-AD04-BE95CEBEDCAB}"/>
  <tableColumns count="16">
    <tableColumn id="1" xr3:uid="{8E430792-9F96-4804-93F2-BFB07419B2D6}" name="Coin" totalsRowLabel="Total" dataDxfId="98" totalsRowDxfId="15"/>
    <tableColumn id="12" xr3:uid="{C6E3FD5A-A8A3-4BFF-A9AB-692E3470B3D2}" name="Ticker" dataDxfId="97" totalsRowDxfId="14">
      <calculatedColumnFormula>LEFT(tbBalances[[#This Row],[Coin]],IFERROR(FIND(" ",tbBalances[[#This Row],[Coin]])-1,LEN(tbBalances[[#This Row],[Coin]])))</calculatedColumnFormula>
    </tableColumn>
    <tableColumn id="2" xr3:uid="{E82021E9-CF6A-4DE3-A371-7275D77CCE71}" name="Qty" dataDxfId="96" totalsRowDxfId="13">
      <calculatedColumnFormula>SUMIFS(tbTransactions[Qty],tbTransactions[Currency],tbBalances[[#This Row],[Coin]],tbTransactions[Price],"&lt;&gt;""Transfer""")</calculatedColumnFormula>
    </tableColumn>
    <tableColumn id="3" xr3:uid="{B12556AC-4D9C-438A-A2D1-FBFC7C98FF22}" name="Curr. Price" dataDxfId="95" totalsRowDxfId="12"/>
    <tableColumn id="4" xr3:uid="{E0B0590A-AE57-4E79-B9C3-8DFB0082F530}" name="Book Value" totalsRowFunction="sum" dataDxfId="94" totalsRowDxfId="11">
      <calculatedColumnFormula>SUMIFS(tbTransactions[Total],tbTransactions[Currency],tbBalances[[#This Row],[Coin]])</calculatedColumnFormula>
    </tableColumn>
    <tableColumn id="8" xr3:uid="{FD67EE95-2316-4B22-8F52-C06242401298}" name="Average Price" dataDxfId="93" totalsRowDxfId="10">
      <calculatedColumnFormula>tbBalances[[#This Row],[Book Value]]/tbBalances[[#This Row],[Qty]]</calculatedColumnFormula>
    </tableColumn>
    <tableColumn id="5" xr3:uid="{A3D912D7-7C31-4023-BDAE-5D54B4FB0CF7}" name="Current Value" totalsRowFunction="sum" dataDxfId="92" totalsRowDxfId="9">
      <calculatedColumnFormula>tbBalances[[#This Row],[Qty]]*tbBalances[[#This Row],[Curr. Price]]</calculatedColumnFormula>
    </tableColumn>
    <tableColumn id="6" xr3:uid="{8EE1F001-4B23-41BF-A30A-65CF3BA7D4BE}" name="Gain/Loss" totalsRowFunction="sum" dataDxfId="91" totalsRowDxfId="8">
      <calculatedColumnFormula>tbBalances[[#This Row],[Current Value]]-tbBalances[[#This Row],[Book Value]]</calculatedColumnFormula>
    </tableColumn>
    <tableColumn id="7" xr3:uid="{A023CDC5-140D-46E0-A6CD-2C1D5E417508}" name="Gain/Loss %" totalsRowFunction="custom" dataDxfId="90" totalsRowDxfId="7">
      <calculatedColumnFormula>tbBalances[[#This Row],[Gain/Loss]]/tbBalances[[#This Row],[Book Value]]</calculatedColumnFormula>
      <totalsRowFormula>tbBalances[[#Totals],[Gain/Loss]]/tbBalances[[#Totals],[Book Value]]</totalsRowFormula>
    </tableColumn>
    <tableColumn id="11" xr3:uid="{EE3C6AE5-C680-42D6-9820-3F22BD9B43E2}" name="Column1" dataDxfId="89" totalsRowDxfId="6"/>
    <tableColumn id="9" xr3:uid="{D6A7848B-C02F-4DD5-8653-02B9C0A40887}" name="Entry date" totalsRowFunction="custom" dataDxfId="88" totalsRowDxfId="5">
      <totalsRowFormula>MIN(tbBalances[Entry date])</totalsRowFormula>
    </tableColumn>
    <tableColumn id="13" xr3:uid="{BFF3A543-3173-4145-93DF-C18FF2EB4DE6}" name="Days in position" totalsRowFunction="custom" dataDxfId="87" totalsRowDxfId="4">
      <calculatedColumnFormula>(TODAY()-tbBalances[[#This Row],[Entry date]]+1)</calculatedColumnFormula>
      <totalsRowFormula>MAX(tbBalances[Days in position])</totalsRowFormula>
    </tableColumn>
    <tableColumn id="10" xr3:uid="{5DFE40F1-F889-4D37-B90D-5B4343C8723C}" name="Daily Avg %" totalsRowFunction="custom" dataDxfId="86" totalsRowDxfId="3" dataCellStyle="Percent">
      <calculatedColumnFormula>tbBalances[[#This Row],[Gain/Loss %]]/(TODAY()-tbBalances[[#This Row],[Entry date]]+1)</calculatedColumnFormula>
      <totalsRowFormula>tbBalances[[#Totals],[Gain/Loss %]]/tbBalances[[#Totals],[Days in position]]</totalsRowFormula>
    </tableColumn>
    <tableColumn id="14" xr3:uid="{A1C9362E-4188-46D5-BD04-5DB2254538F0}" name="Daily Avg $" totalsRowFunction="sum" dataDxfId="85" totalsRowDxfId="2">
      <calculatedColumnFormula>tbBalances[[#This Row],[Gain/Loss]]/tbBalances[[#This Row],[Days in position]]</calculatedColumnFormula>
    </tableColumn>
    <tableColumn id="15" xr3:uid="{3B43DF7C-9617-4CB6-B618-2B80F7D33878}" name="Annualized %" dataDxfId="84" totalsRowDxfId="1">
      <calculatedColumnFormula>tbBalances[[#This Row],[Daily Avg %]]*365</calculatedColumnFormula>
    </tableColumn>
    <tableColumn id="16" xr3:uid="{6C071683-4EF2-42E8-9755-7089128D188D}" name="Annualized $" totalsRowFunction="sum" dataDxfId="83" totalsRowDxfId="0">
      <calculatedColumnFormula>tbBalances[[#This Row],[Daily Avg $]]*365</calculatedColumnFormula>
    </tableColumn>
  </tableColumns>
  <tableStyleInfo name="Simp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A963BC4-A4A7-4DEB-A2E2-EB6D10A910A1}" name="Table5" displayName="Table5" ref="B11:E12" totalsRowShown="0">
  <autoFilter ref="B11:E12" xr:uid="{E77F67DF-D42D-4C44-A659-D1677A41C8DA}"/>
  <tableColumns count="4">
    <tableColumn id="1" xr3:uid="{5F97CD65-B2CB-4607-8C95-BEB985B57A79}" name="Coin" dataDxfId="82" dataCellStyle="Hyperlink"/>
    <tableColumn id="2" xr3:uid="{9BE9790A-9196-4738-92ED-C8BE5425DEFE}" name="Ticker" dataDxfId="81">
      <calculatedColumnFormula>LEFT(Table5[[#This Row],[Coin]],IFERROR(FIND(" ",Table5[[#This Row],[Coin]])-1,LEN(Table5[[#This Row],[Coin]])))</calculatedColumnFormula>
    </tableColumn>
    <tableColumn id="3" xr3:uid="{3EF11AC1-70A8-4CCA-83FF-50246D4F4E8F}" name="Amount" dataDxfId="80"/>
    <tableColumn id="4" xr3:uid="{BDCA2381-AB55-4DE6-A2A0-B06F0823BA39}" name="Value" dataDxfId="79">
      <calculatedColumnFormula array="1">_xldudf_CS_PRICE(Table5[[#This Row],[Ticker]],"CAD")*Table5[[#This Row],[Amount]]</calculatedColumnFormula>
    </tableColumn>
  </tableColumns>
  <tableStyleInfo name="Simp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0F372C-E9FE-4FED-8567-A93DD14ED98B}" name="tbTransactions" displayName="tbTransactions" ref="C2:M44" totalsRowCount="1" headerRowDxfId="78" dataDxfId="77">
  <autoFilter ref="C2:M43" xr:uid="{C5D53AB9-2787-49E0-8C66-6609FD57D6A4}">
    <filterColumn colId="2">
      <filters>
        <filter val="ADA (Cardano)"/>
      </filters>
    </filterColumn>
  </autoFilter>
  <sortState xmlns:xlrd2="http://schemas.microsoft.com/office/spreadsheetml/2017/richdata2" ref="C3:M43">
    <sortCondition ref="C2:C43"/>
  </sortState>
  <tableColumns count="11">
    <tableColumn id="1" xr3:uid="{6DBE9C8E-F51A-4517-8DD2-61EC66056E51}" name="TX" dataDxfId="37" totalsRowDxfId="26"/>
    <tableColumn id="11" xr3:uid="{CD67327E-FDCB-4049-AC1E-C91E70C0A666}" name="Date" totalsRowLabel="Total" dataDxfId="36" totalsRowDxfId="25"/>
    <tableColumn id="2" xr3:uid="{F7B747B4-C8DC-45BB-9BFD-42C5A3CC46B0}" name="Currency" dataDxfId="35" totalsRowDxfId="24"/>
    <tableColumn id="3" xr3:uid="{3C883837-F56A-4FED-B6F2-BAF0AEC2C1AF}" name="Type" dataDxfId="34" totalsRowDxfId="23"/>
    <tableColumn id="4" xr3:uid="{A14B8301-6D7F-41FA-B368-FC453EE81A85}" name="Qty" totalsRowFunction="sum" dataDxfId="33" totalsRowDxfId="22"/>
    <tableColumn id="5" xr3:uid="{03FC9CB9-33E4-4FA1-9F80-6AA3684F36AB}" name="Price" dataDxfId="32" totalsRowDxfId="21"/>
    <tableColumn id="6" xr3:uid="{7D12B0C0-3467-4D51-A151-501FE97F2D2A}" name="Total" dataDxfId="31" totalsRowDxfId="20"/>
    <tableColumn id="10" xr3:uid="{516D1B13-4DF7-45D0-AC1D-6B33E3BCEB4E}" name="From Party" dataDxfId="30" totalsRowDxfId="19"/>
    <tableColumn id="9" xr3:uid="{92B53B35-90B3-4885-A44E-3B21AE2AB1FE}" name="From Wallet" dataDxfId="29" totalsRowDxfId="18"/>
    <tableColumn id="7" xr3:uid="{24958410-285E-4C6A-817D-DC75B8A760A4}" name="To Party" dataDxfId="28" totalsRowDxfId="17"/>
    <tableColumn id="8" xr3:uid="{85D2C641-C0A4-47A0-A2C0-BFE1F123E8D4}" name="To Wallet" totalsRowFunction="count" dataDxfId="27" totalsRowDxfId="16"/>
  </tableColumns>
  <tableStyleInfo name="Simp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D2976E6-6085-4F69-B7F4-1B0C95A0953D}" name="Table6" displayName="Table6" ref="B3:C16" totalsRowShown="0" headerRowDxfId="76" dataDxfId="75">
  <autoFilter ref="B3:C16" xr:uid="{ECD24347-03DB-48B0-9F94-66F4ED6080DF}"/>
  <tableColumns count="2">
    <tableColumn id="1" xr3:uid="{C2B5F5F5-0025-4B95-9FB4-B8BFA232F70D}" name="Name" dataDxfId="74"/>
    <tableColumn id="2" xr3:uid="{E98DF800-E34D-4F9F-82E5-5CA4EB6F7374}" name="Address" dataDxfId="73"/>
  </tableColumns>
  <tableStyleInfo name="Simp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92F4B9-DE3D-4DE6-89D0-09F5889FA13C}" name="tbCoins" displayName="tbCoins" ref="B2:P20" headerRowDxfId="72" dataDxfId="71">
  <autoFilter ref="B2:P20" xr:uid="{01459388-E3E9-414C-AD04-BE95CEBEDCAB}"/>
  <sortState xmlns:xlrd2="http://schemas.microsoft.com/office/spreadsheetml/2017/richdata2" ref="B3:P20">
    <sortCondition ref="B2:B20"/>
  </sortState>
  <tableColumns count="15">
    <tableColumn id="1" xr3:uid="{658B6C2F-DB7E-440C-B818-EB0B1E1134A1}" name="Coin" totalsRowLabel="Total" dataDxfId="70" totalsRowDxfId="69"/>
    <tableColumn id="11" xr3:uid="{3EC3C63D-B105-4506-9486-E5AD29126A57}" name="Ticker" dataDxfId="68" totalsRowDxfId="67" dataCellStyle="Hyperlink">
      <calculatedColumnFormula>LEFT(tbCoins[[#This Row],[Coin]],IFERROR(FIND(" ",tbCoins[[#This Row],[Coin]])-1,LEN(tbCoins[[#This Row],[Coin]])))</calculatedColumnFormula>
    </tableColumn>
    <tableColumn id="2" xr3:uid="{CDD22057-5070-4436-87A5-0E272FA5FE46}" name="Circulating Supply" dataDxfId="66" totalsRowDxfId="65"/>
    <tableColumn id="3" xr3:uid="{AD993FA0-3E64-4B1A-A6F2-1D0E1D32B818}" name="Curr. Price" dataDxfId="64" totalsRowDxfId="63"/>
    <tableColumn id="4" xr3:uid="{CDD9057E-09A1-4CBE-A388-AE28B8ED6F66}" name="Market Cap" totalsRowFunction="sum" dataDxfId="62" totalsRowDxfId="61">
      <calculatedColumnFormula>tbCoins[[#This Row],[Curr. Price]]*tbCoins[[#This Row],[Circulating Supply]]</calculatedColumnFormula>
    </tableColumn>
    <tableColumn id="8" xr3:uid="{2DED4F60-3E2D-4A3C-BBBB-1FAF5C5CC973}" name="Maximum Supply" dataDxfId="60" totalsRowDxfId="59"/>
    <tableColumn id="6" xr3:uid="{0CCAFAB4-1234-4E95-8D60-BC1CE1D86C29}" name="Potential" dataDxfId="58" totalsRowDxfId="57"/>
    <tableColumn id="5" xr3:uid="{835F325F-B220-4923-A237-D1932A7DD6C6}" name="Max Value at Max Mkt Cap" dataDxfId="56" totalsRowDxfId="55">
      <calculatedColumnFormula>iTotalCap/tbCoins[[#This Row],[Circulating Supply]]/tbCoins[[#This Row],[Potential]]</calculatedColumnFormula>
    </tableColumn>
    <tableColumn id="7" xr3:uid="{96FD862F-E550-48EB-BD91-8AFE6893CE94}" name="% of Max Value" dataDxfId="54" totalsRowDxfId="53" dataCellStyle="Percent">
      <calculatedColumnFormula>tbCoins[[#This Row],[Curr. Price]]/tbCoins[[#This Row],[Max Value at Max Mkt Cap]]</calculatedColumnFormula>
    </tableColumn>
    <tableColumn id="9" xr3:uid="{41115109-EC37-49FA-93F3-643BB034A7A9}" name="1y Velocity" dataDxfId="52" totalsRowDxfId="51" dataCellStyle="Percent"/>
    <tableColumn id="10" xr3:uid="{E08A35AA-AA93-41B9-AA29-E9C1E1A1AB95}" name="1m Velocity" dataDxfId="50" totalsRowDxfId="49" dataCellStyle="Percent"/>
    <tableColumn id="16" xr3:uid="{23518168-1BA3-495E-BBF8-A6B3968E497B}" name="Carbon Footprint" dataDxfId="48" totalsRowDxfId="47"/>
    <tableColumn id="17" xr3:uid="{A4FF0537-EFB9-4C00-B2A4-D7DA99BEB42C}" name="Keywords" dataDxfId="46" totalsRowDxfId="45"/>
    <tableColumn id="13" xr3:uid="{158550BB-6842-4B96-864A-887C54E7EF91}" name="Release Date" dataDxfId="44" totalsRowDxfId="43"/>
    <tableColumn id="14" xr3:uid="{CC575FA9-1121-4A6E-8929-2C0AF36B5A25}" name="Notes" dataDxfId="42" totalsRowDxfId="41"/>
  </tableColumns>
  <tableStyleInfo name="Simp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623088-8864-47A2-9FA9-6966F36106C1}" name="tbConsensusAlgorithms" displayName="tbConsensusAlgorithms" ref="B25:D32" totalsRowShown="0">
  <autoFilter ref="B25:D32" xr:uid="{0FC05F6C-0118-4B7D-B489-89C727D14D07}"/>
  <tableColumns count="3">
    <tableColumn id="1" xr3:uid="{C599EC50-0E9B-43EC-8167-C87C1D19B6F7}" name="Algorithm" dataDxfId="40"/>
    <tableColumn id="2" xr3:uid="{BF955320-D8DF-4D5C-B271-95B856291C45}" name="Column1" dataDxfId="39"/>
    <tableColumn id="3" xr3:uid="{C71F8477-2B74-4B98-AC41-43B158B0B040}" name="Short name" dataDxfId="38"/>
  </tableColumns>
  <tableStyleInfo name="Simp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97980E5-7946-4C1A-B163-B09BA6DB01E9}">
  <we:reference id="wa104381695" version="1.0.10.0" store="en-US" storeType="OMEX"/>
  <we:alternateReferences>
    <we:reference id="wa104381695" version="1.0.10.0"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_xldudf_CS_TIME</we:customFunctionIds>
        <we:customFunctionIds>_xldudf_CS_ATH</we:customFunctionIds>
        <we:customFunctionIds>_xldudf_CS_ENDPOINTS</we:customFunctionIds>
        <we:customFunctionIds>_xldudf_CS_EXCHANGES</we:customFunctionIds>
        <we:customFunctionIds>_xldudf_CS_EXRATE</we:customFunctionIds>
        <we:customFunctionIds>_xldudf_CS_OHLCV</we:customFunctionIds>
        <we:customFunctionIds>_xldudf_CS_ORDERBOOKS</we:customFunctionIds>
        <we:customFunctionIds>_xldudf_CS_PARAMETERS</we:customFunctionIds>
        <we:customFunctionIds>_xldudf_CS_PRICE</we:customFunctionIds>
        <we:customFunctionIds>_xldudf_CS_PRICEA</we:customFunctionIds>
        <we:customFunctionIds>_xldudf_CS_PROVIDERS</we:customFunctionIds>
        <we:customFunctionIds>_xldudf_CS_QUERY</we:customFunctionIds>
        <we:customFunctionIds>_xldudf_CS_QUERYA</we:customFunctionIds>
        <we:customFunctionIds>_xldudf_CS_SYMBOLS</we:customFunctionIds>
        <we:customFunctionIds>_xldudf_CS_TA</we:customFunctionIds>
        <we:customFunctionIds>_xldudf_CS_TAHIS</we:customFunctionIds>
        <we:customFunctionIds>_xldudf_CS_TRADES</we:customFunctionIds>
        <we:customFunctionIds>_xldudf_CS_ORDERBOOKSL3A</we:customFunctionIds>
        <we:customFunctionIds>_xldudf_CS_OHLCVA</we:customFunctionIds>
        <we:customFunctionIds>_xldudf_CS_ADDRESS</we:customFunctionIds>
        <we:customFunctionIds>_xldudf_CS_CHAIN</we:customFunctionIds>
        <we:customFunctionIds>_xldudf_CS_CLUSTERS</we:customFunctionIds>
        <we:customFunctionIds>_xldudf_CS_IDEAS</we:customFunctionIds>
        <we:customFunctionIds>_xldudf_CS_METRICS</we:customFunctionIds>
        <we:customFunctionIds>_xldudf_CS_AD</we:customFunctionIds>
        <we:customFunctionIds>_xldudf_CS_ADOSC</we:customFunctionIds>
        <we:customFunctionIds>_xldudf_CS_ADX</we:customFunctionIds>
        <we:customFunctionIds>_xldudf_CS_APO</we:customFunctionIds>
        <we:customFunctionIds>_xldudf_CS_AROON</we:customFunctionIds>
        <we:customFunctionIds>_xldudf_CS_AROONOSC</we:customFunctionIds>
        <we:customFunctionIds>_xldudf_CS_ATR</we:customFunctionIds>
        <we:customFunctionIds>_xldudf_CS_BBANDS</we:customFunctionIds>
        <we:customFunctionIds>_xldudf_CS_BETA</we:customFunctionIds>
        <we:customFunctionIds>_xldudf_CS_CCI</we:customFunctionIds>
        <we:customFunctionIds>_xldudf_CS_CDLINNECK</we:customFunctionIds>
        <we:customFunctionIds>_xldudf_CS_CDLMARUBOZU</we:customFunctionIds>
        <we:customFunctionIds>_xldudf_CS_CORREL</we:customFunctionIds>
        <we:customFunctionIds>_xldudf_CS_DEMA</we:customFunctionIds>
        <we:customFunctionIds>_xldudf_CS_DX</we:customFunctionIds>
        <we:customFunctionIds>_xldudf_CS_EMA</we:customFunctionIds>
        <we:customFunctionIds>_xldudf_CS_LINEARREG</we:customFunctionIds>
        <we:customFunctionIds>_xldudf_CS_LINEARREGANGLE</we:customFunctionIds>
        <we:customFunctionIds>_xldudf_CS_LINEARREGINTERCEPT</we:customFunctionIds>
        <we:customFunctionIds>_xldudf_CS_LINEARREGSLOPE</we:customFunctionIds>
        <we:customFunctionIds>_xldudf_CS_MACD</we:customFunctionIds>
        <we:customFunctionIds>_xldudf_CS_MACDEXT</we:customFunctionIds>
        <we:customFunctionIds>_xldudf_CS_MACDFIX</we:customFunctionIds>
        <we:customFunctionIds>_xldudf_CS_MFI</we:customFunctionIds>
        <we:customFunctionIds>_xldudf_CS_MOM</we:customFunctionIds>
        <we:customFunctionIds>_xldudf_CS_NATR</we:customFunctionIds>
        <we:customFunctionIds>_xldudf_CS_OBV</we:customFunctionIds>
        <we:customFunctionIds>_xldudf_CS_ROC</we:customFunctionIds>
        <we:customFunctionIds>_xldudf_CS_ROCP</we:customFunctionIds>
        <we:customFunctionIds>_xldudf_CS_ROCR</we:customFunctionIds>
        <we:customFunctionIds>_xldudf_CS_RSI</we:customFunctionIds>
        <we:customFunctionIds>_xldudf_CS_SAREXT</we:customFunctionIds>
        <we:customFunctionIds>_xldudf_CS_SMA</we:customFunctionIds>
        <we:customFunctionIds>_xldudf_CS_STDDEV</we:customFunctionIds>
        <we:customFunctionIds>_xldudf_CS_STOCH</we:customFunctionIds>
        <we:customFunctionIds>_xldudf_CS_T3</we:customFunctionIds>
        <we:customFunctionIds>_xldudf_CS_TEMA</we:customFunctionIds>
        <we:customFunctionIds>_xldudf_CS_TRANGE</we:customFunctionIds>
        <we:customFunctionIds>_xldudf_CS_TRIX</we:customFunctionIds>
        <we:customFunctionIds>_xldudf_CS_TSF</we:customFunctionIds>
        <we:customFunctionIds>_xldudf_CS_ULTOSC</we:customFunctionIds>
        <we:customFunctionIds>_xldudf_CS_VARI</we:customFunctionIds>
        <we:customFunctionIds>_xldudf_CS_WCLPRICE</we:customFunctionIds>
        <we:customFunctionIds>_xldudf_CS_WILLR</we:customFunctionIds>
        <we:customFunctionIds>_xldudf_CS_WMA</we:customFunctionIds>
        <we:customFunctionIds>_xldudf_CS_STATUS</we:customFunctionIds>
        <we:customFunctionIds>_xldudf_CS_LOGIN</we:customFunctionIds>
        <we:customFunctionIds>_xldudf_CS_TAMETADATA</we:customFunctionIds>
        <we:customFunctionIds>_xldudf_CS_FLOOR</we:customFunctionIds>
        <we:customFunctionIds>_xldudf_CS_LN</we:customFunctionIds>
        <we:customFunctionIds>_xldudf_CS_EXP</we:customFunctionIds>
        <we:customFunctionIds>_xldudf_CS_FIELDS</we:customFunctionIds>
        <we:customFunctionIds>_xldudf_CS_TRADESA</we:customFunctionIds>
        <we:customFunctionIds>_xldudf_CS_ORDERBOOKSA</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024D6-7589-4CB3-B0EB-14FF5287A2DA}">
  <dimension ref="B1:Q13"/>
  <sheetViews>
    <sheetView showGridLines="0" tabSelected="1" workbookViewId="0">
      <selection activeCell="E5" sqref="E5"/>
    </sheetView>
  </sheetViews>
  <sheetFormatPr defaultColWidth="9.109375" defaultRowHeight="30" customHeight="1" x14ac:dyDescent="0.3"/>
  <cols>
    <col min="1" max="1" width="1.33203125" style="1" customWidth="1"/>
    <col min="2" max="2" width="20.88671875" style="1" customWidth="1"/>
    <col min="3" max="3" width="11.33203125" style="1" hidden="1" customWidth="1"/>
    <col min="4" max="10" width="10.6640625" style="5" customWidth="1"/>
    <col min="11" max="11" width="1.109375" style="5" customWidth="1"/>
    <col min="12" max="13" width="10.33203125" style="1" customWidth="1"/>
    <col min="14" max="14" width="12.109375" style="1" bestFit="1" customWidth="1"/>
    <col min="15" max="15" width="10.33203125" style="1" customWidth="1"/>
    <col min="16" max="17" width="11.33203125" style="1" customWidth="1"/>
    <col min="18" max="16384" width="9.109375" style="1"/>
  </cols>
  <sheetData>
    <row r="1" spans="2:17" ht="7.5" customHeight="1" x14ac:dyDescent="0.3">
      <c r="B1" s="3"/>
      <c r="C1" s="3"/>
      <c r="D1" s="4"/>
      <c r="E1" s="4"/>
      <c r="F1" s="4"/>
      <c r="G1" s="4"/>
      <c r="H1" s="4"/>
      <c r="I1" s="4"/>
      <c r="J1" s="4"/>
      <c r="K1" s="4"/>
    </row>
    <row r="2" spans="2:17" ht="30" customHeight="1" x14ac:dyDescent="0.3">
      <c r="B2" s="55" t="s">
        <v>103</v>
      </c>
      <c r="C2" s="3"/>
      <c r="D2" s="4"/>
      <c r="E2" s="4"/>
      <c r="F2" s="4"/>
      <c r="G2" s="4"/>
      <c r="H2" s="4"/>
      <c r="I2" s="4"/>
      <c r="J2" s="4"/>
      <c r="K2" s="4"/>
    </row>
    <row r="3" spans="2:17" ht="30" customHeight="1" x14ac:dyDescent="0.3">
      <c r="B3" s="3" t="s">
        <v>10</v>
      </c>
      <c r="C3" s="27" t="s">
        <v>46</v>
      </c>
      <c r="D3" s="4" t="s">
        <v>3</v>
      </c>
      <c r="E3" s="4" t="s">
        <v>11</v>
      </c>
      <c r="F3" s="4" t="s">
        <v>9</v>
      </c>
      <c r="G3" s="4" t="s">
        <v>15</v>
      </c>
      <c r="H3" s="4" t="s">
        <v>12</v>
      </c>
      <c r="I3" s="4" t="s">
        <v>13</v>
      </c>
      <c r="J3" s="4" t="s">
        <v>14</v>
      </c>
      <c r="K3" s="26" t="s">
        <v>41</v>
      </c>
      <c r="L3" s="24" t="s">
        <v>39</v>
      </c>
      <c r="M3" s="42" t="s">
        <v>52</v>
      </c>
      <c r="N3" s="24" t="s">
        <v>40</v>
      </c>
      <c r="O3" s="45" t="s">
        <v>57</v>
      </c>
      <c r="P3" s="45" t="s">
        <v>58</v>
      </c>
      <c r="Q3" s="45" t="s">
        <v>59</v>
      </c>
    </row>
    <row r="4" spans="2:17" ht="30" customHeight="1" x14ac:dyDescent="0.3">
      <c r="B4" s="41" t="s">
        <v>22</v>
      </c>
      <c r="C4" s="19" t="str">
        <f>LEFT(tbBalances[[#This Row],[Coin]],IFERROR(FIND(" ",tbBalances[[#This Row],[Coin]])-1,LEN(tbBalances[[#This Row],[Coin]])))</f>
        <v>ADA</v>
      </c>
      <c r="D4" s="5">
        <f>SUMIFS(tbTransactions[Qty],tbTransactions[Currency],tbBalances[[#This Row],[Coin]],tbTransactions[Price],"&lt;&gt;""Transfer""")</f>
        <v>1475.2628629999999</v>
      </c>
      <c r="E4" s="7" cm="1">
        <f t="array" ref="E4">_xldudf_CS_PRICE(tbBalances[[#This Row],[Ticker]],"CAD")</f>
        <v>2.7206663848618233</v>
      </c>
      <c r="F4" s="7">
        <f>SUMIFS(tbTransactions[Total],tbTransactions[Currency],tbBalances[[#This Row],[Coin]])</f>
        <v>3096.875</v>
      </c>
      <c r="G4" s="6">
        <f>tbBalances[[#This Row],[Book Value]]/tbBalances[[#This Row],[Qty]]</f>
        <v>2.0992021677427668</v>
      </c>
      <c r="H4" s="7">
        <f>tbBalances[[#This Row],[Qty]]*tbBalances[[#This Row],[Curr. Price]]</f>
        <v>4013.6980801991131</v>
      </c>
      <c r="I4" s="8">
        <f>tbBalances[[#This Row],[Current Value]]-tbBalances[[#This Row],[Book Value]]</f>
        <v>916.82308019911306</v>
      </c>
      <c r="J4" s="9">
        <f>tbBalances[[#This Row],[Gain/Loss]]/tbBalances[[#This Row],[Book Value]]</f>
        <v>0.29604781600778624</v>
      </c>
      <c r="K4" s="9"/>
      <c r="L4" s="25">
        <v>44322</v>
      </c>
      <c r="M4" s="43">
        <f ca="1">(TODAY()-tbBalances[[#This Row],[Entry date]]+1)</f>
        <v>10</v>
      </c>
      <c r="N4" s="9">
        <f ca="1">tbBalances[[#This Row],[Gain/Loss %]]/(TODAY()-tbBalances[[#This Row],[Entry date]]+1)</f>
        <v>2.9604781600778625E-2</v>
      </c>
      <c r="O4" s="46">
        <f ca="1">tbBalances[[#This Row],[Gain/Loss]]/tbBalances[[#This Row],[Days in position]]</f>
        <v>91.682308019911304</v>
      </c>
      <c r="P4" s="9">
        <f ca="1">tbBalances[[#This Row],[Daily Avg %]]*365</f>
        <v>10.805745284284198</v>
      </c>
      <c r="Q4" s="46">
        <f ca="1">tbBalances[[#This Row],[Daily Avg $]]*365</f>
        <v>33464.042427267625</v>
      </c>
    </row>
    <row r="5" spans="2:17" ht="30" customHeight="1" x14ac:dyDescent="0.3">
      <c r="B5" s="28" t="s">
        <v>49</v>
      </c>
      <c r="C5" s="38" t="str">
        <f>LEFT(tbBalances[[#This Row],[Coin]],IFERROR(FIND(" ",tbBalances[[#This Row],[Coin]])-1,LEN(tbBalances[[#This Row],[Coin]])))</f>
        <v>ETH</v>
      </c>
      <c r="D5" s="5">
        <f>SUMIFS(tbTransactions[Qty],tbTransactions[Currency],tbBalances[[#This Row],[Coin]],tbTransactions[Price],"&lt;&gt;""Transfer""")</f>
        <v>2.3731100099999995</v>
      </c>
      <c r="E5" s="7" cm="1">
        <f t="array" ref="E5">_xldudf_CS_PRICE(tbBalances[[#This Row],[Ticker]],"CAD")</f>
        <v>4524.2700710139306</v>
      </c>
      <c r="F5" s="7">
        <f>SUMIFS(tbTransactions[Total],tbTransactions[Currency],tbBalances[[#This Row],[Coin]])</f>
        <v>10895.511317005401</v>
      </c>
      <c r="G5" s="6">
        <f>tbBalances[[#This Row],[Book Value]]/tbBalances[[#This Row],[Qty]]</f>
        <v>4591.2373514472692</v>
      </c>
      <c r="H5" s="7">
        <f>tbBalances[[#This Row],[Qty]]*tbBalances[[#This Row],[Curr. Price]]</f>
        <v>10736.590593466568</v>
      </c>
      <c r="I5" s="8">
        <f>tbBalances[[#This Row],[Current Value]]-tbBalances[[#This Row],[Book Value]]</f>
        <v>-158.92072353883304</v>
      </c>
      <c r="J5" s="9">
        <f>tbBalances[[#This Row],[Gain/Loss]]/tbBalances[[#This Row],[Book Value]]</f>
        <v>-1.458588944704175E-2</v>
      </c>
      <c r="K5" s="9"/>
      <c r="L5" s="25">
        <v>44321</v>
      </c>
      <c r="M5" s="43">
        <f ca="1">(TODAY()-tbBalances[[#This Row],[Entry date]]+1)</f>
        <v>11</v>
      </c>
      <c r="N5" s="9">
        <f ca="1">tbBalances[[#This Row],[Gain/Loss %]]/(TODAY()-tbBalances[[#This Row],[Entry date]]+1)</f>
        <v>-1.3259899497310682E-3</v>
      </c>
      <c r="O5" s="46">
        <f ca="1">tbBalances[[#This Row],[Gain/Loss]]/tbBalances[[#This Row],[Days in position]]</f>
        <v>-14.447338503530277</v>
      </c>
      <c r="P5" s="9">
        <f ca="1">tbBalances[[#This Row],[Daily Avg %]]*365</f>
        <v>-0.48398633165183991</v>
      </c>
      <c r="Q5" s="46">
        <f ca="1">tbBalances[[#This Row],[Daily Avg $]]*365</f>
        <v>-5273.2785537885511</v>
      </c>
    </row>
    <row r="6" spans="2:17" ht="30" customHeight="1" x14ac:dyDescent="0.3">
      <c r="B6" s="31" t="s">
        <v>48</v>
      </c>
      <c r="C6" s="39" t="str">
        <f>LEFT(tbBalances[[#This Row],[Coin]],IFERROR(FIND(" ",tbBalances[[#This Row],[Coin]])-1,LEN(tbBalances[[#This Row],[Coin]])))</f>
        <v>EOS</v>
      </c>
      <c r="D6" s="5">
        <f>SUMIFS(tbTransactions[Qty],tbTransactions[Currency],tbBalances[[#This Row],[Coin]],tbTransactions[Price],"&lt;&gt;""Transfer""")</f>
        <v>133.82482593999998</v>
      </c>
      <c r="E6" s="7" cm="1">
        <f t="array" ref="E6">_xldudf_CS_PRICE(tbBalances[[#This Row],[Ticker]],"CAD")</f>
        <v>12.518178436691226</v>
      </c>
      <c r="F6" s="7">
        <f>SUMIFS(tbTransactions[Total],tbTransactions[Currency],tbBalances[[#This Row],[Coin]])</f>
        <v>1491.001</v>
      </c>
      <c r="G6" s="6">
        <f>tbBalances[[#This Row],[Book Value]]/tbBalances[[#This Row],[Qty]]</f>
        <v>11.141437991994747</v>
      </c>
      <c r="H6" s="7">
        <f>tbBalances[[#This Row],[Qty]]*tbBalances[[#This Row],[Curr. Price]]</f>
        <v>1675.2430503760645</v>
      </c>
      <c r="I6" s="8">
        <f>tbBalances[[#This Row],[Current Value]]-tbBalances[[#This Row],[Book Value]]</f>
        <v>184.24205037606453</v>
      </c>
      <c r="J6" s="9">
        <f>tbBalances[[#This Row],[Gain/Loss]]/tbBalances[[#This Row],[Book Value]]</f>
        <v>0.12356936740891826</v>
      </c>
      <c r="K6" s="9"/>
      <c r="L6" s="25">
        <v>44306</v>
      </c>
      <c r="M6" s="43">
        <f ca="1">(TODAY()-tbBalances[[#This Row],[Entry date]]+1)</f>
        <v>26</v>
      </c>
      <c r="N6" s="9">
        <f ca="1">tbBalances[[#This Row],[Gain/Loss %]]/(TODAY()-tbBalances[[#This Row],[Entry date]]+1)</f>
        <v>4.752667977266087E-3</v>
      </c>
      <c r="O6" s="46">
        <f ca="1">tbBalances[[#This Row],[Gain/Loss]]/tbBalances[[#This Row],[Days in position]]</f>
        <v>7.0862327067717121</v>
      </c>
      <c r="P6" s="9">
        <f ca="1">tbBalances[[#This Row],[Daily Avg %]]*365</f>
        <v>1.7347238117021218</v>
      </c>
      <c r="Q6" s="46">
        <f ca="1">tbBalances[[#This Row],[Daily Avg $]]*365</f>
        <v>2586.474937971675</v>
      </c>
    </row>
    <row r="7" spans="2:17" ht="30" customHeight="1" x14ac:dyDescent="0.3">
      <c r="B7" s="40" t="s">
        <v>8</v>
      </c>
      <c r="C7" s="5" t="str">
        <f>LEFT(tbBalances[[#This Row],[Coin]],IFERROR(FIND(" ",tbBalances[[#This Row],[Coin]])-1,LEN(tbBalances[[#This Row],[Coin]])))</f>
        <v>XLM</v>
      </c>
      <c r="D7" s="5">
        <f>SUMIFS(tbTransactions[Qty],tbTransactions[Currency],tbBalances[[#This Row],[Coin]],tbTransactions[Price],"&lt;&gt;""Transfer""")</f>
        <v>1518.1592756999999</v>
      </c>
      <c r="E7" s="7" cm="1">
        <f t="array" ref="E7">_xldudf_CS_PRICE(tbBalances[[#This Row],[Ticker]],"CAD")</f>
        <v>0.82680962151397153</v>
      </c>
      <c r="F7" s="7">
        <f>SUMIFS(tbTransactions[Total],tbTransactions[Currency],tbBalances[[#This Row],[Coin]])</f>
        <v>1198</v>
      </c>
      <c r="G7" s="6">
        <f>tbBalances[[#This Row],[Book Value]]/tbBalances[[#This Row],[Qty]]</f>
        <v>0.78911351343397129</v>
      </c>
      <c r="H7" s="7">
        <f>tbBalances[[#This Row],[Qty]]*tbBalances[[#This Row],[Curr. Price]]</f>
        <v>1255.228696139442</v>
      </c>
      <c r="I7" s="8">
        <f>tbBalances[[#This Row],[Current Value]]-tbBalances[[#This Row],[Book Value]]</f>
        <v>57.228696139442036</v>
      </c>
      <c r="J7" s="9">
        <f>tbBalances[[#This Row],[Gain/Loss]]/tbBalances[[#This Row],[Book Value]]</f>
        <v>4.7770197111387344E-2</v>
      </c>
      <c r="K7" s="9"/>
      <c r="L7" s="25">
        <v>44318</v>
      </c>
      <c r="M7" s="43">
        <f ca="1">(TODAY()-tbBalances[[#This Row],[Entry date]]+1)</f>
        <v>14</v>
      </c>
      <c r="N7" s="9">
        <f ca="1">tbBalances[[#This Row],[Gain/Loss %]]/(TODAY()-tbBalances[[#This Row],[Entry date]]+1)</f>
        <v>3.4121569365276674E-3</v>
      </c>
      <c r="O7" s="46">
        <f ca="1">tbBalances[[#This Row],[Gain/Loss]]/tbBalances[[#This Row],[Days in position]]</f>
        <v>4.0877640099601456</v>
      </c>
      <c r="P7" s="9">
        <f ca="1">tbBalances[[#This Row],[Daily Avg %]]*365</f>
        <v>1.2454372818325987</v>
      </c>
      <c r="Q7" s="46">
        <f ca="1">tbBalances[[#This Row],[Daily Avg $]]*365</f>
        <v>1492.0338636354531</v>
      </c>
    </row>
    <row r="8" spans="2:17" ht="30" customHeight="1" x14ac:dyDescent="0.3">
      <c r="B8" s="33" t="s">
        <v>5</v>
      </c>
      <c r="C8" s="33"/>
      <c r="D8" s="34"/>
      <c r="E8" s="34"/>
      <c r="F8" s="35">
        <f>SUBTOTAL(109,tbBalances[Book Value])</f>
        <v>16681.387317005399</v>
      </c>
      <c r="G8" s="34"/>
      <c r="H8" s="35">
        <f>SUBTOTAL(109,tbBalances[Current Value])</f>
        <v>17680.760420181188</v>
      </c>
      <c r="I8" s="36">
        <f>SUBTOTAL(109,tbBalances[Gain/Loss])</f>
        <v>999.37310317578658</v>
      </c>
      <c r="J8" s="37">
        <f>tbBalances[[#Totals],[Gain/Loss]]/tbBalances[[#Totals],[Book Value]]</f>
        <v>5.9909471807359935E-2</v>
      </c>
      <c r="K8" s="37"/>
      <c r="L8" s="25">
        <f>MIN(tbBalances[Entry date])</f>
        <v>44306</v>
      </c>
      <c r="M8" s="43">
        <f ca="1">MAX(tbBalances[Days in position])</f>
        <v>26</v>
      </c>
      <c r="N8" s="9">
        <f ca="1">tbBalances[[#Totals],[Gain/Loss %]]/tbBalances[[#Totals],[Days in position]]</f>
        <v>2.3042104541292283E-3</v>
      </c>
      <c r="O8" s="36">
        <f ca="1">SUBTOTAL(109,tbBalances[Daily Avg $])</f>
        <v>88.408966233112878</v>
      </c>
      <c r="P8" s="9"/>
      <c r="Q8" s="36">
        <f ca="1">SUBTOTAL(109,tbBalances[Annualized $])</f>
        <v>32269.272675086202</v>
      </c>
    </row>
    <row r="9" spans="2:17" ht="30" customHeight="1" x14ac:dyDescent="0.3">
      <c r="B9" s="2"/>
      <c r="C9" s="2"/>
      <c r="H9" s="6"/>
      <c r="I9" s="7"/>
    </row>
    <row r="10" spans="2:17" ht="30" customHeight="1" x14ac:dyDescent="0.3">
      <c r="B10" s="56" t="s">
        <v>100</v>
      </c>
      <c r="C10" s="2"/>
      <c r="D10" s="54"/>
      <c r="H10" s="6"/>
      <c r="I10" s="7"/>
    </row>
    <row r="11" spans="2:17" ht="30" customHeight="1" x14ac:dyDescent="0.3">
      <c r="B11" s="53" t="s">
        <v>10</v>
      </c>
      <c r="C11" s="53" t="s">
        <v>46</v>
      </c>
      <c r="D11" s="54" t="s">
        <v>101</v>
      </c>
      <c r="E11" s="54" t="s">
        <v>102</v>
      </c>
      <c r="H11" s="6"/>
      <c r="I11" s="7"/>
    </row>
    <row r="12" spans="2:17" ht="30" customHeight="1" x14ac:dyDescent="0.3">
      <c r="B12" s="28" t="s">
        <v>49</v>
      </c>
      <c r="C12" s="2" t="str">
        <f>LEFT(Table5[[#This Row],[Coin]],IFERROR(FIND(" ",Table5[[#This Row],[Coin]])-1,LEN(Table5[[#This Row],[Coin]])))</f>
        <v>ETH</v>
      </c>
      <c r="D12" s="5">
        <v>3.5000000000000003E-2</v>
      </c>
      <c r="E12" s="7" cm="1">
        <f t="array" ref="E12">_xldudf_CS_PRICE(Table5[[#This Row],[Ticker]],"CAD")*Table5[[#This Row],[Amount]]</f>
        <v>168.68162364656834</v>
      </c>
      <c r="H12" s="6"/>
      <c r="I12" s="7"/>
    </row>
    <row r="13" spans="2:17" ht="30" customHeight="1" x14ac:dyDescent="0.3">
      <c r="B13" s="2"/>
      <c r="C13" s="2"/>
      <c r="H13" s="6"/>
      <c r="I13" s="7"/>
    </row>
  </sheetData>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E5D3-D64B-4C6C-BBD3-4C6514E54E1E}">
  <dimension ref="C1:M44"/>
  <sheetViews>
    <sheetView showGridLines="0" workbookViewId="0">
      <selection activeCell="G31" sqref="G31"/>
    </sheetView>
  </sheetViews>
  <sheetFormatPr defaultColWidth="9.109375" defaultRowHeight="30" customHeight="1" x14ac:dyDescent="0.3"/>
  <cols>
    <col min="1" max="2" width="1.33203125" style="1" customWidth="1"/>
    <col min="3" max="3" width="9.21875" style="5" customWidth="1"/>
    <col min="4" max="4" width="11.33203125" style="1" customWidth="1"/>
    <col min="5" max="5" width="15.5546875" style="1" customWidth="1"/>
    <col min="6" max="7" width="9.109375" style="1"/>
    <col min="8" max="8" width="12.44140625" style="1" customWidth="1"/>
    <col min="9" max="9" width="9.44140625" style="1" bestFit="1" customWidth="1"/>
    <col min="10" max="10" width="14.88671875" style="1" customWidth="1"/>
    <col min="11" max="11" width="33.33203125" style="1" customWidth="1"/>
    <col min="12" max="12" width="14.88671875" style="1" customWidth="1"/>
    <col min="13" max="13" width="33.33203125" style="1" customWidth="1"/>
    <col min="14" max="15" width="10.33203125" style="1" customWidth="1"/>
    <col min="16" max="16384" width="9.109375" style="1"/>
  </cols>
  <sheetData>
    <row r="1" spans="3:13" ht="7.5" customHeight="1" x14ac:dyDescent="0.3"/>
    <row r="2" spans="3:13" ht="30" customHeight="1" x14ac:dyDescent="0.3">
      <c r="C2" s="63" t="s">
        <v>143</v>
      </c>
      <c r="D2" s="1" t="s">
        <v>6</v>
      </c>
      <c r="E2" s="1" t="s">
        <v>1</v>
      </c>
      <c r="F2" s="1" t="s">
        <v>2</v>
      </c>
      <c r="G2" s="1" t="s">
        <v>3</v>
      </c>
      <c r="H2" s="1" t="s">
        <v>4</v>
      </c>
      <c r="I2" s="1" t="s">
        <v>5</v>
      </c>
      <c r="J2" s="59" t="s">
        <v>115</v>
      </c>
      <c r="K2" s="59" t="s">
        <v>118</v>
      </c>
      <c r="L2" s="59" t="s">
        <v>116</v>
      </c>
      <c r="M2" s="59" t="s">
        <v>117</v>
      </c>
    </row>
    <row r="3" spans="3:13" s="67" customFormat="1" ht="30" hidden="1" customHeight="1" x14ac:dyDescent="0.3">
      <c r="C3" s="64">
        <v>1</v>
      </c>
      <c r="D3" s="65">
        <v>44306</v>
      </c>
      <c r="E3" s="66" t="s">
        <v>113</v>
      </c>
      <c r="F3" s="67" t="s">
        <v>114</v>
      </c>
      <c r="H3" s="68"/>
      <c r="I3" s="69">
        <v>400</v>
      </c>
      <c r="J3" s="70" t="s">
        <v>119</v>
      </c>
      <c r="K3" s="70" t="s">
        <v>120</v>
      </c>
      <c r="L3" s="71" t="s">
        <v>121</v>
      </c>
      <c r="M3" s="71"/>
    </row>
    <row r="4" spans="3:13" s="67" customFormat="1" ht="30" hidden="1" customHeight="1" x14ac:dyDescent="0.3">
      <c r="C4" s="64"/>
      <c r="D4" s="65">
        <v>44306</v>
      </c>
      <c r="E4" s="66" t="s">
        <v>48</v>
      </c>
      <c r="F4" s="67" t="s">
        <v>0</v>
      </c>
      <c r="G4" s="67">
        <v>5</v>
      </c>
      <c r="H4" s="68">
        <v>8.5</v>
      </c>
      <c r="I4" s="69">
        <v>42.5</v>
      </c>
      <c r="J4" s="70" t="s">
        <v>63</v>
      </c>
      <c r="K4" s="71" t="s">
        <v>121</v>
      </c>
      <c r="L4" s="71" t="s">
        <v>137</v>
      </c>
      <c r="M4" s="72"/>
    </row>
    <row r="5" spans="3:13" s="67" customFormat="1" ht="30" hidden="1" customHeight="1" x14ac:dyDescent="0.3">
      <c r="C5" s="64"/>
      <c r="D5" s="65">
        <v>44306</v>
      </c>
      <c r="E5" s="66" t="s">
        <v>48</v>
      </c>
      <c r="F5" s="67" t="s">
        <v>0</v>
      </c>
      <c r="G5" s="67">
        <v>1.4</v>
      </c>
      <c r="H5" s="68">
        <v>8.5</v>
      </c>
      <c r="I5" s="69">
        <v>11.9</v>
      </c>
      <c r="J5" s="70" t="s">
        <v>63</v>
      </c>
      <c r="K5" s="71" t="s">
        <v>121</v>
      </c>
      <c r="L5" s="71" t="s">
        <v>137</v>
      </c>
      <c r="M5" s="72"/>
    </row>
    <row r="6" spans="3:13" s="67" customFormat="1" ht="30" hidden="1" customHeight="1" x14ac:dyDescent="0.3">
      <c r="C6" s="64"/>
      <c r="D6" s="65">
        <v>44306</v>
      </c>
      <c r="E6" s="66" t="s">
        <v>48</v>
      </c>
      <c r="F6" s="67" t="s">
        <v>0</v>
      </c>
      <c r="G6" s="67">
        <v>5.5</v>
      </c>
      <c r="H6" s="68">
        <v>8.5</v>
      </c>
      <c r="I6" s="69">
        <v>46.75</v>
      </c>
      <c r="J6" s="70" t="s">
        <v>63</v>
      </c>
      <c r="K6" s="71" t="s">
        <v>121</v>
      </c>
      <c r="L6" s="71" t="s">
        <v>137</v>
      </c>
      <c r="M6" s="72"/>
    </row>
    <row r="7" spans="3:13" s="67" customFormat="1" ht="30" hidden="1" customHeight="1" x14ac:dyDescent="0.3">
      <c r="C7" s="64"/>
      <c r="D7" s="65">
        <v>44306</v>
      </c>
      <c r="E7" s="66" t="s">
        <v>48</v>
      </c>
      <c r="F7" s="67" t="s">
        <v>0</v>
      </c>
      <c r="G7" s="67">
        <v>6.7</v>
      </c>
      <c r="H7" s="68">
        <v>8.5</v>
      </c>
      <c r="I7" s="69">
        <v>56.95</v>
      </c>
      <c r="J7" s="70" t="s">
        <v>63</v>
      </c>
      <c r="K7" s="71" t="s">
        <v>121</v>
      </c>
      <c r="L7" s="71" t="s">
        <v>137</v>
      </c>
      <c r="M7" s="72"/>
    </row>
    <row r="8" spans="3:13" s="67" customFormat="1" ht="30" hidden="1" customHeight="1" x14ac:dyDescent="0.3">
      <c r="C8" s="64"/>
      <c r="D8" s="65">
        <v>44307</v>
      </c>
      <c r="E8" s="66" t="s">
        <v>48</v>
      </c>
      <c r="F8" s="67" t="s">
        <v>0</v>
      </c>
      <c r="G8" s="67">
        <v>27.4</v>
      </c>
      <c r="H8" s="68">
        <v>8.5</v>
      </c>
      <c r="I8" s="69">
        <v>232.9</v>
      </c>
      <c r="J8" s="70" t="s">
        <v>63</v>
      </c>
      <c r="K8" s="71" t="s">
        <v>121</v>
      </c>
      <c r="L8" s="71" t="s">
        <v>137</v>
      </c>
      <c r="M8" s="72"/>
    </row>
    <row r="9" spans="3:13" s="67" customFormat="1" ht="30" hidden="1" customHeight="1" x14ac:dyDescent="0.3">
      <c r="C9" s="64"/>
      <c r="D9" s="65">
        <v>44318</v>
      </c>
      <c r="E9" s="66" t="s">
        <v>113</v>
      </c>
      <c r="F9" s="67" t="s">
        <v>114</v>
      </c>
      <c r="H9" s="68"/>
      <c r="I9" s="69">
        <v>100</v>
      </c>
      <c r="J9" s="70" t="s">
        <v>119</v>
      </c>
      <c r="K9" s="70" t="s">
        <v>120</v>
      </c>
      <c r="L9" s="71" t="s">
        <v>121</v>
      </c>
      <c r="M9" s="71" t="s">
        <v>121</v>
      </c>
    </row>
    <row r="10" spans="3:13" s="67" customFormat="1" ht="30" hidden="1" customHeight="1" x14ac:dyDescent="0.3">
      <c r="C10" s="64"/>
      <c r="D10" s="65">
        <v>44318</v>
      </c>
      <c r="E10" s="67" t="s">
        <v>7</v>
      </c>
      <c r="F10" s="67" t="s">
        <v>0</v>
      </c>
      <c r="G10" s="67">
        <v>50.527660349999998</v>
      </c>
      <c r="H10" s="68">
        <v>1.976</v>
      </c>
      <c r="I10" s="69">
        <v>99.866</v>
      </c>
      <c r="J10" s="70" t="s">
        <v>121</v>
      </c>
      <c r="K10" s="69"/>
      <c r="L10" s="76" t="s">
        <v>128</v>
      </c>
      <c r="M10" s="72"/>
    </row>
    <row r="11" spans="3:13" s="67" customFormat="1" ht="30" hidden="1" customHeight="1" x14ac:dyDescent="0.3">
      <c r="C11" s="64"/>
      <c r="D11" s="65">
        <v>44318</v>
      </c>
      <c r="E11" s="66" t="s">
        <v>48</v>
      </c>
      <c r="F11" s="67" t="s">
        <v>0</v>
      </c>
      <c r="G11" s="67">
        <v>5.4</v>
      </c>
      <c r="H11" s="68">
        <v>8.1880000000000006</v>
      </c>
      <c r="I11" s="69">
        <v>44.213999999999999</v>
      </c>
      <c r="J11" s="70" t="s">
        <v>121</v>
      </c>
      <c r="K11" s="69"/>
      <c r="L11" s="71" t="s">
        <v>137</v>
      </c>
      <c r="M11" s="72"/>
    </row>
    <row r="12" spans="3:13" s="67" customFormat="1" ht="30" hidden="1" customHeight="1" x14ac:dyDescent="0.3">
      <c r="C12" s="64"/>
      <c r="D12" s="65">
        <v>44318</v>
      </c>
      <c r="E12" s="66" t="s">
        <v>48</v>
      </c>
      <c r="F12" s="67" t="s">
        <v>0</v>
      </c>
      <c r="G12" s="67">
        <v>6.7193206600000002</v>
      </c>
      <c r="H12" s="68">
        <v>8.3030000000000008</v>
      </c>
      <c r="I12" s="69">
        <v>55.786999999999999</v>
      </c>
      <c r="J12" s="70" t="s">
        <v>121</v>
      </c>
      <c r="K12" s="69"/>
      <c r="L12" s="71" t="s">
        <v>137</v>
      </c>
      <c r="M12" s="72"/>
    </row>
    <row r="13" spans="3:13" s="67" customFormat="1" ht="30" hidden="1" customHeight="1" x14ac:dyDescent="0.3">
      <c r="C13" s="64"/>
      <c r="D13" s="65">
        <v>44318</v>
      </c>
      <c r="E13" s="67" t="s">
        <v>8</v>
      </c>
      <c r="F13" s="67" t="s">
        <v>0</v>
      </c>
      <c r="G13" s="67">
        <v>140.12801694999999</v>
      </c>
      <c r="H13" s="68">
        <v>0.69899999999999995</v>
      </c>
      <c r="I13" s="69">
        <v>98</v>
      </c>
      <c r="J13" s="70" t="s">
        <v>121</v>
      </c>
      <c r="K13" s="69"/>
      <c r="L13" s="76" t="s">
        <v>135</v>
      </c>
      <c r="M13" s="72"/>
    </row>
    <row r="14" spans="3:13" s="67" customFormat="1" ht="30" hidden="1" customHeight="1" x14ac:dyDescent="0.3">
      <c r="C14" s="64"/>
      <c r="D14" s="65">
        <v>44318</v>
      </c>
      <c r="E14" s="67" t="s">
        <v>8</v>
      </c>
      <c r="F14" s="67" t="s">
        <v>0</v>
      </c>
      <c r="G14" s="67">
        <v>143.46335751999999</v>
      </c>
      <c r="H14" s="68">
        <v>0.69699999999999995</v>
      </c>
      <c r="I14" s="69">
        <v>100</v>
      </c>
      <c r="J14" s="70" t="s">
        <v>121</v>
      </c>
      <c r="K14" s="69"/>
      <c r="L14" s="76" t="s">
        <v>135</v>
      </c>
      <c r="M14" s="72"/>
    </row>
    <row r="15" spans="3:13" s="67" customFormat="1" ht="30" hidden="1" customHeight="1" x14ac:dyDescent="0.3">
      <c r="C15" s="64"/>
      <c r="D15" s="65">
        <v>44319</v>
      </c>
      <c r="E15" s="66" t="s">
        <v>113</v>
      </c>
      <c r="F15" s="67" t="s">
        <v>114</v>
      </c>
      <c r="H15" s="68"/>
      <c r="I15" s="69">
        <v>100</v>
      </c>
      <c r="J15" s="70" t="s">
        <v>119</v>
      </c>
      <c r="K15" s="70" t="s">
        <v>120</v>
      </c>
      <c r="L15" s="71" t="s">
        <v>121</v>
      </c>
      <c r="M15" s="71" t="s">
        <v>121</v>
      </c>
    </row>
    <row r="16" spans="3:13" s="67" customFormat="1" ht="30" hidden="1" customHeight="1" x14ac:dyDescent="0.3">
      <c r="C16" s="64"/>
      <c r="D16" s="65">
        <v>44319</v>
      </c>
      <c r="E16" s="66" t="s">
        <v>113</v>
      </c>
      <c r="F16" s="67" t="s">
        <v>114</v>
      </c>
      <c r="H16" s="68"/>
      <c r="I16" s="69">
        <v>100</v>
      </c>
      <c r="J16" s="70" t="s">
        <v>119</v>
      </c>
      <c r="K16" s="70" t="s">
        <v>120</v>
      </c>
      <c r="L16" s="71" t="s">
        <v>121</v>
      </c>
      <c r="M16" s="71" t="s">
        <v>121</v>
      </c>
    </row>
    <row r="17" spans="3:13" s="67" customFormat="1" ht="30" hidden="1" customHeight="1" x14ac:dyDescent="0.3">
      <c r="C17" s="64"/>
      <c r="D17" s="65">
        <v>44319</v>
      </c>
      <c r="E17" s="66" t="s">
        <v>113</v>
      </c>
      <c r="F17" s="67" t="s">
        <v>114</v>
      </c>
      <c r="H17" s="68"/>
      <c r="I17" s="69">
        <v>100</v>
      </c>
      <c r="J17" s="70" t="s">
        <v>119</v>
      </c>
      <c r="K17" s="70" t="s">
        <v>120</v>
      </c>
      <c r="L17" s="71" t="s">
        <v>121</v>
      </c>
      <c r="M17" s="71" t="s">
        <v>121</v>
      </c>
    </row>
    <row r="18" spans="3:13" s="67" customFormat="1" ht="30" hidden="1" customHeight="1" x14ac:dyDescent="0.3">
      <c r="C18" s="64"/>
      <c r="D18" s="65">
        <v>44321</v>
      </c>
      <c r="E18" s="66" t="s">
        <v>113</v>
      </c>
      <c r="F18" s="67" t="s">
        <v>114</v>
      </c>
      <c r="H18" s="68"/>
      <c r="I18" s="69">
        <v>3000</v>
      </c>
      <c r="J18" s="70" t="s">
        <v>119</v>
      </c>
      <c r="K18" s="70" t="s">
        <v>120</v>
      </c>
      <c r="L18" s="71" t="s">
        <v>121</v>
      </c>
      <c r="M18" s="71" t="s">
        <v>121</v>
      </c>
    </row>
    <row r="19" spans="3:13" s="67" customFormat="1" ht="30" hidden="1" customHeight="1" x14ac:dyDescent="0.3">
      <c r="C19" s="64"/>
      <c r="D19" s="81">
        <v>44321</v>
      </c>
      <c r="E19" s="82" t="s">
        <v>49</v>
      </c>
      <c r="F19" s="83" t="s">
        <v>0</v>
      </c>
      <c r="G19" s="83">
        <v>0.68482502999999995</v>
      </c>
      <c r="H19" s="84">
        <v>4380.6809999999996</v>
      </c>
      <c r="I19" s="85">
        <v>3000</v>
      </c>
      <c r="J19" s="70" t="s">
        <v>121</v>
      </c>
      <c r="K19" s="85"/>
      <c r="L19" s="76" t="s">
        <v>129</v>
      </c>
      <c r="M19" s="72"/>
    </row>
    <row r="20" spans="3:13" s="67" customFormat="1" ht="30" hidden="1" customHeight="1" x14ac:dyDescent="0.3">
      <c r="C20" s="64"/>
      <c r="D20" s="86">
        <v>44322</v>
      </c>
      <c r="E20" s="87" t="s">
        <v>7</v>
      </c>
      <c r="F20" s="87" t="s">
        <v>24</v>
      </c>
      <c r="G20" s="67">
        <v>-50.527660349999998</v>
      </c>
      <c r="H20" s="88">
        <v>1.9970000000000001</v>
      </c>
      <c r="I20" s="89">
        <v>100.702</v>
      </c>
      <c r="J20" s="70" t="s">
        <v>128</v>
      </c>
      <c r="K20" s="89"/>
      <c r="L20" s="70" t="s">
        <v>121</v>
      </c>
      <c r="M20" s="72"/>
    </row>
    <row r="21" spans="3:13" s="67" customFormat="1" ht="30" customHeight="1" x14ac:dyDescent="0.3">
      <c r="C21" s="64"/>
      <c r="D21" s="86">
        <v>44322</v>
      </c>
      <c r="E21" s="87" t="s">
        <v>22</v>
      </c>
      <c r="F21" s="87" t="s">
        <v>0</v>
      </c>
      <c r="G21" s="87">
        <v>49</v>
      </c>
      <c r="H21" s="88">
        <v>2.016</v>
      </c>
      <c r="I21" s="89">
        <v>98.798000000000002</v>
      </c>
      <c r="J21" s="70" t="s">
        <v>121</v>
      </c>
      <c r="K21" s="89"/>
      <c r="L21" s="90" t="s">
        <v>131</v>
      </c>
      <c r="M21" s="72"/>
    </row>
    <row r="22" spans="3:13" s="67" customFormat="1" ht="30" hidden="1" customHeight="1" x14ac:dyDescent="0.3">
      <c r="C22" s="64"/>
      <c r="D22" s="65">
        <v>44323</v>
      </c>
      <c r="E22" s="66" t="s">
        <v>113</v>
      </c>
      <c r="F22" s="67" t="s">
        <v>114</v>
      </c>
      <c r="H22" s="68"/>
      <c r="I22" s="69">
        <v>3000</v>
      </c>
      <c r="J22" s="70" t="s">
        <v>119</v>
      </c>
      <c r="K22" s="70" t="s">
        <v>120</v>
      </c>
      <c r="L22" s="71" t="s">
        <v>121</v>
      </c>
      <c r="M22" s="71" t="s">
        <v>121</v>
      </c>
    </row>
    <row r="23" spans="3:13" s="67" customFormat="1" ht="30" customHeight="1" x14ac:dyDescent="0.3">
      <c r="C23" s="64"/>
      <c r="D23" s="77">
        <v>44323</v>
      </c>
      <c r="E23" s="78" t="s">
        <v>22</v>
      </c>
      <c r="F23" s="78" t="s">
        <v>0</v>
      </c>
      <c r="G23" s="78">
        <v>475</v>
      </c>
      <c r="H23" s="79">
        <v>2.101</v>
      </c>
      <c r="I23" s="80">
        <v>997.947</v>
      </c>
      <c r="J23" s="70" t="s">
        <v>121</v>
      </c>
      <c r="K23" s="80"/>
      <c r="L23" s="90" t="s">
        <v>131</v>
      </c>
      <c r="M23" s="72"/>
    </row>
    <row r="24" spans="3:13" s="67" customFormat="1" ht="30" hidden="1" customHeight="1" x14ac:dyDescent="0.3">
      <c r="C24" s="64"/>
      <c r="D24" s="77">
        <v>44323</v>
      </c>
      <c r="E24" s="78" t="s">
        <v>8</v>
      </c>
      <c r="F24" s="78" t="s">
        <v>0</v>
      </c>
      <c r="G24" s="78">
        <v>1234.56790123</v>
      </c>
      <c r="H24" s="79">
        <v>0.81</v>
      </c>
      <c r="I24" s="80">
        <v>1000</v>
      </c>
      <c r="J24" s="70" t="s">
        <v>121</v>
      </c>
      <c r="K24" s="80"/>
      <c r="L24" s="72" t="s">
        <v>63</v>
      </c>
      <c r="M24" s="72"/>
    </row>
    <row r="25" spans="3:13" s="67" customFormat="1" ht="30" hidden="1" customHeight="1" x14ac:dyDescent="0.3">
      <c r="C25" s="64"/>
      <c r="D25" s="77">
        <v>44323</v>
      </c>
      <c r="E25" s="78" t="s">
        <v>48</v>
      </c>
      <c r="F25" s="78" t="s">
        <v>0</v>
      </c>
      <c r="G25" s="78">
        <v>75.705505279999997</v>
      </c>
      <c r="H25" s="79">
        <v>13.209</v>
      </c>
      <c r="I25" s="80">
        <v>1000</v>
      </c>
      <c r="J25" s="70" t="s">
        <v>121</v>
      </c>
      <c r="K25" s="80"/>
      <c r="L25" s="72" t="s">
        <v>63</v>
      </c>
      <c r="M25" s="72"/>
    </row>
    <row r="26" spans="3:13" s="67" customFormat="1" ht="30" hidden="1" customHeight="1" x14ac:dyDescent="0.3">
      <c r="C26" s="64"/>
      <c r="D26" s="65">
        <v>44324</v>
      </c>
      <c r="E26" s="66" t="s">
        <v>113</v>
      </c>
      <c r="F26" s="67" t="s">
        <v>114</v>
      </c>
      <c r="H26" s="68"/>
      <c r="I26" s="69">
        <v>2000</v>
      </c>
      <c r="J26" s="70" t="s">
        <v>119</v>
      </c>
      <c r="K26" s="70" t="s">
        <v>120</v>
      </c>
      <c r="L26" s="71" t="s">
        <v>121</v>
      </c>
      <c r="M26" s="71" t="s">
        <v>121</v>
      </c>
    </row>
    <row r="27" spans="3:13" s="67" customFormat="1" ht="30" hidden="1" customHeight="1" x14ac:dyDescent="0.3">
      <c r="C27" s="64"/>
      <c r="D27" s="91">
        <v>44324</v>
      </c>
      <c r="E27" s="92" t="s">
        <v>49</v>
      </c>
      <c r="F27" s="92" t="s">
        <v>0</v>
      </c>
      <c r="G27" s="92">
        <v>0.41699999999999998</v>
      </c>
      <c r="H27" s="93">
        <v>4670</v>
      </c>
      <c r="I27" s="94">
        <v>1947.39</v>
      </c>
      <c r="J27" s="70" t="s">
        <v>121</v>
      </c>
      <c r="K27" s="94"/>
      <c r="L27" s="72" t="s">
        <v>63</v>
      </c>
      <c r="M27" s="72"/>
    </row>
    <row r="28" spans="3:13" s="67" customFormat="1" ht="30" hidden="1" customHeight="1" x14ac:dyDescent="0.3">
      <c r="C28" s="64"/>
      <c r="D28" s="65">
        <v>44326</v>
      </c>
      <c r="E28" s="66" t="s">
        <v>113</v>
      </c>
      <c r="F28" s="67" t="s">
        <v>114</v>
      </c>
      <c r="H28" s="68"/>
      <c r="I28" s="69">
        <v>2000</v>
      </c>
      <c r="J28" s="70" t="s">
        <v>119</v>
      </c>
      <c r="K28" s="70" t="s">
        <v>120</v>
      </c>
      <c r="L28" s="71" t="s">
        <v>121</v>
      </c>
      <c r="M28" s="71" t="s">
        <v>121</v>
      </c>
    </row>
    <row r="29" spans="3:13" s="67" customFormat="1" ht="30" customHeight="1" x14ac:dyDescent="0.3">
      <c r="C29" s="64"/>
      <c r="D29" s="95">
        <v>44326</v>
      </c>
      <c r="E29" s="78" t="s">
        <v>22</v>
      </c>
      <c r="F29" s="92" t="s">
        <v>0</v>
      </c>
      <c r="G29" s="96">
        <v>10.3</v>
      </c>
      <c r="H29" s="97">
        <v>2.09</v>
      </c>
      <c r="I29" s="98">
        <v>21.527000000000001</v>
      </c>
      <c r="J29" s="70" t="s">
        <v>121</v>
      </c>
      <c r="K29" s="98"/>
      <c r="L29" s="90" t="s">
        <v>131</v>
      </c>
      <c r="M29" s="72"/>
    </row>
    <row r="30" spans="3:13" s="67" customFormat="1" ht="30" customHeight="1" x14ac:dyDescent="0.3">
      <c r="C30" s="64"/>
      <c r="D30" s="95">
        <v>44326</v>
      </c>
      <c r="E30" s="78" t="s">
        <v>22</v>
      </c>
      <c r="F30" s="92" t="s">
        <v>0</v>
      </c>
      <c r="G30" s="96">
        <v>800</v>
      </c>
      <c r="H30" s="97">
        <v>2.09</v>
      </c>
      <c r="I30" s="98">
        <v>1672</v>
      </c>
      <c r="J30" s="70" t="s">
        <v>121</v>
      </c>
      <c r="K30" s="98"/>
      <c r="L30" s="90" t="s">
        <v>131</v>
      </c>
      <c r="M30" s="72"/>
    </row>
    <row r="31" spans="3:13" s="67" customFormat="1" ht="30" customHeight="1" x14ac:dyDescent="0.3">
      <c r="C31" s="64"/>
      <c r="D31" s="95">
        <v>44326</v>
      </c>
      <c r="E31" s="78" t="s">
        <v>22</v>
      </c>
      <c r="F31" s="92" t="s">
        <v>0</v>
      </c>
      <c r="G31" s="96">
        <v>146.69999999999999</v>
      </c>
      <c r="H31" s="97">
        <v>2.09</v>
      </c>
      <c r="I31" s="98">
        <v>306.60300000000001</v>
      </c>
      <c r="J31" s="70" t="s">
        <v>121</v>
      </c>
      <c r="K31" s="98"/>
      <c r="L31" s="90" t="s">
        <v>131</v>
      </c>
      <c r="M31" s="72"/>
    </row>
    <row r="32" spans="3:13" s="67" customFormat="1" ht="30" customHeight="1" x14ac:dyDescent="0.3">
      <c r="C32" s="64"/>
      <c r="D32" s="95">
        <v>44327</v>
      </c>
      <c r="E32" s="78" t="s">
        <v>22</v>
      </c>
      <c r="F32" s="96" t="s">
        <v>55</v>
      </c>
      <c r="G32" s="96">
        <v>-5.7371370000000752</v>
      </c>
      <c r="H32" s="97"/>
      <c r="I32" s="98"/>
      <c r="J32" s="90" t="s">
        <v>131</v>
      </c>
      <c r="K32" s="98"/>
      <c r="L32" s="72"/>
      <c r="M32" s="72"/>
    </row>
    <row r="33" spans="3:13" s="67" customFormat="1" ht="30" customHeight="1" x14ac:dyDescent="0.3">
      <c r="C33" s="64"/>
      <c r="D33" s="99">
        <v>44327</v>
      </c>
      <c r="E33" s="78" t="s">
        <v>22</v>
      </c>
      <c r="F33" s="72" t="s">
        <v>64</v>
      </c>
      <c r="G33" s="100">
        <v>-5</v>
      </c>
      <c r="H33" s="101"/>
      <c r="I33" s="102"/>
      <c r="J33" s="90" t="s">
        <v>131</v>
      </c>
      <c r="K33" s="102"/>
      <c r="L33" s="90" t="s">
        <v>140</v>
      </c>
      <c r="M33" s="72"/>
    </row>
    <row r="34" spans="3:13" s="67" customFormat="1" ht="30" customHeight="1" x14ac:dyDescent="0.3">
      <c r="C34" s="64"/>
      <c r="D34" s="99">
        <v>44327</v>
      </c>
      <c r="E34" s="78" t="s">
        <v>22</v>
      </c>
      <c r="F34" s="72" t="s">
        <v>64</v>
      </c>
      <c r="G34" s="103">
        <v>-1475.2628629999999</v>
      </c>
      <c r="H34" s="101"/>
      <c r="I34" s="102"/>
      <c r="J34" s="90" t="s">
        <v>131</v>
      </c>
      <c r="K34" s="102"/>
      <c r="L34" s="90" t="s">
        <v>140</v>
      </c>
      <c r="M34" s="72"/>
    </row>
    <row r="35" spans="3:13" s="67" customFormat="1" ht="30" customHeight="1" x14ac:dyDescent="0.3">
      <c r="C35" s="64"/>
      <c r="D35" s="99">
        <v>44327</v>
      </c>
      <c r="E35" s="78" t="s">
        <v>22</v>
      </c>
      <c r="F35" s="72" t="s">
        <v>64</v>
      </c>
      <c r="G35" s="100">
        <v>5</v>
      </c>
      <c r="H35" s="101"/>
      <c r="I35" s="102"/>
      <c r="J35" s="102" t="s">
        <v>131</v>
      </c>
      <c r="K35" s="102"/>
      <c r="L35" s="90" t="s">
        <v>141</v>
      </c>
      <c r="M35" s="72" t="s">
        <v>66</v>
      </c>
    </row>
    <row r="36" spans="3:13" s="67" customFormat="1" ht="30" customHeight="1" x14ac:dyDescent="0.3">
      <c r="C36" s="64"/>
      <c r="D36" s="99">
        <v>44327</v>
      </c>
      <c r="E36" s="78" t="s">
        <v>22</v>
      </c>
      <c r="F36" s="72" t="s">
        <v>64</v>
      </c>
      <c r="G36" s="103">
        <v>1475.2628629999999</v>
      </c>
      <c r="H36" s="104"/>
      <c r="I36" s="105"/>
      <c r="J36" s="102" t="s">
        <v>131</v>
      </c>
      <c r="K36" s="105"/>
      <c r="L36" s="90" t="s">
        <v>140</v>
      </c>
      <c r="M36" s="71" t="s">
        <v>65</v>
      </c>
    </row>
    <row r="37" spans="3:13" s="67" customFormat="1" ht="30" hidden="1" customHeight="1" x14ac:dyDescent="0.3">
      <c r="C37" s="64"/>
      <c r="D37" s="65">
        <v>44329</v>
      </c>
      <c r="E37" s="66" t="s">
        <v>113</v>
      </c>
      <c r="F37" s="67" t="s">
        <v>114</v>
      </c>
      <c r="H37" s="68"/>
      <c r="I37" s="69">
        <v>3000</v>
      </c>
      <c r="J37" s="70" t="s">
        <v>119</v>
      </c>
      <c r="K37" s="70" t="s">
        <v>120</v>
      </c>
      <c r="L37" s="71" t="s">
        <v>122</v>
      </c>
      <c r="M37" s="71" t="s">
        <v>122</v>
      </c>
    </row>
    <row r="38" spans="3:13" s="67" customFormat="1" ht="30" hidden="1" customHeight="1" x14ac:dyDescent="0.3">
      <c r="C38" s="64"/>
      <c r="D38" s="106">
        <v>44329</v>
      </c>
      <c r="E38" s="107" t="s">
        <v>49</v>
      </c>
      <c r="F38" s="107" t="s">
        <v>0</v>
      </c>
      <c r="G38" s="107">
        <v>0.64323611999999997</v>
      </c>
      <c r="H38" s="108">
        <v>4591.1000000000004</v>
      </c>
      <c r="I38" s="109">
        <f>tbTransactions[[#This Row],[Price]]*tbTransactions[[#This Row],[Qty]]</f>
        <v>2953.1613505320001</v>
      </c>
      <c r="J38" s="70" t="s">
        <v>122</v>
      </c>
      <c r="K38" s="109"/>
      <c r="L38" s="90" t="s">
        <v>130</v>
      </c>
      <c r="M38" s="107" t="s">
        <v>81</v>
      </c>
    </row>
    <row r="39" spans="3:13" s="67" customFormat="1" ht="30" hidden="1" customHeight="1" x14ac:dyDescent="0.3">
      <c r="C39" s="64"/>
      <c r="D39" s="110">
        <v>44331</v>
      </c>
      <c r="E39" s="71" t="s">
        <v>113</v>
      </c>
      <c r="F39" s="71" t="s">
        <v>55</v>
      </c>
      <c r="G39" s="71"/>
      <c r="H39" s="111"/>
      <c r="I39" s="70">
        <v>15</v>
      </c>
      <c r="J39" s="70" t="s">
        <v>127</v>
      </c>
      <c r="K39" s="70"/>
      <c r="L39" s="71"/>
      <c r="M39" s="71"/>
    </row>
    <row r="40" spans="3:13" s="67" customFormat="1" ht="30" hidden="1" customHeight="1" x14ac:dyDescent="0.3">
      <c r="C40" s="64"/>
      <c r="D40" s="110">
        <v>44331</v>
      </c>
      <c r="E40" s="71" t="s">
        <v>49</v>
      </c>
      <c r="F40" s="71" t="s">
        <v>0</v>
      </c>
      <c r="G40" s="71">
        <v>0.62596463000000002</v>
      </c>
      <c r="H40" s="111">
        <v>4768.6400000000003</v>
      </c>
      <c r="I40" s="109">
        <f>tbTransactions[[#This Row],[Price]]*tbTransactions[[#This Row],[Qty]]</f>
        <v>2984.9999732032002</v>
      </c>
      <c r="J40" s="70" t="s">
        <v>127</v>
      </c>
      <c r="K40" s="70"/>
      <c r="L40" s="70" t="s">
        <v>132</v>
      </c>
      <c r="M40" s="71"/>
    </row>
    <row r="41" spans="3:13" s="67" customFormat="1" ht="30" hidden="1" customHeight="1" x14ac:dyDescent="0.3">
      <c r="C41" s="64"/>
      <c r="D41" s="110">
        <v>44331</v>
      </c>
      <c r="E41" s="71" t="s">
        <v>49</v>
      </c>
      <c r="F41" s="71" t="s">
        <v>0</v>
      </c>
      <c r="G41" s="71">
        <v>2.0842299999999999E-3</v>
      </c>
      <c r="H41" s="111">
        <v>4778.74</v>
      </c>
      <c r="I41" s="109">
        <f>tbTransactions[[#This Row],[Price]]*tbTransactions[[#This Row],[Qty]]</f>
        <v>9.9599932701999982</v>
      </c>
      <c r="J41" s="70" t="s">
        <v>127</v>
      </c>
      <c r="K41" s="70"/>
      <c r="L41" s="70" t="s">
        <v>132</v>
      </c>
      <c r="M41" s="71"/>
    </row>
    <row r="42" spans="3:13" s="67" customFormat="1" ht="30" hidden="1" customHeight="1" x14ac:dyDescent="0.3">
      <c r="C42" s="64"/>
      <c r="D42" s="110">
        <v>44331</v>
      </c>
      <c r="E42" s="71" t="s">
        <v>113</v>
      </c>
      <c r="F42" s="71" t="s">
        <v>55</v>
      </c>
      <c r="G42" s="71"/>
      <c r="H42" s="111"/>
      <c r="I42" s="70">
        <v>0.04</v>
      </c>
      <c r="J42" s="70" t="s">
        <v>127</v>
      </c>
      <c r="K42" s="70"/>
      <c r="L42" s="71"/>
      <c r="M42" s="71"/>
    </row>
    <row r="43" spans="3:13" s="67" customFormat="1" ht="30" hidden="1" customHeight="1" x14ac:dyDescent="0.3">
      <c r="C43" s="64"/>
      <c r="D43" s="110">
        <v>44331</v>
      </c>
      <c r="E43" s="71" t="s">
        <v>113</v>
      </c>
      <c r="F43" s="67" t="s">
        <v>114</v>
      </c>
      <c r="H43" s="68"/>
      <c r="I43" s="69">
        <v>10</v>
      </c>
      <c r="J43" s="70" t="s">
        <v>127</v>
      </c>
      <c r="K43" s="70"/>
      <c r="L43" s="70" t="s">
        <v>127</v>
      </c>
      <c r="M43" s="71"/>
    </row>
    <row r="44" spans="3:13" ht="30" customHeight="1" x14ac:dyDescent="0.3">
      <c r="C44" s="74"/>
      <c r="D44" s="73" t="s">
        <v>5</v>
      </c>
      <c r="E44" s="73"/>
      <c r="F44" s="73"/>
      <c r="G44" s="75">
        <f>SUBTOTAL(109,tbTransactions[Qty])</f>
        <v>1475.2628629999999</v>
      </c>
      <c r="H44" s="73"/>
      <c r="I44" s="73"/>
      <c r="J44" s="73"/>
      <c r="K44" s="73"/>
      <c r="L44" s="73"/>
      <c r="M44" s="73">
        <f>SUBTOTAL(103,tbTransactions[To Wallet])</f>
        <v>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C13B8-1ED5-4AFE-A0E7-83EE8D217E2A}">
  <dimension ref="B1:C16"/>
  <sheetViews>
    <sheetView showGridLines="0" workbookViewId="0">
      <selection activeCell="A13" sqref="A13"/>
    </sheetView>
  </sheetViews>
  <sheetFormatPr defaultRowHeight="31.95" customHeight="1" x14ac:dyDescent="0.3"/>
  <cols>
    <col min="1" max="1" width="1.109375" style="60" customWidth="1"/>
    <col min="2" max="2" width="24.33203125" style="60" bestFit="1" customWidth="1"/>
    <col min="3" max="3" width="27" style="60" customWidth="1"/>
    <col min="4" max="16384" width="8.88671875" style="60"/>
  </cols>
  <sheetData>
    <row r="1" spans="2:3" ht="6" customHeight="1" x14ac:dyDescent="0.3"/>
    <row r="2" spans="2:3" ht="31.95" customHeight="1" x14ac:dyDescent="0.3">
      <c r="B2" s="61" t="s">
        <v>123</v>
      </c>
    </row>
    <row r="3" spans="2:3" ht="31.95" customHeight="1" x14ac:dyDescent="0.3">
      <c r="B3" s="60" t="s">
        <v>124</v>
      </c>
      <c r="C3" s="60" t="s">
        <v>125</v>
      </c>
    </row>
    <row r="4" spans="2:3" ht="31.95" customHeight="1" x14ac:dyDescent="0.3">
      <c r="B4" s="62" t="s">
        <v>121</v>
      </c>
      <c r="C4" s="60" t="s">
        <v>34</v>
      </c>
    </row>
    <row r="5" spans="2:3" ht="31.95" customHeight="1" x14ac:dyDescent="0.3">
      <c r="B5" s="60" t="s">
        <v>126</v>
      </c>
      <c r="C5" s="60" t="s">
        <v>120</v>
      </c>
    </row>
    <row r="6" spans="2:3" ht="31.95" customHeight="1" x14ac:dyDescent="0.3">
      <c r="B6" s="60" t="s">
        <v>130</v>
      </c>
      <c r="C6" s="60" t="s">
        <v>81</v>
      </c>
    </row>
    <row r="7" spans="2:3" ht="31.95" customHeight="1" x14ac:dyDescent="0.3">
      <c r="B7" s="60" t="s">
        <v>122</v>
      </c>
      <c r="C7" s="60" t="s">
        <v>34</v>
      </c>
    </row>
    <row r="8" spans="2:3" ht="31.95" customHeight="1" x14ac:dyDescent="0.3">
      <c r="B8" s="60" t="s">
        <v>127</v>
      </c>
      <c r="C8" s="60" t="s">
        <v>34</v>
      </c>
    </row>
    <row r="9" spans="2:3" ht="31.95" customHeight="1" x14ac:dyDescent="0.3">
      <c r="B9" s="60" t="s">
        <v>141</v>
      </c>
      <c r="C9" s="60" t="s">
        <v>66</v>
      </c>
    </row>
    <row r="10" spans="2:3" ht="31.95" customHeight="1" x14ac:dyDescent="0.3">
      <c r="B10" s="60" t="s">
        <v>140</v>
      </c>
      <c r="C10" s="60" t="s">
        <v>65</v>
      </c>
    </row>
    <row r="11" spans="2:3" ht="31.95" customHeight="1" x14ac:dyDescent="0.3">
      <c r="B11" s="60" t="s">
        <v>133</v>
      </c>
      <c r="C11" s="60" t="s">
        <v>142</v>
      </c>
    </row>
    <row r="12" spans="2:3" ht="31.95" customHeight="1" x14ac:dyDescent="0.3">
      <c r="B12" s="60" t="s">
        <v>131</v>
      </c>
      <c r="C12" s="60" t="s">
        <v>134</v>
      </c>
    </row>
    <row r="13" spans="2:3" ht="31.95" customHeight="1" x14ac:dyDescent="0.3">
      <c r="B13" s="60" t="s">
        <v>129</v>
      </c>
    </row>
    <row r="14" spans="2:3" ht="31.95" customHeight="1" x14ac:dyDescent="0.3">
      <c r="B14" s="60" t="s">
        <v>128</v>
      </c>
      <c r="C14" s="60" t="s">
        <v>139</v>
      </c>
    </row>
    <row r="15" spans="2:3" ht="31.95" customHeight="1" x14ac:dyDescent="0.3">
      <c r="B15" s="60" t="s">
        <v>135</v>
      </c>
      <c r="C15" s="60" t="s">
        <v>136</v>
      </c>
    </row>
    <row r="16" spans="2:3" ht="31.95" customHeight="1" x14ac:dyDescent="0.3">
      <c r="B16" s="60" t="s">
        <v>137</v>
      </c>
      <c r="C16" s="60" t="s">
        <v>138</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70AC8-B132-4C35-BE72-757216CD94D5}">
  <dimension ref="B1:P32"/>
  <sheetViews>
    <sheetView showGridLines="0" topLeftCell="A11" workbookViewId="0">
      <pane xSplit="2" topLeftCell="C1" activePane="topRight" state="frozen"/>
      <selection pane="topRight" activeCell="D26" sqref="D26"/>
    </sheetView>
  </sheetViews>
  <sheetFormatPr defaultColWidth="9.109375" defaultRowHeight="30" customHeight="1" x14ac:dyDescent="0.3"/>
  <cols>
    <col min="1" max="1" width="1.33203125" style="1" customWidth="1"/>
    <col min="2" max="2" width="20.88671875" style="1" customWidth="1"/>
    <col min="3" max="3" width="8" style="1" hidden="1" customWidth="1"/>
    <col min="4" max="4" width="15.6640625" style="5" customWidth="1"/>
    <col min="5" max="5" width="13" style="5" customWidth="1"/>
    <col min="6" max="6" width="16.6640625" style="5" customWidth="1"/>
    <col min="7" max="7" width="15.6640625" style="5" hidden="1" customWidth="1"/>
    <col min="8" max="8" width="11" style="5" customWidth="1"/>
    <col min="9" max="9" width="15.6640625" style="1" customWidth="1"/>
    <col min="10" max="11" width="10.33203125" style="1" customWidth="1"/>
    <col min="12" max="13" width="9.109375" style="1"/>
    <col min="14" max="14" width="18.5546875" style="52" customWidth="1"/>
    <col min="15" max="15" width="13.44140625" style="1" customWidth="1"/>
    <col min="16" max="16" width="40.33203125" style="1" customWidth="1"/>
    <col min="17" max="16384" width="9.109375" style="1"/>
  </cols>
  <sheetData>
    <row r="1" spans="2:16" ht="7.5" customHeight="1" x14ac:dyDescent="0.3">
      <c r="B1" s="3"/>
      <c r="C1" s="3"/>
      <c r="D1" s="4"/>
      <c r="E1" s="4"/>
      <c r="F1" s="4"/>
      <c r="G1" s="4"/>
      <c r="H1" s="4"/>
    </row>
    <row r="2" spans="2:16" ht="30" customHeight="1" x14ac:dyDescent="0.3">
      <c r="B2" s="3" t="s">
        <v>10</v>
      </c>
      <c r="C2" s="27" t="s">
        <v>46</v>
      </c>
      <c r="D2" s="10" t="s">
        <v>16</v>
      </c>
      <c r="E2" s="4" t="s">
        <v>11</v>
      </c>
      <c r="F2" s="10" t="s">
        <v>17</v>
      </c>
      <c r="G2" s="10" t="s">
        <v>18</v>
      </c>
      <c r="H2" s="44" t="s">
        <v>56</v>
      </c>
      <c r="I2" s="10" t="s">
        <v>19</v>
      </c>
      <c r="J2" s="10" t="s">
        <v>21</v>
      </c>
      <c r="K2" s="19" t="s">
        <v>25</v>
      </c>
      <c r="L2" s="19" t="s">
        <v>26</v>
      </c>
      <c r="M2" s="50" t="s">
        <v>76</v>
      </c>
      <c r="N2" s="51" t="s">
        <v>85</v>
      </c>
      <c r="O2" s="19" t="s">
        <v>30</v>
      </c>
      <c r="P2" s="19" t="s">
        <v>31</v>
      </c>
    </row>
    <row r="3" spans="2:16" ht="30" customHeight="1" x14ac:dyDescent="0.3">
      <c r="B3" s="28" t="s">
        <v>22</v>
      </c>
      <c r="C3" s="30" t="str">
        <f>LEFT(tbCoins[[#This Row],[Coin]],IFERROR(FIND(" ",tbCoins[[#This Row],[Coin]])-1,LEN(tbCoins[[#This Row],[Coin]])))</f>
        <v>ADA</v>
      </c>
      <c r="D3" s="11">
        <v>31900000</v>
      </c>
      <c r="E3" s="7" cm="1">
        <f t="array" ref="E3">_xldudf_CS_PRICE(tbCoins[[#This Row],[Ticker]],"CAD")</f>
        <v>2.2877600109087584</v>
      </c>
      <c r="F3" s="12">
        <f>tbCoins[[#This Row],[Curr. Price]]*tbCoins[[#This Row],[Circulating Supply]]</f>
        <v>72979544.347989395</v>
      </c>
      <c r="G3" s="11"/>
      <c r="H3" s="11">
        <v>3</v>
      </c>
      <c r="I3" s="13">
        <f>iTotalCap/tbCoins[[#This Row],[Circulating Supply]]/tbCoins[[#This Row],[Potential]]</f>
        <v>25153.226730449318</v>
      </c>
      <c r="J3" s="15">
        <f>tbCoins[[#This Row],[Curr. Price]]/tbCoins[[#This Row],[Max Value at Max Mkt Cap]]</f>
        <v>9.0952943549755519E-5</v>
      </c>
      <c r="K3" s="20">
        <v>28.081499999999998</v>
      </c>
      <c r="L3" s="20">
        <v>0.3246</v>
      </c>
      <c r="M3" s="18" t="s">
        <v>77</v>
      </c>
      <c r="N3" s="23" t="s">
        <v>92</v>
      </c>
      <c r="O3" s="22">
        <v>43005</v>
      </c>
      <c r="P3" s="23" t="s">
        <v>32</v>
      </c>
    </row>
    <row r="4" spans="2:16" ht="30" customHeight="1" x14ac:dyDescent="0.3">
      <c r="B4" s="28" t="s">
        <v>82</v>
      </c>
      <c r="C4" s="30" t="str">
        <f>LEFT(tbCoins[[#This Row],[Coin]],IFERROR(FIND(" ",tbCoins[[#This Row],[Coin]])-1,LEN(tbCoins[[#This Row],[Coin]])))</f>
        <v>ALGO</v>
      </c>
      <c r="D4" s="11">
        <v>3000000000</v>
      </c>
      <c r="E4" s="7">
        <v>1.63</v>
      </c>
      <c r="F4" s="12">
        <f>tbCoins[[#This Row],[Curr. Price]]*tbCoins[[#This Row],[Circulating Supply]]</f>
        <v>4890000000</v>
      </c>
      <c r="G4" s="11"/>
      <c r="H4" s="11">
        <v>2</v>
      </c>
      <c r="I4" s="13">
        <f>iTotalCap/tbCoins[[#This Row],[Circulating Supply]]/tbCoins[[#This Row],[Potential]]</f>
        <v>401.19396635066664</v>
      </c>
      <c r="J4" s="15">
        <f>tbCoins[[#This Row],[Curr. Price]]/tbCoins[[#This Row],[Max Value at Max Mkt Cap]]</f>
        <v>4.0628726668717795E-3</v>
      </c>
      <c r="K4" s="20">
        <v>4.93</v>
      </c>
      <c r="L4" s="20">
        <v>-0.1242</v>
      </c>
      <c r="M4" s="18" t="s">
        <v>83</v>
      </c>
      <c r="N4" s="23" t="s">
        <v>91</v>
      </c>
      <c r="O4" s="22">
        <v>43617</v>
      </c>
      <c r="P4" s="23" t="s">
        <v>84</v>
      </c>
    </row>
    <row r="5" spans="2:16" ht="30" customHeight="1" x14ac:dyDescent="0.3">
      <c r="B5" s="28" t="s">
        <v>99</v>
      </c>
      <c r="C5" s="30" t="str">
        <f>LEFT(tbCoins[[#This Row],[Coin]],IFERROR(FIND(" ",tbCoins[[#This Row],[Coin]])-1,LEN(tbCoins[[#This Row],[Coin]])))</f>
        <v>ATOM</v>
      </c>
      <c r="D5" s="11">
        <v>210800000</v>
      </c>
      <c r="E5" s="7">
        <v>29.8</v>
      </c>
      <c r="F5" s="12">
        <f>tbCoins[[#This Row],[Curr. Price]]*tbCoins[[#This Row],[Circulating Supply]]</f>
        <v>6281840000</v>
      </c>
      <c r="G5" s="11"/>
      <c r="H5" s="11">
        <v>4</v>
      </c>
      <c r="I5" s="13">
        <f>iTotalCap/tbCoins[[#This Row],[Circulating Supply]]/tbCoins[[#This Row],[Potential]]</f>
        <v>2854.7957757400382</v>
      </c>
      <c r="J5" s="15">
        <f>tbCoins[[#This Row],[Curr. Price]]/tbCoins[[#This Row],[Max Value at Max Mkt Cap]]</f>
        <v>1.0438575064892359E-2</v>
      </c>
      <c r="K5" s="20">
        <v>7.3449</v>
      </c>
      <c r="L5" s="20">
        <v>-1.1000000000000001E-3</v>
      </c>
      <c r="M5" s="18" t="s">
        <v>77</v>
      </c>
      <c r="N5" s="23" t="s">
        <v>89</v>
      </c>
      <c r="O5" s="22">
        <v>43577</v>
      </c>
      <c r="P5" s="23"/>
    </row>
    <row r="6" spans="2:16" ht="30" customHeight="1" x14ac:dyDescent="0.3">
      <c r="B6" s="28" t="s">
        <v>42</v>
      </c>
      <c r="C6" s="28" t="str">
        <f>LEFT(tbCoins[[#This Row],[Coin]],IFERROR(FIND(" ",tbCoins[[#This Row],[Coin]])-1,LEN(tbCoins[[#This Row],[Coin]])))</f>
        <v>BCH</v>
      </c>
      <c r="D6" s="11">
        <v>18700000</v>
      </c>
      <c r="E6" s="7" cm="1">
        <f t="array" ref="E6">_xldudf_CS_PRICE(tbCoins[[#This Row],[Ticker]],"CAD")</f>
        <v>1580.5717090844082</v>
      </c>
      <c r="F6" s="12">
        <f>tbCoins[[#This Row],[Curr. Price]]*tbCoins[[#This Row],[Circulating Supply]]</f>
        <v>29556690959.878433</v>
      </c>
      <c r="G6" s="11"/>
      <c r="H6" s="11">
        <v>1</v>
      </c>
      <c r="I6" s="13">
        <f>iTotalCap/tbCoins[[#This Row],[Circulating Supply]]/tbCoins[[#This Row],[Potential]]</f>
        <v>128725.33679700535</v>
      </c>
      <c r="J6" s="15">
        <f>tbCoins[[#This Row],[Curr. Price]]/tbCoins[[#This Row],[Max Value at Max Mkt Cap]]</f>
        <v>1.2278637200824775E-2</v>
      </c>
      <c r="K6" s="20">
        <v>3.9982000000000002</v>
      </c>
      <c r="L6" s="20">
        <v>1.0766</v>
      </c>
      <c r="M6" s="18" t="s">
        <v>78</v>
      </c>
      <c r="N6" s="23" t="s">
        <v>90</v>
      </c>
      <c r="O6" s="22">
        <v>42948</v>
      </c>
      <c r="P6" s="23" t="s">
        <v>35</v>
      </c>
    </row>
    <row r="7" spans="2:16" ht="30" customHeight="1" x14ac:dyDescent="0.3">
      <c r="B7" s="28" t="s">
        <v>43</v>
      </c>
      <c r="C7" s="28" t="str">
        <f>LEFT(tbCoins[[#This Row],[Coin]],IFERROR(FIND(" ",tbCoins[[#This Row],[Coin]])-1,LEN(tbCoins[[#This Row],[Coin]])))</f>
        <v>BNB</v>
      </c>
      <c r="D7" s="11">
        <v>153400000</v>
      </c>
      <c r="E7" s="7" cm="1">
        <f t="array" ref="E7">_xldudf_CS_PRICE(tbCoins[[#This Row],[Ticker]],"CAD")</f>
        <v>729.0783147471318</v>
      </c>
      <c r="F7" s="12">
        <f>tbCoins[[#This Row],[Curr. Price]]*tbCoins[[#This Row],[Circulating Supply]]</f>
        <v>111840613482.21002</v>
      </c>
      <c r="G7" s="11"/>
      <c r="H7" s="11">
        <v>1</v>
      </c>
      <c r="I7" s="13">
        <f>iTotalCap/tbCoins[[#This Row],[Circulating Supply]]/tbCoins[[#This Row],[Potential]]</f>
        <v>15692.07169559322</v>
      </c>
      <c r="J7" s="15">
        <f>tbCoins[[#This Row],[Curr. Price]]/tbCoins[[#This Row],[Max Value at Max Mkt Cap]]</f>
        <v>4.6461571734462422E-2</v>
      </c>
      <c r="K7" s="20">
        <v>32.750999999999998</v>
      </c>
      <c r="L7" s="20">
        <v>0.70120000000000005</v>
      </c>
      <c r="M7" s="18"/>
      <c r="N7" s="23" t="s">
        <v>87</v>
      </c>
      <c r="O7" s="18" t="s">
        <v>34</v>
      </c>
      <c r="P7" s="23" t="s">
        <v>33</v>
      </c>
    </row>
    <row r="8" spans="2:16" ht="30" customHeight="1" x14ac:dyDescent="0.3">
      <c r="B8" s="28" t="s">
        <v>47</v>
      </c>
      <c r="C8" s="30" t="str">
        <f>LEFT(tbCoins[[#This Row],[Coin]],IFERROR(FIND(" ",tbCoins[[#This Row],[Coin]])-1,LEN(tbCoins[[#This Row],[Coin]])))</f>
        <v>BTC</v>
      </c>
      <c r="D8" s="11">
        <v>18700000</v>
      </c>
      <c r="E8" s="7" cm="1">
        <f t="array" ref="E8">_xldudf_CS_PRICE(tbCoins[[#This Row],[Ticker]],"CAD")</f>
        <v>61118.133067549141</v>
      </c>
      <c r="F8" s="12">
        <f>tbCoins[[#This Row],[Curr. Price]]*tbCoins[[#This Row],[Circulating Supply]]</f>
        <v>1142909088363.1689</v>
      </c>
      <c r="G8" s="11"/>
      <c r="H8" s="11">
        <v>1</v>
      </c>
      <c r="I8" s="13">
        <f>iTotalCap/tbCoins[[#This Row],[Circulating Supply]]/tbCoins[[#This Row],[Potential]]</f>
        <v>128725.33679700535</v>
      </c>
      <c r="J8" s="15">
        <f>tbCoins[[#This Row],[Curr. Price]]/tbCoins[[#This Row],[Max Value at Max Mkt Cap]]</f>
        <v>0.47479489732413721</v>
      </c>
      <c r="K8" s="20">
        <v>4.5042999999999997</v>
      </c>
      <c r="L8" s="20">
        <v>-5.28E-2</v>
      </c>
      <c r="M8" s="18" t="s">
        <v>79</v>
      </c>
      <c r="N8" s="23" t="s">
        <v>88</v>
      </c>
      <c r="O8" s="22">
        <v>39822</v>
      </c>
      <c r="P8" s="23"/>
    </row>
    <row r="9" spans="2:16" ht="30" customHeight="1" x14ac:dyDescent="0.3">
      <c r="B9" s="28" t="s">
        <v>50</v>
      </c>
      <c r="C9" s="28" t="str">
        <f>LEFT(tbCoins[[#This Row],[Coin]],IFERROR(FIND(" ",tbCoins[[#This Row],[Coin]])-1,LEN(tbCoins[[#This Row],[Coin]])))</f>
        <v>DOGE</v>
      </c>
      <c r="D9" s="11">
        <v>129500000000</v>
      </c>
      <c r="E9" s="7" cm="1">
        <f t="array" ref="E9">_xldudf_CS_PRICE(tbCoins[[#This Row],[Ticker]],"CAD")</f>
        <v>0.6440618506985859</v>
      </c>
      <c r="F9" s="12">
        <f>tbCoins[[#This Row],[Curr. Price]]*tbCoins[[#This Row],[Circulating Supply]]</f>
        <v>83406009665.466873</v>
      </c>
      <c r="G9" s="11"/>
      <c r="H9" s="11">
        <v>4</v>
      </c>
      <c r="I9" s="13">
        <f>iTotalCap/tbCoins[[#This Row],[Circulating Supply]]/tbCoins[[#This Row],[Potential]]</f>
        <v>4.647034359274131</v>
      </c>
      <c r="J9" s="15">
        <f>tbCoins[[#This Row],[Curr. Price]]/tbCoins[[#This Row],[Max Value at Max Mkt Cap]]</f>
        <v>0.13859631775978276</v>
      </c>
      <c r="K9" s="20">
        <v>203.54689999999999</v>
      </c>
      <c r="L9" s="20">
        <v>8.6321999999999992</v>
      </c>
      <c r="M9" s="18" t="s">
        <v>77</v>
      </c>
      <c r="N9" s="23" t="s">
        <v>88</v>
      </c>
      <c r="O9" s="22">
        <v>41614</v>
      </c>
      <c r="P9" s="23"/>
    </row>
    <row r="10" spans="2:16" ht="30" customHeight="1" x14ac:dyDescent="0.3">
      <c r="B10" s="28" t="s">
        <v>45</v>
      </c>
      <c r="C10" s="28" t="str">
        <f>LEFT(tbCoins[[#This Row],[Coin]],IFERROR(FIND(" ",tbCoins[[#This Row],[Coin]])-1,LEN(tbCoins[[#This Row],[Coin]])))</f>
        <v>DOT</v>
      </c>
      <c r="D10" s="11">
        <v>935600000</v>
      </c>
      <c r="E10" s="7" cm="1">
        <f t="array" ref="E10">_xldudf_CS_PRICE(tbCoins[[#This Row],[Ticker]],"CAD")</f>
        <v>49.94942029825603</v>
      </c>
      <c r="F10" s="12">
        <f>tbCoins[[#This Row],[Curr. Price]]*tbCoins[[#This Row],[Circulating Supply]]</f>
        <v>46732677631.04834</v>
      </c>
      <c r="G10" s="11"/>
      <c r="H10" s="11">
        <v>2</v>
      </c>
      <c r="I10" s="13">
        <f>iTotalCap/tbCoins[[#This Row],[Circulating Supply]]/tbCoins[[#This Row],[Potential]]</f>
        <v>1286.4278527704148</v>
      </c>
      <c r="J10" s="15">
        <f>tbCoins[[#This Row],[Curr. Price]]/tbCoins[[#This Row],[Max Value at Max Mkt Cap]]</f>
        <v>3.8827999713070861E-2</v>
      </c>
      <c r="K10" s="20">
        <v>12.9955</v>
      </c>
      <c r="L10" s="20">
        <v>-0.13769999999999999</v>
      </c>
      <c r="M10" s="18"/>
      <c r="N10" s="23" t="s">
        <v>86</v>
      </c>
      <c r="O10" s="22">
        <v>43035</v>
      </c>
      <c r="P10" s="23" t="s">
        <v>36</v>
      </c>
    </row>
    <row r="11" spans="2:16" ht="30" customHeight="1" x14ac:dyDescent="0.3">
      <c r="B11" s="31" t="s">
        <v>48</v>
      </c>
      <c r="C11" s="32" t="str">
        <f>LEFT(tbCoins[[#This Row],[Coin]],IFERROR(FIND(" ",tbCoins[[#This Row],[Coin]])-1,LEN(tbCoins[[#This Row],[Coin]])))</f>
        <v>EOS</v>
      </c>
      <c r="D11" s="11">
        <v>953100000</v>
      </c>
      <c r="E11" s="7" cm="1">
        <f t="array" ref="E11">_xldudf_CS_PRICE(tbCoins[[#This Row],[Ticker]],"CAD")</f>
        <v>13.492111378897574</v>
      </c>
      <c r="F11" s="12">
        <f>tbCoins[[#This Row],[Curr. Price]]*tbCoins[[#This Row],[Circulating Supply]]</f>
        <v>12859331355.227278</v>
      </c>
      <c r="G11" s="11">
        <v>1000000000</v>
      </c>
      <c r="H11" s="11">
        <v>2</v>
      </c>
      <c r="I11" s="13">
        <f>iTotalCap/tbCoins[[#This Row],[Circulating Supply]]/tbCoins[[#This Row],[Potential]]</f>
        <v>1262.807574286014</v>
      </c>
      <c r="J11" s="15">
        <f>tbCoins[[#This Row],[Curr. Price]]/tbCoins[[#This Row],[Max Value at Max Mkt Cap]]</f>
        <v>1.0684217970838477E-2</v>
      </c>
      <c r="K11" s="20">
        <v>2.2246999999999999</v>
      </c>
      <c r="L11" s="20">
        <v>0.41980000000000001</v>
      </c>
      <c r="M11" s="18" t="s">
        <v>77</v>
      </c>
      <c r="N11" s="23" t="s">
        <v>105</v>
      </c>
      <c r="O11" s="22">
        <v>43131</v>
      </c>
      <c r="P11" s="23" t="s">
        <v>38</v>
      </c>
    </row>
    <row r="12" spans="2:16" ht="30" customHeight="1" x14ac:dyDescent="0.3">
      <c r="B12" s="28" t="s">
        <v>49</v>
      </c>
      <c r="C12" s="28" t="str">
        <f>LEFT(tbCoins[[#This Row],[Coin]],IFERROR(FIND(" ",tbCoins[[#This Row],[Coin]])-1,LEN(tbCoins[[#This Row],[Coin]])))</f>
        <v>ETH</v>
      </c>
      <c r="D12" s="11">
        <v>115800000</v>
      </c>
      <c r="E12" s="7" cm="1">
        <f t="array" ref="E12">_xldudf_CS_PRICE(tbCoins[[#This Row],[Ticker]],"CAD")</f>
        <v>4795.731250001415</v>
      </c>
      <c r="F12" s="12">
        <f>tbCoins[[#This Row],[Curr. Price]]*tbCoins[[#This Row],[Circulating Supply]]</f>
        <v>555345678750.16382</v>
      </c>
      <c r="G12" s="11"/>
      <c r="H12" s="11">
        <v>1</v>
      </c>
      <c r="I12" s="13">
        <f>iTotalCap/tbCoins[[#This Row],[Circulating Supply]]/tbCoins[[#This Row],[Potential]]</f>
        <v>20787.252142521589</v>
      </c>
      <c r="J12" s="15">
        <f>tbCoins[[#This Row],[Curr. Price]]/tbCoins[[#This Row],[Max Value at Max Mkt Cap]]</f>
        <v>0.23070539661139025</v>
      </c>
      <c r="K12" s="20">
        <v>14.303100000000001</v>
      </c>
      <c r="L12" s="20">
        <v>0.6069</v>
      </c>
      <c r="M12" s="18" t="s">
        <v>80</v>
      </c>
      <c r="N12" s="23" t="s">
        <v>93</v>
      </c>
      <c r="O12" s="22">
        <v>42215</v>
      </c>
      <c r="P12" s="23"/>
    </row>
    <row r="13" spans="2:16" ht="30" customHeight="1" x14ac:dyDescent="0.3">
      <c r="B13" s="28" t="s">
        <v>51</v>
      </c>
      <c r="C13" s="30" t="str">
        <f>LEFT(tbCoins[[#This Row],[Coin]],IFERROR(FIND(" ",tbCoins[[#This Row],[Coin]])-1,LEN(tbCoins[[#This Row],[Coin]])))</f>
        <v>ETH2</v>
      </c>
      <c r="D13" s="11">
        <v>115800000</v>
      </c>
      <c r="E13" s="7" cm="1">
        <f t="array" ref="E13">_xldudf_CS_PRICE(tbCoins[[#This Row],[Ticker]],"CAD")</f>
        <v>4591.3813590482187</v>
      </c>
      <c r="F13" s="12">
        <f>tbCoins[[#This Row],[Curr. Price]]*tbCoins[[#This Row],[Circulating Supply]]</f>
        <v>531681961377.78369</v>
      </c>
      <c r="G13" s="11"/>
      <c r="H13" s="11">
        <v>1</v>
      </c>
      <c r="I13" s="13">
        <f>iTotalCap/tbCoins[[#This Row],[Circulating Supply]]/tbCoins[[#This Row],[Potential]]</f>
        <v>20787.252142521589</v>
      </c>
      <c r="J13" s="15">
        <f>tbCoins[[#This Row],[Curr. Price]]/tbCoins[[#This Row],[Max Value at Max Mkt Cap]]</f>
        <v>0.22087485770455773</v>
      </c>
      <c r="K13" s="20">
        <v>14.303100000000001</v>
      </c>
      <c r="L13" s="20">
        <v>0.6069</v>
      </c>
      <c r="M13" s="18" t="s">
        <v>77</v>
      </c>
      <c r="N13" s="23" t="s">
        <v>96</v>
      </c>
      <c r="O13" s="22"/>
      <c r="P13" s="23" t="s">
        <v>37</v>
      </c>
    </row>
    <row r="14" spans="2:16" ht="30" customHeight="1" x14ac:dyDescent="0.3">
      <c r="B14" s="28" t="s">
        <v>60</v>
      </c>
      <c r="C14" s="30" t="str">
        <f>LEFT(tbCoins[[#This Row],[Coin]],IFERROR(FIND(" ",tbCoins[[#This Row],[Coin]])-1,LEN(tbCoins[[#This Row],[Coin]])))</f>
        <v>ICP</v>
      </c>
      <c r="D14" s="11">
        <v>123700000</v>
      </c>
      <c r="E14" s="7">
        <v>413.16</v>
      </c>
      <c r="F14" s="12">
        <f>tbCoins[[#This Row],[Curr. Price]]*tbCoins[[#This Row],[Circulating Supply]]</f>
        <v>51107892000</v>
      </c>
      <c r="G14" s="11"/>
      <c r="H14" s="11">
        <v>1</v>
      </c>
      <c r="I14" s="13">
        <f>iTotalCap/tbCoins[[#This Row],[Circulating Supply]]/tbCoins[[#This Row],[Potential]]</f>
        <v>19459.69117303153</v>
      </c>
      <c r="J14" s="15">
        <f>tbCoins[[#This Row],[Curr. Price]]/tbCoins[[#This Row],[Max Value at Max Mkt Cap]]</f>
        <v>2.1231580518224425E-2</v>
      </c>
      <c r="K14" s="20" t="s">
        <v>34</v>
      </c>
      <c r="L14" s="20" t="s">
        <v>34</v>
      </c>
      <c r="M14" s="18"/>
      <c r="N14" s="23" t="s">
        <v>95</v>
      </c>
      <c r="O14" s="22">
        <v>44327</v>
      </c>
      <c r="P14" s="23" t="s">
        <v>61</v>
      </c>
    </row>
    <row r="15" spans="2:16" ht="30" customHeight="1" x14ac:dyDescent="0.3">
      <c r="B15" s="28" t="s">
        <v>53</v>
      </c>
      <c r="C15" s="30" t="str">
        <f>LEFT(tbCoins[[#This Row],[Coin]],IFERROR(FIND(" ",tbCoins[[#This Row],[Coin]])-1,LEN(tbCoins[[#This Row],[Coin]])))</f>
        <v>LINK</v>
      </c>
      <c r="D15" s="11">
        <v>419000000</v>
      </c>
      <c r="E15" s="7">
        <v>63.18</v>
      </c>
      <c r="F15" s="12">
        <f>tbCoins[[#This Row],[Curr. Price]]*tbCoins[[#This Row],[Circulating Supply]]</f>
        <v>26472420000</v>
      </c>
      <c r="G15" s="11"/>
      <c r="H15" s="11">
        <v>3</v>
      </c>
      <c r="I15" s="13">
        <f>iTotalCap/tbCoins[[#This Row],[Circulating Supply]]/tbCoins[[#This Row],[Potential]]</f>
        <v>1915.0069992871915</v>
      </c>
      <c r="J15" s="15">
        <f>tbCoins[[#This Row],[Curr. Price]]/tbCoins[[#This Row],[Max Value at Max Mkt Cap]]</f>
        <v>3.299204651654903E-2</v>
      </c>
      <c r="K15" s="20">
        <v>10.3149</v>
      </c>
      <c r="L15" s="20">
        <v>0.53790000000000004</v>
      </c>
      <c r="M15" s="18" t="s">
        <v>80</v>
      </c>
      <c r="N15" s="23" t="s">
        <v>94</v>
      </c>
      <c r="O15" s="22">
        <v>42998</v>
      </c>
      <c r="P15" s="23" t="s">
        <v>54</v>
      </c>
    </row>
    <row r="16" spans="2:16" ht="30" customHeight="1" x14ac:dyDescent="0.3">
      <c r="B16" s="31" t="s">
        <v>44</v>
      </c>
      <c r="C16" s="32" t="str">
        <f>LEFT(tbCoins[[#This Row],[Coin]],IFERROR(FIND(" ",tbCoins[[#This Row],[Coin]])-1,LEN(tbCoins[[#This Row],[Coin]])))</f>
        <v>LTC</v>
      </c>
      <c r="D16" s="11">
        <v>66800000</v>
      </c>
      <c r="E16" s="7" cm="1">
        <f t="array" ref="E16">_xldudf_CS_PRICE(tbCoins[[#This Row],[Ticker]],"CAD")</f>
        <v>393.08351106882577</v>
      </c>
      <c r="F16" s="12">
        <f>tbCoins[[#This Row],[Curr. Price]]*tbCoins[[#This Row],[Circulating Supply]]</f>
        <v>26257978539.39756</v>
      </c>
      <c r="G16" s="11"/>
      <c r="H16" s="11">
        <v>1</v>
      </c>
      <c r="I16" s="13">
        <f>iTotalCap/tbCoins[[#This Row],[Circulating Supply]]/tbCoins[[#This Row],[Potential]]</f>
        <v>36035.38619916168</v>
      </c>
      <c r="J16" s="15">
        <f>tbCoins[[#This Row],[Curr. Price]]/tbCoins[[#This Row],[Max Value at Max Mkt Cap]]</f>
        <v>1.0908264140595512E-2</v>
      </c>
      <c r="K16" s="20">
        <v>5.7424999999999997</v>
      </c>
      <c r="L16" s="20">
        <v>0.52439999999999998</v>
      </c>
      <c r="M16" s="18" t="s">
        <v>80</v>
      </c>
      <c r="N16" s="23" t="s">
        <v>88</v>
      </c>
      <c r="O16" s="22">
        <v>40817</v>
      </c>
      <c r="P16" s="23"/>
    </row>
    <row r="17" spans="2:16" ht="30" customHeight="1" x14ac:dyDescent="0.3">
      <c r="B17" s="29" t="s">
        <v>8</v>
      </c>
      <c r="C17" s="32" t="str">
        <f>LEFT(tbCoins[[#This Row],[Coin]],IFERROR(FIND(" ",tbCoins[[#This Row],[Coin]])-1,LEN(tbCoins[[#This Row],[Coin]])))</f>
        <v>XLM</v>
      </c>
      <c r="D17" s="11">
        <v>23000000000</v>
      </c>
      <c r="E17" s="7" cm="1">
        <f t="array" ref="E17">_xldudf_CS_PRICE(tbCoins[[#This Row],[Ticker]],"CAD")</f>
        <v>0.8313820037102736</v>
      </c>
      <c r="F17" s="12">
        <f>tbCoins[[#This Row],[Curr. Price]]*tbCoins[[#This Row],[Circulating Supply]]</f>
        <v>19121786085.336292</v>
      </c>
      <c r="G17" s="11"/>
      <c r="H17" s="11">
        <v>3</v>
      </c>
      <c r="I17" s="13">
        <f>iTotalCap/tbCoins[[#This Row],[Circulating Supply]]/tbCoins[[#This Row],[Potential]]</f>
        <v>34.886431856579712</v>
      </c>
      <c r="J17" s="15">
        <f>tbCoins[[#This Row],[Curr. Price]]/tbCoins[[#This Row],[Max Value at Max Mkt Cap]]</f>
        <v>2.3831098781558879E-2</v>
      </c>
      <c r="K17" s="20">
        <v>6.9318</v>
      </c>
      <c r="L17" s="20">
        <v>0.1454</v>
      </c>
      <c r="M17" s="18" t="s">
        <v>77</v>
      </c>
      <c r="N17" s="23" t="s">
        <v>106</v>
      </c>
      <c r="O17" s="22">
        <v>41851</v>
      </c>
      <c r="P17" s="23" t="s">
        <v>75</v>
      </c>
    </row>
    <row r="18" spans="2:16" ht="30" customHeight="1" x14ac:dyDescent="0.3">
      <c r="B18" s="29" t="s">
        <v>62</v>
      </c>
      <c r="C18" s="32" t="str">
        <f>LEFT(tbCoins[[#This Row],[Coin]],IFERROR(FIND(" ",tbCoins[[#This Row],[Coin]])-1,LEN(tbCoins[[#This Row],[Coin]])))</f>
        <v>ZIL</v>
      </c>
      <c r="D18" s="11">
        <v>11300000000</v>
      </c>
      <c r="E18" s="7">
        <v>0.26</v>
      </c>
      <c r="F18" s="12">
        <f>tbCoins[[#This Row],[Curr. Price]]*tbCoins[[#This Row],[Circulating Supply]]</f>
        <v>2938000000</v>
      </c>
      <c r="G18" s="11"/>
      <c r="H18" s="11">
        <v>4</v>
      </c>
      <c r="I18" s="13">
        <f>iTotalCap/tbCoins[[#This Row],[Circulating Supply]]/tbCoins[[#This Row],[Potential]]</f>
        <v>53.255836241238939</v>
      </c>
      <c r="J18" s="15">
        <f>tbCoins[[#This Row],[Curr. Price]]/tbCoins[[#This Row],[Max Value at Max Mkt Cap]]</f>
        <v>4.8820940266950056E-3</v>
      </c>
      <c r="K18" s="20">
        <v>23.090900000000001</v>
      </c>
      <c r="L18" s="20">
        <v>6.9999999999999999E-4</v>
      </c>
      <c r="M18" s="18" t="s">
        <v>77</v>
      </c>
      <c r="N18" s="23" t="s">
        <v>86</v>
      </c>
      <c r="O18" s="22">
        <v>43466</v>
      </c>
      <c r="P18" s="23"/>
    </row>
    <row r="19" spans="2:16" ht="30" customHeight="1" x14ac:dyDescent="0.3">
      <c r="B19" s="29" t="s">
        <v>97</v>
      </c>
      <c r="C19" s="32" t="str">
        <f>LEFT(tbCoins[[#This Row],[Coin]],IFERROR(FIND(" ",tbCoins[[#This Row],[Coin]])-1,LEN(tbCoins[[#This Row],[Coin]])))</f>
        <v>XMR</v>
      </c>
      <c r="D19" s="11">
        <v>17900000</v>
      </c>
      <c r="E19" s="7">
        <v>491.49</v>
      </c>
      <c r="F19" s="12">
        <f>tbCoins[[#This Row],[Curr. Price]]*tbCoins[[#This Row],[Circulating Supply]]</f>
        <v>8797671000</v>
      </c>
      <c r="G19" s="11"/>
      <c r="H19" s="11">
        <v>2</v>
      </c>
      <c r="I19" s="13">
        <f>iTotalCap/tbCoins[[#This Row],[Circulating Supply]]/tbCoins[[#This Row],[Potential]]</f>
        <v>67239.212237541899</v>
      </c>
      <c r="J19" s="15">
        <f>tbCoins[[#This Row],[Curr. Price]]/tbCoins[[#This Row],[Max Value at Max Mkt Cap]]</f>
        <v>7.309574036407058E-3</v>
      </c>
      <c r="K19" s="20">
        <v>4.32</v>
      </c>
      <c r="L19" s="20">
        <v>0.2</v>
      </c>
      <c r="M19" s="18" t="s">
        <v>78</v>
      </c>
      <c r="N19" s="23" t="s">
        <v>98</v>
      </c>
      <c r="O19" s="22">
        <v>41730</v>
      </c>
      <c r="P19" s="23"/>
    </row>
    <row r="20" spans="2:16" ht="30" customHeight="1" x14ac:dyDescent="0.3">
      <c r="B20" s="29" t="s">
        <v>7</v>
      </c>
      <c r="C20" s="29" t="str">
        <f>LEFT(tbCoins[[#This Row],[Coin]],IFERROR(FIND(" ",tbCoins[[#This Row],[Coin]])-1,LEN(tbCoins[[#This Row],[Coin]])))</f>
        <v>XRP</v>
      </c>
      <c r="D20" s="11">
        <v>45400000000</v>
      </c>
      <c r="E20" s="7" cm="1">
        <f t="array" ref="E20">_xldudf_CS_PRICE(tbCoins[[#This Row],[Ticker]],"CAD")</f>
        <v>1.6806195271965023</v>
      </c>
      <c r="F20" s="12">
        <f>tbCoins[[#This Row],[Curr. Price]]*tbCoins[[#This Row],[Circulating Supply]]</f>
        <v>76300126534.721207</v>
      </c>
      <c r="G20" s="11"/>
      <c r="H20" s="11">
        <v>3</v>
      </c>
      <c r="I20" s="13">
        <f>iTotalCap/tbCoins[[#This Row],[Circulating Supply]]/tbCoins[[#This Row],[Potential]]</f>
        <v>17.673743011042585</v>
      </c>
      <c r="J20" s="15">
        <f>tbCoins[[#This Row],[Curr. Price]]/tbCoins[[#This Row],[Max Value at Max Mkt Cap]]</f>
        <v>9.5091318581833423E-2</v>
      </c>
      <c r="K20" s="20">
        <v>5.7118000000000002</v>
      </c>
      <c r="L20" s="20">
        <v>0.74419999999999997</v>
      </c>
      <c r="M20" s="18" t="s">
        <v>77</v>
      </c>
      <c r="N20" s="23" t="s">
        <v>104</v>
      </c>
      <c r="O20" s="22">
        <v>40909</v>
      </c>
      <c r="P20" s="23" t="s">
        <v>74</v>
      </c>
    </row>
    <row r="21" spans="2:16" ht="9" customHeight="1" x14ac:dyDescent="0.3">
      <c r="B21" s="2"/>
      <c r="C21" s="2"/>
      <c r="K21" s="21"/>
      <c r="L21" s="21"/>
    </row>
    <row r="22" spans="2:16" ht="30" customHeight="1" x14ac:dyDescent="0.3">
      <c r="B22" s="14" t="s">
        <v>20</v>
      </c>
      <c r="C22" s="14"/>
    </row>
    <row r="23" spans="2:16" ht="30" customHeight="1" x14ac:dyDescent="0.3">
      <c r="B23" s="16" t="s">
        <v>23</v>
      </c>
      <c r="C23" s="16"/>
      <c r="F23" s="17">
        <v>2407163798104</v>
      </c>
    </row>
    <row r="24" spans="2:16" ht="30" customHeight="1" x14ac:dyDescent="0.3">
      <c r="B24" s="2"/>
      <c r="C24" s="2"/>
    </row>
    <row r="25" spans="2:16" ht="30" customHeight="1" x14ac:dyDescent="0.3">
      <c r="B25" s="47" t="s">
        <v>27</v>
      </c>
      <c r="C25" s="2" t="s">
        <v>41</v>
      </c>
      <c r="D25" s="49" t="s">
        <v>67</v>
      </c>
    </row>
    <row r="26" spans="2:16" ht="30" customHeight="1" x14ac:dyDescent="0.3">
      <c r="B26" s="48" t="s">
        <v>68</v>
      </c>
      <c r="D26" s="49" t="s">
        <v>28</v>
      </c>
    </row>
    <row r="27" spans="2:16" ht="30" customHeight="1" x14ac:dyDescent="0.3">
      <c r="B27" s="48" t="s">
        <v>69</v>
      </c>
      <c r="D27" s="49" t="s">
        <v>29</v>
      </c>
    </row>
    <row r="28" spans="2:16" ht="30" customHeight="1" x14ac:dyDescent="0.3">
      <c r="B28" s="48" t="s">
        <v>70</v>
      </c>
      <c r="D28" s="49" t="s">
        <v>71</v>
      </c>
    </row>
    <row r="29" spans="2:16" ht="30" customHeight="1" x14ac:dyDescent="0.3">
      <c r="B29" s="48" t="s">
        <v>72</v>
      </c>
      <c r="D29" s="49" t="s">
        <v>73</v>
      </c>
    </row>
    <row r="30" spans="2:16" ht="30" customHeight="1" x14ac:dyDescent="0.3">
      <c r="B30" s="57" t="s">
        <v>107</v>
      </c>
      <c r="C30" s="57"/>
      <c r="D30" s="58" t="s">
        <v>108</v>
      </c>
    </row>
    <row r="31" spans="2:16" ht="30" customHeight="1" x14ac:dyDescent="0.3">
      <c r="B31" s="57" t="s">
        <v>109</v>
      </c>
      <c r="C31" s="57"/>
      <c r="D31" s="58" t="s">
        <v>110</v>
      </c>
    </row>
    <row r="32" spans="2:16" ht="30" customHeight="1" x14ac:dyDescent="0.3">
      <c r="B32" s="57" t="s">
        <v>111</v>
      </c>
      <c r="C32" s="57"/>
      <c r="D32" s="58" t="s">
        <v>112</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11F7AB6-2A6E-4390-A69A-AF6337D480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Balances</vt:lpstr>
      <vt:lpstr>Transactions</vt:lpstr>
      <vt:lpstr>Wallets</vt:lpstr>
      <vt:lpstr>Coins</vt:lpstr>
      <vt:lpstr>iBTC_Cap</vt:lpstr>
      <vt:lpstr>iTotalCap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Chase</dc:creator>
  <cp:lastModifiedBy>David Chase</cp:lastModifiedBy>
  <dcterms:created xsi:type="dcterms:W3CDTF">2021-05-03T01:54:43Z</dcterms:created>
  <dcterms:modified xsi:type="dcterms:W3CDTF">2021-05-15T19:29:52Z</dcterms:modified>
</cp:coreProperties>
</file>